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2.Раскрытие информации за 2023г (факт)\На сайт\"/>
    </mc:Choice>
  </mc:AlternateContent>
  <bookViews>
    <workbookView xWindow="0" yWindow="0" windowWidth="28800" windowHeight="12135" tabRatio="852" firstSheet="1" activeTab="1"/>
  </bookViews>
  <sheets>
    <sheet name="Инструкция" sheetId="1" state="hidden"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ФХД'!$H$87:$L$87</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ФХД'!$88:$96</definedName>
    <definedName name="BLOCK_POK_FHD_COLDVSNA_P2">'Показатели ФХД'!$121:$125</definedName>
    <definedName name="BLOCK_POK_FHD_HEAT_ONLY_REG_ORG_P1">'Показатели ФХД'!$56:$57</definedName>
    <definedName name="BLOCK_POK_FHD_HEAT_ONLY_REG_ORG_P2">'Показатели ФХД'!$86:$137</definedName>
    <definedName name="BLOCK_POK_FHD_HEAT_P1">'Показатели ФХД'!$33:$40</definedName>
    <definedName name="BLOCK_POK_FHD_HEAT_P2">'Показатели ФХД'!$78:$78</definedName>
    <definedName name="BLOCK_POK_FHD_HEAT_P3">'Показатели ФХД'!$105:$117</definedName>
    <definedName name="BLOCK_POK_FHD_HEAT_P4">'Показатели ФХД'!$119:$119</definedName>
    <definedName name="BLOCK_POK_FHD_HEAT_P5">'Показатели ФХД'!$126:$136</definedName>
    <definedName name="BLOCK_POK_FHD_HEAT_P6">'Показатели ФХД'!$47:$47</definedName>
    <definedName name="BLOCK_POK_FHD_HOTVSNA_P1">'Показатели ФХД'!$41:$43</definedName>
    <definedName name="BLOCK_POK_FHD_HOTVSNA_P2">'Показатели ФХД'!$97:$101</definedName>
    <definedName name="BLOCK_POK_FHD_NOT_HEAT_P1">'Показатели ФХД'!$67:$68</definedName>
    <definedName name="BLOCK_POK_FHD_NOT_HEAT_P2">'Показатели ФХД'!$86:$86</definedName>
    <definedName name="BLOCK_POK_FHD_NOT_HOTVSNA">'Показатели ФХД'!$48:$48</definedName>
    <definedName name="BLOCK_POK_FHD_VOTV_P1">'Показатели ФХД'!$102:$104</definedName>
    <definedName name="BLOCK_POK_FHD_VSNA">'Показатели ФХД'!$120:$120</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Дифференциация!$I$12:$I$21</definedName>
    <definedName name="DIFFERENTIATION_AREA_ID">Дифференциация!$U$11:$U$22</definedName>
    <definedName name="DIFFERENTIATION_CheckC">Дифференциация!$D$12:$M$21</definedName>
    <definedName name="DIFFERENTIATION_fieldMarker">Дифференциация!$W$12:$W$21</definedName>
    <definedName name="DIFFERENTIATION_ID">TEHSHEET!$E$57</definedName>
    <definedName name="DIFFERENTIATION_ID_DIFF">Дифференциация!$O$12:$O$21</definedName>
    <definedName name="DIFFERENTIATION_SYSTEM">Дифференциация!$M$12:$M$21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Дифференциация!$Q$12:$Q$21</definedName>
    <definedName name="DIFFERENTIATION_UNMERGE_SYSTEM">Дифференциация!$R$12:$R$21</definedName>
    <definedName name="DIFFERENTIATION_UNMERGE_VD">Дифференциация!$P$12:$P$21</definedName>
    <definedName name="DIFFERENTIATION_VD">Дифференциация!$E$12:$E$21</definedName>
    <definedName name="DIFFERENTIATION_VD_ID">Дифференциация!$V$11:$V$22</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Детализация'!$14:$1441</definedName>
    <definedName name="IP_DETAILED_IST_FIN_FACT_COLUMN_MARKER">'ИП. Детализация'!$AD$7</definedName>
    <definedName name="IP_DETAILED_LIST_IP_ID">'ИП. Детализация'!$A$1442:$A$1442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план'!$K$11:$AC$11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Дифференциация!$G$12:$G$21</definedName>
    <definedName name="pDel_DIFFERENTIATION_SYSTEM">Дифференциация!$K$12:$K$21</definedName>
    <definedName name="pDel_DIFFERENTIATION_VD">Дифференциация!$C$12:$C$21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ФХД'!$F$77</definedName>
    <definedName name="pIns_B_FHD_3">'Показатели ФХД'!$F$107</definedName>
    <definedName name="pIns_B_FHD_4">'Показатели ФХД'!$F$125</definedName>
    <definedName name="pIns_B_FHD_5">'Показатели ФХД'!$F$128</definedName>
    <definedName name="pIns_B_FHD_6">'Показатели ФХД'!$F$131</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Детализация'!$F$1442</definedName>
    <definedName name="pIns_IP_FIN_PLAN">'ИП. Финансовый план'!$AD$8</definedName>
    <definedName name="pIns_IP_MAIN">ИП!$G$15</definedName>
    <definedName name="pIns_IP_QRE">'ИП. КНЭ'!$F$24</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REESTR_OBJ_INFR!$A$2:$AK$206</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ФХД'!$L$137</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Детализация'!$AH$1442</definedName>
    <definedName name="tblEnd_1_IP_FIN_PLAN">'ИП. Финансовый план'!$AD$58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ИП!$AB$13</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Дифференциация!$F$12:$F$21</definedName>
    <definedName name="Y_N_DIFFERENTIATION_SYSTEM">Дифференциация!$J$12:$J$21</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F136" i="33" s="1"/>
  <c r="K101" i="63"/>
  <c r="N101" i="63" s="1"/>
  <c r="J101" i="63"/>
  <c r="I101" i="63"/>
  <c r="L101" i="63" s="1"/>
  <c r="M100" i="63"/>
  <c r="F135" i="33" s="1"/>
  <c r="K100" i="63"/>
  <c r="N100" i="63" s="1"/>
  <c r="J100" i="63"/>
  <c r="I100" i="63"/>
  <c r="L100" i="63" s="1"/>
  <c r="E135" i="33" s="1"/>
  <c r="K99" i="63"/>
  <c r="N99" i="63" s="1"/>
  <c r="L134" i="33" s="1"/>
  <c r="J99" i="63"/>
  <c r="M99" i="63" s="1"/>
  <c r="F134" i="33" s="1"/>
  <c r="I99" i="63"/>
  <c r="L99" i="63" s="1"/>
  <c r="M98" i="63"/>
  <c r="L98" i="63"/>
  <c r="E133" i="33" s="1"/>
  <c r="K98" i="63"/>
  <c r="N98" i="63" s="1"/>
  <c r="J98" i="63"/>
  <c r="I98" i="63"/>
  <c r="M97" i="63"/>
  <c r="K97" i="63"/>
  <c r="N97" i="63" s="1"/>
  <c r="L132" i="33" s="1"/>
  <c r="J97" i="63"/>
  <c r="I97" i="63"/>
  <c r="L97" i="63" s="1"/>
  <c r="M96" i="63"/>
  <c r="L96" i="63"/>
  <c r="E129" i="33" s="1"/>
  <c r="E130" i="33" s="1"/>
  <c r="K96" i="63"/>
  <c r="N96" i="63" s="1"/>
  <c r="J96" i="63"/>
  <c r="I96" i="63"/>
  <c r="N95" i="63"/>
  <c r="L126" i="33" s="1"/>
  <c r="K95" i="63"/>
  <c r="J95" i="63"/>
  <c r="M95" i="63" s="1"/>
  <c r="I95" i="63"/>
  <c r="L95" i="63" s="1"/>
  <c r="M94" i="63"/>
  <c r="L94" i="63"/>
  <c r="K94" i="63"/>
  <c r="N94" i="63" s="1"/>
  <c r="J94" i="63"/>
  <c r="I94" i="63"/>
  <c r="N93" i="63"/>
  <c r="L122" i="33" s="1"/>
  <c r="M93" i="63"/>
  <c r="F122" i="33" s="1"/>
  <c r="K93" i="63"/>
  <c r="J93" i="63"/>
  <c r="I93" i="63"/>
  <c r="L93" i="63" s="1"/>
  <c r="M92" i="63"/>
  <c r="F121" i="33" s="1"/>
  <c r="K92" i="63"/>
  <c r="N92" i="63" s="1"/>
  <c r="J92" i="63"/>
  <c r="I92" i="63"/>
  <c r="L92" i="63" s="1"/>
  <c r="K91" i="63"/>
  <c r="N91" i="63" s="1"/>
  <c r="L120" i="33" s="1"/>
  <c r="J91" i="63"/>
  <c r="M91" i="63" s="1"/>
  <c r="I91" i="63"/>
  <c r="L91" i="63" s="1"/>
  <c r="E120" i="33" s="1"/>
  <c r="M90" i="63"/>
  <c r="L90" i="63"/>
  <c r="E119" i="33" s="1"/>
  <c r="K90" i="63"/>
  <c r="N90" i="63" s="1"/>
  <c r="L119" i="33" s="1"/>
  <c r="J90" i="63"/>
  <c r="I90" i="63"/>
  <c r="M89" i="63"/>
  <c r="K89" i="63"/>
  <c r="N89" i="63" s="1"/>
  <c r="L118" i="33" s="1"/>
  <c r="J89" i="63"/>
  <c r="I89" i="63"/>
  <c r="L89" i="63" s="1"/>
  <c r="M88" i="63"/>
  <c r="F117" i="33" s="1"/>
  <c r="K88" i="63"/>
  <c r="N88" i="63" s="1"/>
  <c r="J88" i="63"/>
  <c r="I88" i="63"/>
  <c r="L88" i="63" s="1"/>
  <c r="E117" i="33" s="1"/>
  <c r="N87" i="63"/>
  <c r="L116" i="33" s="1"/>
  <c r="K87" i="63"/>
  <c r="J87" i="63"/>
  <c r="M87" i="63" s="1"/>
  <c r="I87" i="63"/>
  <c r="L87" i="63" s="1"/>
  <c r="E116" i="33" s="1"/>
  <c r="M86" i="63"/>
  <c r="L86" i="63"/>
  <c r="K86" i="63"/>
  <c r="N86" i="63" s="1"/>
  <c r="J86" i="63"/>
  <c r="I86" i="63"/>
  <c r="M85" i="63"/>
  <c r="K85" i="63"/>
  <c r="N85" i="63" s="1"/>
  <c r="L114" i="33" s="1"/>
  <c r="J85" i="63"/>
  <c r="I85" i="63"/>
  <c r="L85" i="63" s="1"/>
  <c r="M84" i="63"/>
  <c r="F113" i="33" s="1"/>
  <c r="L84" i="63"/>
  <c r="K84" i="63"/>
  <c r="N84" i="63" s="1"/>
  <c r="J84" i="63"/>
  <c r="I84" i="63"/>
  <c r="K83" i="63"/>
  <c r="N83" i="63" s="1"/>
  <c r="J83" i="63"/>
  <c r="M83" i="63" s="1"/>
  <c r="I83" i="63"/>
  <c r="L83" i="63" s="1"/>
  <c r="E112" i="33" s="1"/>
  <c r="M82" i="63"/>
  <c r="L82" i="63"/>
  <c r="K82" i="63"/>
  <c r="N82" i="63" s="1"/>
  <c r="J82" i="63"/>
  <c r="I82" i="63"/>
  <c r="N81" i="63"/>
  <c r="L110" i="33" s="1"/>
  <c r="M81" i="63"/>
  <c r="K81" i="63"/>
  <c r="J81" i="63"/>
  <c r="I81" i="63"/>
  <c r="L81" i="63" s="1"/>
  <c r="E110" i="33" s="1"/>
  <c r="M80" i="63"/>
  <c r="F109" i="33" s="1"/>
  <c r="L80" i="63"/>
  <c r="K80" i="63"/>
  <c r="N80" i="63" s="1"/>
  <c r="J80" i="63"/>
  <c r="I80" i="63"/>
  <c r="K79" i="63"/>
  <c r="N79" i="63" s="1"/>
  <c r="J79" i="63"/>
  <c r="M79" i="63" s="1"/>
  <c r="F108" i="33" s="1"/>
  <c r="I79" i="63"/>
  <c r="L79" i="63" s="1"/>
  <c r="E108" i="33" s="1"/>
  <c r="M78" i="63"/>
  <c r="L78" i="63"/>
  <c r="E105" i="33" s="1"/>
  <c r="K78" i="63"/>
  <c r="N78" i="63" s="1"/>
  <c r="L105" i="33" s="1"/>
  <c r="J78" i="63"/>
  <c r="I78" i="63"/>
  <c r="N77" i="63"/>
  <c r="L104" i="33" s="1"/>
  <c r="M77" i="63"/>
  <c r="K77" i="63"/>
  <c r="J77" i="63"/>
  <c r="I77" i="63"/>
  <c r="L77" i="63" s="1"/>
  <c r="M76" i="63"/>
  <c r="F103" i="33" s="1"/>
  <c r="K76" i="63"/>
  <c r="N76" i="63" s="1"/>
  <c r="J76" i="63"/>
  <c r="I76" i="63"/>
  <c r="L76" i="63" s="1"/>
  <c r="K75" i="63"/>
  <c r="N75" i="63" s="1"/>
  <c r="J75" i="63"/>
  <c r="M75" i="63" s="1"/>
  <c r="F102" i="33" s="1"/>
  <c r="I75" i="63"/>
  <c r="L75" i="63" s="1"/>
  <c r="M74" i="63"/>
  <c r="L74" i="63"/>
  <c r="E101" i="33" s="1"/>
  <c r="K74" i="63"/>
  <c r="N74" i="63" s="1"/>
  <c r="L101" i="33" s="1"/>
  <c r="J74" i="63"/>
  <c r="I74" i="63"/>
  <c r="N73" i="63"/>
  <c r="L100" i="33" s="1"/>
  <c r="M73" i="63"/>
  <c r="F100" i="33" s="1"/>
  <c r="K73" i="63"/>
  <c r="J73" i="63"/>
  <c r="I73" i="63"/>
  <c r="L73" i="63" s="1"/>
  <c r="E100" i="33" s="1"/>
  <c r="M72" i="63"/>
  <c r="F99" i="33" s="1"/>
  <c r="K72" i="63"/>
  <c r="N72" i="63" s="1"/>
  <c r="J72" i="63"/>
  <c r="I72" i="63"/>
  <c r="L72" i="63" s="1"/>
  <c r="E99" i="33" s="1"/>
  <c r="N71" i="63"/>
  <c r="L98" i="33" s="1"/>
  <c r="K71" i="63"/>
  <c r="J71" i="63"/>
  <c r="M71" i="63" s="1"/>
  <c r="F98" i="33" s="1"/>
  <c r="I71" i="63"/>
  <c r="L71" i="63" s="1"/>
  <c r="M70" i="63"/>
  <c r="L70" i="63"/>
  <c r="E97" i="33" s="1"/>
  <c r="K70" i="63"/>
  <c r="N70" i="63" s="1"/>
  <c r="J70" i="63"/>
  <c r="I70" i="63"/>
  <c r="M69" i="63"/>
  <c r="K69" i="63"/>
  <c r="N69" i="63" s="1"/>
  <c r="L96" i="33" s="1"/>
  <c r="J69" i="63"/>
  <c r="I69" i="63"/>
  <c r="L69" i="63" s="1"/>
  <c r="M68" i="63"/>
  <c r="F95" i="33" s="1"/>
  <c r="L68" i="63"/>
  <c r="E95" i="33" s="1"/>
  <c r="K68" i="63"/>
  <c r="N68" i="63" s="1"/>
  <c r="J68" i="63"/>
  <c r="I68" i="63"/>
  <c r="K67" i="63"/>
  <c r="N67" i="63" s="1"/>
  <c r="L94" i="33" s="1"/>
  <c r="J67" i="63"/>
  <c r="M67" i="63" s="1"/>
  <c r="F94" i="33" s="1"/>
  <c r="I67" i="63"/>
  <c r="L67" i="63" s="1"/>
  <c r="M66" i="63"/>
  <c r="L66" i="63"/>
  <c r="E93" i="33" s="1"/>
  <c r="K66" i="63"/>
  <c r="N66" i="63" s="1"/>
  <c r="J66" i="63"/>
  <c r="I66" i="63"/>
  <c r="N65" i="63"/>
  <c r="L92" i="33" s="1"/>
  <c r="M65" i="63"/>
  <c r="K65" i="63"/>
  <c r="J65" i="63"/>
  <c r="I65" i="63"/>
  <c r="L65" i="63" s="1"/>
  <c r="E92" i="33" s="1"/>
  <c r="M64" i="63"/>
  <c r="L64" i="63"/>
  <c r="K64" i="63"/>
  <c r="N64" i="63" s="1"/>
  <c r="J64" i="63"/>
  <c r="I64" i="63"/>
  <c r="K63" i="63"/>
  <c r="N63" i="63" s="1"/>
  <c r="L90" i="33" s="1"/>
  <c r="J63" i="63"/>
  <c r="M63" i="63" s="1"/>
  <c r="I63" i="63"/>
  <c r="L63" i="63" s="1"/>
  <c r="M62" i="63"/>
  <c r="L62" i="63"/>
  <c r="K62" i="63"/>
  <c r="N62" i="63" s="1"/>
  <c r="L89" i="33" s="1"/>
  <c r="J62" i="63"/>
  <c r="I62" i="63"/>
  <c r="N61" i="63"/>
  <c r="M61" i="63"/>
  <c r="F88" i="33" s="1"/>
  <c r="K61" i="63"/>
  <c r="J61" i="63"/>
  <c r="I61" i="63"/>
  <c r="L61" i="63" s="1"/>
  <c r="E88" i="33" s="1"/>
  <c r="M60" i="63"/>
  <c r="K60" i="63"/>
  <c r="N60" i="63" s="1"/>
  <c r="J60" i="63"/>
  <c r="I60" i="63"/>
  <c r="L60" i="63" s="1"/>
  <c r="K59" i="63"/>
  <c r="N59" i="63" s="1"/>
  <c r="L86" i="33" s="1"/>
  <c r="J59" i="63"/>
  <c r="M59" i="63" s="1"/>
  <c r="F86" i="33" s="1"/>
  <c r="I59" i="63"/>
  <c r="L59" i="63" s="1"/>
  <c r="T58" i="63"/>
  <c r="N58" i="63"/>
  <c r="L85" i="33" s="1"/>
  <c r="L58" i="63"/>
  <c r="E85" i="33" s="1"/>
  <c r="K58" i="63"/>
  <c r="J58" i="63"/>
  <c r="M58" i="63" s="1"/>
  <c r="F85" i="33" s="1"/>
  <c r="I58" i="63"/>
  <c r="T57" i="63"/>
  <c r="M57" i="63"/>
  <c r="L57" i="63"/>
  <c r="E84" i="33" s="1"/>
  <c r="K57" i="63"/>
  <c r="N57" i="63" s="1"/>
  <c r="J57" i="63"/>
  <c r="I57" i="63"/>
  <c r="T56" i="63"/>
  <c r="N56" i="63"/>
  <c r="L83" i="33" s="1"/>
  <c r="L56" i="63"/>
  <c r="K56" i="63"/>
  <c r="J56" i="63"/>
  <c r="M56" i="63" s="1"/>
  <c r="F83" i="33" s="1"/>
  <c r="I56" i="63"/>
  <c r="T55" i="63"/>
  <c r="K55" i="63"/>
  <c r="N55" i="63" s="1"/>
  <c r="L82" i="33" s="1"/>
  <c r="J55" i="63"/>
  <c r="M55" i="63" s="1"/>
  <c r="F82" i="33" s="1"/>
  <c r="I55" i="63"/>
  <c r="L55" i="63" s="1"/>
  <c r="M54" i="63"/>
  <c r="L54" i="63"/>
  <c r="E81" i="33" s="1"/>
  <c r="K54" i="63"/>
  <c r="N54" i="63" s="1"/>
  <c r="L81" i="33" s="1"/>
  <c r="J54" i="63"/>
  <c r="I54" i="63"/>
  <c r="N53" i="63"/>
  <c r="L80" i="33" s="1"/>
  <c r="M53" i="63"/>
  <c r="F80" i="33" s="1"/>
  <c r="K53" i="63"/>
  <c r="J53" i="63"/>
  <c r="I53" i="63"/>
  <c r="L53" i="63" s="1"/>
  <c r="E80" i="33" s="1"/>
  <c r="M52" i="63"/>
  <c r="K52" i="63"/>
  <c r="N52" i="63" s="1"/>
  <c r="L79" i="33" s="1"/>
  <c r="J52" i="63"/>
  <c r="I52" i="63"/>
  <c r="L52" i="63" s="1"/>
  <c r="M51" i="63"/>
  <c r="F78" i="33" s="1"/>
  <c r="K51" i="63"/>
  <c r="N51" i="63" s="1"/>
  <c r="J51" i="63"/>
  <c r="I51" i="63"/>
  <c r="L51" i="63" s="1"/>
  <c r="M50" i="63"/>
  <c r="F69" i="33" s="1"/>
  <c r="K50" i="63"/>
  <c r="N50" i="63" s="1"/>
  <c r="J50" i="63"/>
  <c r="I50" i="63"/>
  <c r="L50" i="63" s="1"/>
  <c r="N49" i="63"/>
  <c r="L68" i="33" s="1"/>
  <c r="K49" i="63"/>
  <c r="J49" i="63"/>
  <c r="M49" i="63" s="1"/>
  <c r="F68" i="33" s="1"/>
  <c r="I49" i="63"/>
  <c r="L49" i="63" s="1"/>
  <c r="E68" i="33" s="1"/>
  <c r="M68" i="33" s="1"/>
  <c r="M48" i="63"/>
  <c r="K48" i="63"/>
  <c r="N48" i="63" s="1"/>
  <c r="L67" i="33" s="1"/>
  <c r="J48" i="63"/>
  <c r="I48" i="63"/>
  <c r="L48" i="63" s="1"/>
  <c r="E67" i="33" s="1"/>
  <c r="M67" i="33" s="1"/>
  <c r="K47" i="63"/>
  <c r="N47" i="63" s="1"/>
  <c r="J47" i="63"/>
  <c r="M47" i="63" s="1"/>
  <c r="F66" i="33" s="1"/>
  <c r="I47" i="63"/>
  <c r="L47" i="63" s="1"/>
  <c r="T46" i="63"/>
  <c r="N46" i="63"/>
  <c r="M46" i="63"/>
  <c r="K46" i="63"/>
  <c r="J46" i="63"/>
  <c r="I46" i="63"/>
  <c r="L46" i="63" s="1"/>
  <c r="L45" i="63"/>
  <c r="K45" i="63"/>
  <c r="N45" i="63" s="1"/>
  <c r="L64" i="33" s="1"/>
  <c r="J45" i="63"/>
  <c r="M45" i="63" s="1"/>
  <c r="I45" i="63"/>
  <c r="N44" i="63"/>
  <c r="L63" i="33" s="1"/>
  <c r="M44" i="63"/>
  <c r="F63" i="33" s="1"/>
  <c r="K44" i="63"/>
  <c r="J44" i="63"/>
  <c r="I44" i="63"/>
  <c r="L44" i="63" s="1"/>
  <c r="L43" i="63"/>
  <c r="K43" i="63"/>
  <c r="N43" i="63" s="1"/>
  <c r="L62" i="33" s="1"/>
  <c r="J43" i="63"/>
  <c r="M43" i="63" s="1"/>
  <c r="I43" i="63"/>
  <c r="N42" i="63"/>
  <c r="M42" i="63"/>
  <c r="F61" i="33" s="1"/>
  <c r="K42" i="63"/>
  <c r="J42" i="63"/>
  <c r="I42" i="63"/>
  <c r="L42" i="63" s="1"/>
  <c r="E61" i="33" s="1"/>
  <c r="M61" i="33" s="1"/>
  <c r="N41" i="63"/>
  <c r="L41" i="63"/>
  <c r="K41" i="63"/>
  <c r="J41" i="63"/>
  <c r="M41" i="63" s="1"/>
  <c r="I41" i="63"/>
  <c r="N40" i="63"/>
  <c r="L40" i="63"/>
  <c r="K40" i="63"/>
  <c r="J40" i="63"/>
  <c r="M40" i="63" s="1"/>
  <c r="I40" i="63"/>
  <c r="N39" i="63"/>
  <c r="L39" i="63"/>
  <c r="E58" i="33" s="1"/>
  <c r="M58" i="33" s="1"/>
  <c r="K39" i="63"/>
  <c r="J39" i="63"/>
  <c r="M39" i="63" s="1"/>
  <c r="I39" i="63"/>
  <c r="N38" i="63"/>
  <c r="L57" i="33" s="1"/>
  <c r="K38" i="63"/>
  <c r="J38" i="63"/>
  <c r="M38" i="63" s="1"/>
  <c r="I38" i="63"/>
  <c r="L38" i="63" s="1"/>
  <c r="E57" i="33" s="1"/>
  <c r="M57" i="33" s="1"/>
  <c r="L37" i="63"/>
  <c r="K37" i="63"/>
  <c r="N37" i="63" s="1"/>
  <c r="J37" i="63"/>
  <c r="M37" i="63" s="1"/>
  <c r="I37" i="63"/>
  <c r="N36" i="63"/>
  <c r="L36" i="63"/>
  <c r="K36" i="63"/>
  <c r="J36" i="63"/>
  <c r="M36" i="63" s="1"/>
  <c r="I36" i="63"/>
  <c r="T35" i="63"/>
  <c r="M35" i="63"/>
  <c r="L35" i="63"/>
  <c r="K35" i="63"/>
  <c r="N35" i="63" s="1"/>
  <c r="J35" i="63"/>
  <c r="I35" i="63"/>
  <c r="N34" i="63"/>
  <c r="M34" i="63"/>
  <c r="K34" i="63"/>
  <c r="J34" i="63"/>
  <c r="I34" i="63"/>
  <c r="L34" i="63" s="1"/>
  <c r="E53" i="33" s="1"/>
  <c r="M53" i="33" s="1"/>
  <c r="T33" i="63"/>
  <c r="N33" i="63"/>
  <c r="L33" i="63"/>
  <c r="K33" i="63"/>
  <c r="J33" i="63"/>
  <c r="M33" i="63" s="1"/>
  <c r="I33" i="63"/>
  <c r="T32" i="63"/>
  <c r="M32" i="63"/>
  <c r="K32" i="63"/>
  <c r="N32" i="63" s="1"/>
  <c r="J32" i="63"/>
  <c r="I32" i="63"/>
  <c r="L32" i="63" s="1"/>
  <c r="K31" i="63"/>
  <c r="N31" i="63" s="1"/>
  <c r="J31" i="63"/>
  <c r="M31" i="63" s="1"/>
  <c r="I31" i="63"/>
  <c r="L31" i="63" s="1"/>
  <c r="M30" i="63"/>
  <c r="L30" i="63"/>
  <c r="E49" i="33" s="1"/>
  <c r="M49" i="33" s="1"/>
  <c r="K30" i="63"/>
  <c r="N30" i="63" s="1"/>
  <c r="J30" i="63"/>
  <c r="I30" i="63"/>
  <c r="T29" i="63"/>
  <c r="N29" i="63"/>
  <c r="L29" i="63"/>
  <c r="K29" i="63"/>
  <c r="J29" i="63"/>
  <c r="M29" i="63" s="1"/>
  <c r="I29" i="63"/>
  <c r="N28" i="63"/>
  <c r="L47" i="33" s="1"/>
  <c r="L28" i="63"/>
  <c r="K28" i="63"/>
  <c r="J28" i="63"/>
  <c r="M28" i="63" s="1"/>
  <c r="I28" i="63"/>
  <c r="L27" i="63"/>
  <c r="K27" i="63"/>
  <c r="N27" i="63" s="1"/>
  <c r="J27" i="63"/>
  <c r="M27" i="63" s="1"/>
  <c r="I27" i="63"/>
  <c r="T26" i="63"/>
  <c r="N26" i="63"/>
  <c r="K26" i="63"/>
  <c r="J26" i="63"/>
  <c r="M26" i="63" s="1"/>
  <c r="I26" i="63"/>
  <c r="L26" i="63" s="1"/>
  <c r="M25" i="63"/>
  <c r="L25" i="63"/>
  <c r="K25" i="63"/>
  <c r="N25" i="63" s="1"/>
  <c r="J25" i="63"/>
  <c r="I25" i="63"/>
  <c r="M24" i="63"/>
  <c r="K24" i="63"/>
  <c r="N24" i="63" s="1"/>
  <c r="L43" i="33" s="1"/>
  <c r="J24" i="63"/>
  <c r="I24" i="63"/>
  <c r="L24" i="63" s="1"/>
  <c r="M23" i="63"/>
  <c r="L23" i="63"/>
  <c r="K23" i="63"/>
  <c r="N23" i="63" s="1"/>
  <c r="J23" i="63"/>
  <c r="I23" i="63"/>
  <c r="N22" i="63"/>
  <c r="K22" i="63"/>
  <c r="J22" i="63"/>
  <c r="M22" i="63" s="1"/>
  <c r="F41" i="33" s="1"/>
  <c r="I22" i="63"/>
  <c r="L22" i="63" s="1"/>
  <c r="M21" i="63"/>
  <c r="L21" i="63"/>
  <c r="K21" i="63"/>
  <c r="N21" i="63" s="1"/>
  <c r="J21" i="63"/>
  <c r="I21" i="63"/>
  <c r="N20" i="63"/>
  <c r="L32" i="33" s="1"/>
  <c r="M20" i="63"/>
  <c r="F32" i="33" s="1"/>
  <c r="K20" i="63"/>
  <c r="J20" i="63"/>
  <c r="I20" i="63"/>
  <c r="L20" i="63" s="1"/>
  <c r="M19" i="63"/>
  <c r="K19" i="63"/>
  <c r="N19" i="63" s="1"/>
  <c r="J19" i="63"/>
  <c r="I19" i="63"/>
  <c r="L19" i="63" s="1"/>
  <c r="E31" i="33" s="1"/>
  <c r="K18" i="63"/>
  <c r="N18" i="63" s="1"/>
  <c r="J18" i="63"/>
  <c r="M18" i="63" s="1"/>
  <c r="F30" i="33" s="1"/>
  <c r="I18" i="63"/>
  <c r="L18" i="63" s="1"/>
  <c r="E30" i="33" s="1"/>
  <c r="U15" i="63"/>
  <c r="M15" i="63" s="1"/>
  <c r="E19" i="45" s="1"/>
  <c r="N14" i="63"/>
  <c r="K18" i="45" s="1"/>
  <c r="M13" i="63"/>
  <c r="M12" i="63"/>
  <c r="AA11" i="63"/>
  <c r="N11" i="63" s="1"/>
  <c r="K15" i="45" s="1"/>
  <c r="M11" i="63"/>
  <c r="N3" i="63"/>
  <c r="D54" i="7" s="1"/>
  <c r="C34" i="62"/>
  <c r="E32" i="62"/>
  <c r="C32" i="62" s="1"/>
  <c r="E31" i="62"/>
  <c r="C31" i="62" s="1"/>
  <c r="C8" i="62"/>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s="1"/>
  <c r="F10" i="54"/>
  <c r="K8" i="54"/>
  <c r="J8" i="54"/>
  <c r="G8" i="54"/>
  <c r="F8"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J51" i="51"/>
  <c r="I51" i="51"/>
  <c r="I50" i="51"/>
  <c r="H50" i="51"/>
  <c r="G50" i="51"/>
  <c r="I49" i="51"/>
  <c r="H49" i="51"/>
  <c r="G49" i="51"/>
  <c r="I48" i="51"/>
  <c r="H48" i="51"/>
  <c r="F29" i="51" s="1"/>
  <c r="G48" i="51"/>
  <c r="E32" i="51" s="1"/>
  <c r="I47" i="51"/>
  <c r="H47" i="51"/>
  <c r="G47" i="51"/>
  <c r="I46" i="51"/>
  <c r="K45" i="51"/>
  <c r="J45" i="51"/>
  <c r="I45" i="51"/>
  <c r="G44" i="51"/>
  <c r="H51" i="51" s="1"/>
  <c r="G36" i="51"/>
  <c r="F36" i="51"/>
  <c r="F32" i="51"/>
  <c r="E29" i="51"/>
  <c r="L5" i="51"/>
  <c r="L4" i="51"/>
  <c r="L3" i="51"/>
  <c r="L6" i="51" s="1"/>
  <c r="M14" i="50"/>
  <c r="K14" i="50"/>
  <c r="I14" i="50"/>
  <c r="G14" i="50"/>
  <c r="G11" i="50"/>
  <c r="G10" i="50"/>
  <c r="G9" i="50"/>
  <c r="D6" i="50"/>
  <c r="E13" i="49"/>
  <c r="H12" i="49"/>
  <c r="E12" i="49"/>
  <c r="D6" i="49"/>
  <c r="F269" i="48"/>
  <c r="F215" i="48"/>
  <c r="F208" i="48"/>
  <c r="F147" i="48"/>
  <c r="M87" i="48"/>
  <c r="F23" i="48"/>
  <c r="G17" i="48"/>
  <c r="F17" i="48"/>
  <c r="G16" i="48"/>
  <c r="F16" i="48"/>
  <c r="N7" i="48"/>
  <c r="N4" i="48"/>
  <c r="N1" i="48"/>
  <c r="E42" i="47"/>
  <c r="E38" i="47"/>
  <c r="E28" i="47"/>
  <c r="E24" i="47"/>
  <c r="D15" i="47"/>
  <c r="G14" i="46"/>
  <c r="E13" i="46"/>
  <c r="D6" i="46"/>
  <c r="F21" i="45"/>
  <c r="J19" i="45"/>
  <c r="I19" i="45"/>
  <c r="H19" i="45"/>
  <c r="G19" i="45"/>
  <c r="F19" i="45"/>
  <c r="E17" i="45"/>
  <c r="E16" i="45"/>
  <c r="E15" i="45"/>
  <c r="J14" i="45"/>
  <c r="I14" i="45"/>
  <c r="H14" i="45"/>
  <c r="G14" i="45"/>
  <c r="G11" i="45"/>
  <c r="G10" i="45"/>
  <c r="G9" i="45"/>
  <c r="D6" i="45"/>
  <c r="F2" i="45"/>
  <c r="F21" i="44"/>
  <c r="F6" i="44"/>
  <c r="F5" i="44"/>
  <c r="O58" i="43"/>
  <c r="K57" i="43"/>
  <c r="H57" i="43"/>
  <c r="K56" i="43"/>
  <c r="H56" i="43"/>
  <c r="K55" i="43"/>
  <c r="H55" i="43"/>
  <c r="AB54" i="43"/>
  <c r="AA54" i="43"/>
  <c r="Z54" i="43"/>
  <c r="Y54" i="43"/>
  <c r="X54" i="43"/>
  <c r="W54" i="43"/>
  <c r="V54" i="43"/>
  <c r="U54" i="43"/>
  <c r="T54" i="43"/>
  <c r="S54" i="43"/>
  <c r="R54" i="43"/>
  <c r="Q54" i="43"/>
  <c r="P54" i="43"/>
  <c r="O54" i="43"/>
  <c r="N54" i="43"/>
  <c r="K54" i="43" s="1"/>
  <c r="M54" i="43"/>
  <c r="L54" i="43"/>
  <c r="I54" i="43"/>
  <c r="H54" i="43" s="1"/>
  <c r="K53" i="43"/>
  <c r="H53" i="43"/>
  <c r="K52" i="43"/>
  <c r="H52" i="43"/>
  <c r="K51" i="43"/>
  <c r="H51" i="43"/>
  <c r="K50" i="43"/>
  <c r="H50" i="43"/>
  <c r="AB49" i="43"/>
  <c r="AA49" i="43"/>
  <c r="Z49" i="43"/>
  <c r="Z48" i="43" s="1"/>
  <c r="Y49" i="43"/>
  <c r="X49" i="43"/>
  <c r="W49" i="43"/>
  <c r="V49" i="43"/>
  <c r="V48" i="43" s="1"/>
  <c r="U49" i="43"/>
  <c r="T49" i="43"/>
  <c r="S49" i="43"/>
  <c r="R49" i="43"/>
  <c r="R48" i="43" s="1"/>
  <c r="Q49" i="43"/>
  <c r="P49" i="43"/>
  <c r="O49" i="43"/>
  <c r="N49" i="43"/>
  <c r="K49" i="43" s="1"/>
  <c r="M49" i="43"/>
  <c r="L49" i="43"/>
  <c r="I49" i="43"/>
  <c r="H49" i="43" s="1"/>
  <c r="AB48" i="43"/>
  <c r="AA48" i="43"/>
  <c r="AA58" i="43" s="1"/>
  <c r="Y48" i="43"/>
  <c r="X48" i="43"/>
  <c r="W48" i="43"/>
  <c r="U48" i="43"/>
  <c r="T48" i="43"/>
  <c r="S48" i="43"/>
  <c r="S58" i="43" s="1"/>
  <c r="Q48" i="43"/>
  <c r="P48" i="43"/>
  <c r="O48" i="43"/>
  <c r="M48" i="43"/>
  <c r="L48" i="43"/>
  <c r="K47" i="43"/>
  <c r="H47" i="43"/>
  <c r="K46" i="43"/>
  <c r="H46" i="43"/>
  <c r="K45" i="43"/>
  <c r="H45" i="43"/>
  <c r="AB44" i="43"/>
  <c r="AA44" i="43"/>
  <c r="Z44" i="43"/>
  <c r="Y44" i="43"/>
  <c r="X44" i="43"/>
  <c r="W44" i="43"/>
  <c r="V44" i="43"/>
  <c r="U44" i="43"/>
  <c r="T44" i="43"/>
  <c r="S44" i="43"/>
  <c r="R44" i="43"/>
  <c r="Q44" i="43"/>
  <c r="P44" i="43"/>
  <c r="O44" i="43"/>
  <c r="N44" i="43"/>
  <c r="M44" i="43"/>
  <c r="L44" i="43"/>
  <c r="K44" i="43" s="1"/>
  <c r="I44" i="43"/>
  <c r="H44" i="43"/>
  <c r="K43" i="43"/>
  <c r="H43" i="43"/>
  <c r="K42" i="43"/>
  <c r="H42" i="43"/>
  <c r="K41" i="43"/>
  <c r="H41" i="43"/>
  <c r="K40" i="43"/>
  <c r="H40" i="43"/>
  <c r="AB39" i="43"/>
  <c r="AA39" i="43"/>
  <c r="Z39" i="43"/>
  <c r="Y39" i="43"/>
  <c r="X39" i="43"/>
  <c r="W39" i="43"/>
  <c r="V39" i="43"/>
  <c r="U39" i="43"/>
  <c r="T39" i="43"/>
  <c r="S39" i="43"/>
  <c r="R39" i="43"/>
  <c r="Q39" i="43"/>
  <c r="P39" i="43"/>
  <c r="O39" i="43"/>
  <c r="N39" i="43"/>
  <c r="M39" i="43"/>
  <c r="L39" i="43"/>
  <c r="I39" i="43"/>
  <c r="H39" i="43"/>
  <c r="AA38" i="43"/>
  <c r="Z38" i="43"/>
  <c r="Z58" i="43" s="1"/>
  <c r="W38" i="43"/>
  <c r="W58" i="43" s="1"/>
  <c r="V38" i="43"/>
  <c r="S38" i="43"/>
  <c r="R38" i="43"/>
  <c r="R58" i="43" s="1"/>
  <c r="O38" i="43"/>
  <c r="N38" i="43"/>
  <c r="I38" i="43"/>
  <c r="H38" i="43"/>
  <c r="X36" i="43"/>
  <c r="O36" i="43"/>
  <c r="K35" i="43"/>
  <c r="H35" i="43"/>
  <c r="K34" i="43"/>
  <c r="H34" i="43"/>
  <c r="K33" i="43"/>
  <c r="H33" i="43"/>
  <c r="AB32" i="43"/>
  <c r="AA32" i="43"/>
  <c r="Z32" i="43"/>
  <c r="Y32" i="43"/>
  <c r="X32" i="43"/>
  <c r="W32" i="43"/>
  <c r="W36" i="43" s="1"/>
  <c r="V32" i="43"/>
  <c r="U32" i="43"/>
  <c r="T32" i="43"/>
  <c r="S32" i="43"/>
  <c r="S36" i="43" s="1"/>
  <c r="R32" i="43"/>
  <c r="Q32" i="43"/>
  <c r="P32" i="43"/>
  <c r="O32" i="43"/>
  <c r="N32" i="43"/>
  <c r="M32" i="43"/>
  <c r="L32" i="43"/>
  <c r="K32" i="43"/>
  <c r="I32" i="43"/>
  <c r="H32" i="43" s="1"/>
  <c r="K31" i="43"/>
  <c r="H31" i="43"/>
  <c r="K30" i="43"/>
  <c r="H30" i="43"/>
  <c r="K29" i="43"/>
  <c r="H29" i="43"/>
  <c r="AB28" i="43"/>
  <c r="AA28" i="43"/>
  <c r="Z28" i="43"/>
  <c r="Y28" i="43"/>
  <c r="X28" i="43"/>
  <c r="W28" i="43"/>
  <c r="V28" i="43"/>
  <c r="U28" i="43"/>
  <c r="T28" i="43"/>
  <c r="S28" i="43"/>
  <c r="R28" i="43"/>
  <c r="Q28" i="43"/>
  <c r="P28" i="43"/>
  <c r="O28" i="43"/>
  <c r="N28" i="43"/>
  <c r="M28" i="43"/>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AB15" i="43"/>
  <c r="AB36" i="43" s="1"/>
  <c r="AA15" i="43"/>
  <c r="Z15" i="43"/>
  <c r="Y15" i="43"/>
  <c r="X15" i="43"/>
  <c r="W15" i="43"/>
  <c r="V15" i="43"/>
  <c r="U15" i="43"/>
  <c r="T15" i="43"/>
  <c r="T36" i="43" s="1"/>
  <c r="S15" i="43"/>
  <c r="R15" i="43"/>
  <c r="Q15" i="43"/>
  <c r="Q36" i="43" s="1"/>
  <c r="P15" i="43"/>
  <c r="P36" i="43" s="1"/>
  <c r="O15" i="43"/>
  <c r="N15" i="43"/>
  <c r="M15" i="43"/>
  <c r="L15" i="43"/>
  <c r="I15" i="43"/>
  <c r="H15" i="43"/>
  <c r="K11" i="43"/>
  <c r="H11" i="43"/>
  <c r="F6" i="43"/>
  <c r="F5" i="43"/>
  <c r="AD1438" i="42"/>
  <c r="AD1433" i="42"/>
  <c r="AD1428" i="42"/>
  <c r="AD1417" i="42"/>
  <c r="AD1412" i="42"/>
  <c r="AD1407" i="42"/>
  <c r="AD1396" i="42"/>
  <c r="AD1395" i="42"/>
  <c r="AD1390" i="42"/>
  <c r="AD1389" i="42"/>
  <c r="AD1384" i="42"/>
  <c r="AD1383" i="42"/>
  <c r="AD1378" i="42"/>
  <c r="AD1377" i="42"/>
  <c r="AD1372" i="42"/>
  <c r="AD1371" i="42"/>
  <c r="AD1360" i="42"/>
  <c r="AD1359" i="42"/>
  <c r="AD1358" i="42"/>
  <c r="AD1353" i="42"/>
  <c r="AD1352" i="42"/>
  <c r="AD1351" i="42"/>
  <c r="AD1346" i="42"/>
  <c r="AD1345" i="42"/>
  <c r="AD1344" i="42"/>
  <c r="AD1339" i="42"/>
  <c r="AD1338" i="42"/>
  <c r="AD1337" i="42"/>
  <c r="AD1332" i="42"/>
  <c r="AD1331" i="42"/>
  <c r="AD1330" i="42"/>
  <c r="AD1325" i="42"/>
  <c r="AD1324" i="42"/>
  <c r="AD1323" i="42"/>
  <c r="AD1318" i="42"/>
  <c r="AD1317" i="42"/>
  <c r="AD1316" i="42"/>
  <c r="AD1311" i="42"/>
  <c r="AD1310" i="42"/>
  <c r="AD1309" i="42"/>
  <c r="AD1304" i="42"/>
  <c r="AD1303" i="42"/>
  <c r="AD1302" i="42"/>
  <c r="AD1297" i="42"/>
  <c r="AD1296" i="42"/>
  <c r="AD1295" i="42"/>
  <c r="AD1290" i="42"/>
  <c r="AD1289" i="42"/>
  <c r="AD1288" i="42"/>
  <c r="AD1277" i="42"/>
  <c r="AD1276" i="42"/>
  <c r="AD1275" i="42"/>
  <c r="AD1270" i="42"/>
  <c r="AD1269" i="42"/>
  <c r="AD1268" i="42"/>
  <c r="AD1263" i="42"/>
  <c r="AD1262" i="42"/>
  <c r="AD1261" i="42"/>
  <c r="AD1256" i="42"/>
  <c r="AD1255" i="42"/>
  <c r="AD1254" i="42"/>
  <c r="AD1249" i="42"/>
  <c r="AD1248" i="42"/>
  <c r="AD1247" i="42"/>
  <c r="AD1242" i="42"/>
  <c r="AD1241" i="42"/>
  <c r="AD1240" i="42"/>
  <c r="AD1235" i="42"/>
  <c r="AD1234" i="42"/>
  <c r="AD1233" i="42"/>
  <c r="AD1228" i="42"/>
  <c r="AD1227" i="42"/>
  <c r="AD1226" i="42"/>
  <c r="AD1221" i="42"/>
  <c r="AD1220" i="42"/>
  <c r="AD1219" i="42"/>
  <c r="AD1214" i="42"/>
  <c r="AD1213" i="42"/>
  <c r="AD1212" i="42"/>
  <c r="AD1207" i="42"/>
  <c r="AD1206" i="42"/>
  <c r="AD1205" i="42"/>
  <c r="AD1194" i="42"/>
  <c r="AD1193" i="42"/>
  <c r="AD1192" i="42"/>
  <c r="AD1187" i="42"/>
  <c r="AD1186" i="42"/>
  <c r="AD1185" i="42"/>
  <c r="AD1180" i="42"/>
  <c r="AD1179" i="42"/>
  <c r="AD1178" i="42"/>
  <c r="AD1173" i="42"/>
  <c r="AD1172" i="42"/>
  <c r="AD1171" i="42"/>
  <c r="AD1166" i="42"/>
  <c r="AD1165" i="42"/>
  <c r="AD1164" i="42"/>
  <c r="AD1153" i="42"/>
  <c r="AD1152" i="42"/>
  <c r="AD1151" i="42"/>
  <c r="AD1146" i="42"/>
  <c r="AD1145" i="42"/>
  <c r="AD1144" i="42"/>
  <c r="AD1139" i="42"/>
  <c r="AD1138" i="42"/>
  <c r="AD1137" i="42"/>
  <c r="AD1132" i="42"/>
  <c r="AD1131" i="42"/>
  <c r="AD1130" i="42"/>
  <c r="AD1125" i="42"/>
  <c r="AD1120" i="42"/>
  <c r="AD1115" i="42"/>
  <c r="AD1110" i="42"/>
  <c r="AD1105" i="42"/>
  <c r="AD1104" i="42"/>
  <c r="AD1103" i="42"/>
  <c r="AD1098" i="42"/>
  <c r="AD1097" i="42"/>
  <c r="AD1096" i="42"/>
  <c r="AD1091" i="42"/>
  <c r="AD1090" i="42"/>
  <c r="AD1089" i="42"/>
  <c r="AD1084" i="42"/>
  <c r="AD1083" i="42"/>
  <c r="AD1082" i="42"/>
  <c r="AD1077" i="42"/>
  <c r="AD1076" i="42"/>
  <c r="AD1075" i="42"/>
  <c r="AD1070" i="42"/>
  <c r="AD1069" i="42"/>
  <c r="AD1068" i="42"/>
  <c r="AD1063" i="42"/>
  <c r="AD1062" i="42"/>
  <c r="AD1061" i="42"/>
  <c r="AD1056" i="42"/>
  <c r="AD1055" i="42"/>
  <c r="AD1054" i="42"/>
  <c r="AD1049" i="42"/>
  <c r="AD1048" i="42"/>
  <c r="AD1047" i="42"/>
  <c r="AD1042" i="42"/>
  <c r="AD1041" i="42"/>
  <c r="AD1040" i="42"/>
  <c r="AD1035" i="42"/>
  <c r="AD1034" i="42"/>
  <c r="AD1033" i="42"/>
  <c r="AD1028" i="42"/>
  <c r="AD1027" i="42"/>
  <c r="AD1026" i="42"/>
  <c r="AD1021" i="42"/>
  <c r="AD1020" i="42"/>
  <c r="AD1019" i="42"/>
  <c r="AD1014" i="42"/>
  <c r="AD1013" i="42"/>
  <c r="AD1012" i="42"/>
  <c r="AD1007" i="42"/>
  <c r="AD1006" i="42"/>
  <c r="AD1005" i="42"/>
  <c r="AD1000" i="42"/>
  <c r="AD999" i="42"/>
  <c r="AD998" i="42"/>
  <c r="AD993" i="42"/>
  <c r="AD992" i="42"/>
  <c r="AD991" i="42"/>
  <c r="AD986" i="42"/>
  <c r="AD985" i="42"/>
  <c r="AD984" i="42"/>
  <c r="AD973" i="42"/>
  <c r="AD972" i="42"/>
  <c r="AD967" i="42"/>
  <c r="AD966" i="42"/>
  <c r="AD965" i="42"/>
  <c r="AD960" i="42"/>
  <c r="AD959" i="42"/>
  <c r="AD958" i="42"/>
  <c r="AD953" i="42"/>
  <c r="AD952" i="42"/>
  <c r="AD951" i="42"/>
  <c r="AD946" i="42"/>
  <c r="AD945" i="42"/>
  <c r="AD944" i="42"/>
  <c r="AD943" i="42"/>
  <c r="AD938" i="42"/>
  <c r="AD937" i="42"/>
  <c r="AD936" i="42"/>
  <c r="AD935" i="42"/>
  <c r="AD930" i="42"/>
  <c r="AD929" i="42"/>
  <c r="AD924" i="42"/>
  <c r="AD923" i="42"/>
  <c r="AD918" i="42"/>
  <c r="AD917" i="42"/>
  <c r="AD912" i="42"/>
  <c r="AD911" i="42"/>
  <c r="AD906" i="42"/>
  <c r="AD905" i="42"/>
  <c r="AD900" i="42"/>
  <c r="AD899" i="42"/>
  <c r="AD894" i="42"/>
  <c r="AD893" i="42"/>
  <c r="AD888" i="42"/>
  <c r="AD887" i="42"/>
  <c r="AD882" i="42"/>
  <c r="AD881" i="42"/>
  <c r="AD876" i="42"/>
  <c r="AD875" i="42"/>
  <c r="AD870" i="42"/>
  <c r="AD869" i="42"/>
  <c r="AD864" i="42"/>
  <c r="AD863" i="42"/>
  <c r="AD858" i="42"/>
  <c r="AD857" i="42"/>
  <c r="AD852" i="42"/>
  <c r="AD851" i="42"/>
  <c r="AD846" i="42"/>
  <c r="AD845" i="42"/>
  <c r="AD844" i="42"/>
  <c r="AD839" i="42"/>
  <c r="AD838" i="42"/>
  <c r="AD837" i="42"/>
  <c r="AD836" i="42"/>
  <c r="AD831" i="42"/>
  <c r="AD830" i="42"/>
  <c r="AD829" i="42"/>
  <c r="AD824" i="42"/>
  <c r="AD823" i="42"/>
  <c r="AD822" i="42"/>
  <c r="AD817" i="42"/>
  <c r="AD816" i="42"/>
  <c r="AD815" i="42"/>
  <c r="AD814" i="42"/>
  <c r="AD809" i="42"/>
  <c r="AD808" i="42"/>
  <c r="AD807" i="42"/>
  <c r="AD802" i="42"/>
  <c r="AD801" i="42"/>
  <c r="AD800" i="42"/>
  <c r="AD795" i="42"/>
  <c r="AD794" i="42"/>
  <c r="AD793" i="42"/>
  <c r="AD792" i="42"/>
  <c r="AD787" i="42"/>
  <c r="AD786" i="42"/>
  <c r="AD785" i="42"/>
  <c r="AD780" i="42"/>
  <c r="AD779" i="42"/>
  <c r="AD778" i="42"/>
  <c r="AD777" i="42"/>
  <c r="AD772" i="42"/>
  <c r="AD771" i="42"/>
  <c r="AD770" i="42"/>
  <c r="AD769" i="42"/>
  <c r="AD764" i="42"/>
  <c r="AD763" i="42"/>
  <c r="AD762" i="42"/>
  <c r="AD757" i="42"/>
  <c r="AD756" i="42"/>
  <c r="AD755" i="42"/>
  <c r="AD750" i="42"/>
  <c r="AD749" i="42"/>
  <c r="AD748" i="42"/>
  <c r="AD747" i="42"/>
  <c r="AD742" i="42"/>
  <c r="AD741" i="42"/>
  <c r="AD740" i="42"/>
  <c r="AD739" i="42"/>
  <c r="AD734" i="42"/>
  <c r="AD733" i="42"/>
  <c r="AD732" i="42"/>
  <c r="AD731" i="42"/>
  <c r="AD726" i="42"/>
  <c r="AD725" i="42"/>
  <c r="AD724" i="42"/>
  <c r="AD723" i="42"/>
  <c r="AD718" i="42"/>
  <c r="AD717" i="42"/>
  <c r="AD716" i="42"/>
  <c r="AD715" i="42"/>
  <c r="AD710" i="42"/>
  <c r="AD709" i="42"/>
  <c r="AD708" i="42"/>
  <c r="AD703" i="42"/>
  <c r="AD702" i="42"/>
  <c r="AD701" i="42"/>
  <c r="AD700" i="42"/>
  <c r="AD695" i="42"/>
  <c r="AD694" i="42"/>
  <c r="AD693" i="42"/>
  <c r="AD688" i="42"/>
  <c r="AD687" i="42"/>
  <c r="AD686" i="42"/>
  <c r="AD685" i="42"/>
  <c r="AD680" i="42"/>
  <c r="AD679" i="42"/>
  <c r="AD678" i="42"/>
  <c r="AE667" i="42"/>
  <c r="AD667" i="42"/>
  <c r="AE666" i="42"/>
  <c r="AD666" i="42"/>
  <c r="AE665" i="42"/>
  <c r="AD665" i="42"/>
  <c r="AE660" i="42"/>
  <c r="AD660" i="42"/>
  <c r="AE659" i="42"/>
  <c r="AD659" i="42"/>
  <c r="AE658" i="42"/>
  <c r="AD658" i="42"/>
  <c r="AE653" i="42"/>
  <c r="AD653" i="42"/>
  <c r="AE652" i="42"/>
  <c r="AD652" i="42"/>
  <c r="AE651" i="42"/>
  <c r="AD651" i="42"/>
  <c r="AE646" i="42"/>
  <c r="AD646" i="42"/>
  <c r="AE641" i="42"/>
  <c r="AD641" i="42"/>
  <c r="AE640" i="42"/>
  <c r="AD640" i="42"/>
  <c r="AE639" i="42"/>
  <c r="AD639" i="42"/>
  <c r="AE634" i="42"/>
  <c r="AD634" i="42"/>
  <c r="AE629" i="42"/>
  <c r="AD629" i="42"/>
  <c r="AE628" i="42"/>
  <c r="AD628" i="42"/>
  <c r="AE627" i="42"/>
  <c r="AD627" i="42"/>
  <c r="AE622" i="42"/>
  <c r="AD622" i="42"/>
  <c r="AE621" i="42"/>
  <c r="AD621" i="42"/>
  <c r="AE620" i="42"/>
  <c r="AD620" i="42"/>
  <c r="AE615" i="42"/>
  <c r="AD615" i="42"/>
  <c r="AE614" i="42"/>
  <c r="AD614" i="42"/>
  <c r="AE613" i="42"/>
  <c r="AD613" i="42"/>
  <c r="AE608" i="42"/>
  <c r="AD608" i="42"/>
  <c r="AE607" i="42"/>
  <c r="AD607" i="42"/>
  <c r="AE606" i="42"/>
  <c r="AD606" i="42"/>
  <c r="AE601" i="42"/>
  <c r="AD601" i="42"/>
  <c r="AE600" i="42"/>
  <c r="AD600" i="42"/>
  <c r="AE599" i="42"/>
  <c r="AD599" i="42"/>
  <c r="AE594" i="42"/>
  <c r="AD594" i="42"/>
  <c r="AE593" i="42"/>
  <c r="AD593" i="42"/>
  <c r="AE592" i="42"/>
  <c r="AD592" i="42"/>
  <c r="AE587" i="42"/>
  <c r="AD587" i="42"/>
  <c r="AE586" i="42"/>
  <c r="AD586" i="42"/>
  <c r="AE585" i="42"/>
  <c r="AD585" i="42"/>
  <c r="AE580" i="42"/>
  <c r="AD580" i="42"/>
  <c r="AE579" i="42"/>
  <c r="AD579" i="42"/>
  <c r="AE578" i="42"/>
  <c r="AD578" i="42"/>
  <c r="AE573" i="42"/>
  <c r="AD573" i="42"/>
  <c r="AE572" i="42"/>
  <c r="AD572" i="42"/>
  <c r="AE571" i="42"/>
  <c r="AD571" i="42"/>
  <c r="AE566" i="42"/>
  <c r="AD566" i="42"/>
  <c r="AE565" i="42"/>
  <c r="AD565" i="42"/>
  <c r="AE564" i="42"/>
  <c r="AD564" i="42"/>
  <c r="AE559" i="42"/>
  <c r="AD559" i="42"/>
  <c r="AE558" i="42"/>
  <c r="AD558" i="42"/>
  <c r="AE557" i="42"/>
  <c r="AD557" i="42"/>
  <c r="AE552" i="42"/>
  <c r="AD552" i="42"/>
  <c r="AE551" i="42"/>
  <c r="AD551" i="42"/>
  <c r="AE550" i="42"/>
  <c r="AD550" i="42"/>
  <c r="AE545" i="42"/>
  <c r="AD545" i="42"/>
  <c r="AE544" i="42"/>
  <c r="AD544" i="42"/>
  <c r="AE543" i="42"/>
  <c r="AD543" i="42"/>
  <c r="AE538" i="42"/>
  <c r="AD538" i="42"/>
  <c r="AE537" i="42"/>
  <c r="AD537" i="42"/>
  <c r="AE536" i="42"/>
  <c r="AD536" i="42"/>
  <c r="AE531" i="42"/>
  <c r="AD531" i="42"/>
  <c r="AE530" i="42"/>
  <c r="AD530" i="42"/>
  <c r="AE529" i="42"/>
  <c r="AD529" i="42"/>
  <c r="AE524" i="42"/>
  <c r="AD524" i="42"/>
  <c r="AE523" i="42"/>
  <c r="AD523" i="42"/>
  <c r="AE522" i="42"/>
  <c r="AD522" i="42"/>
  <c r="AE517" i="42"/>
  <c r="AD517" i="42"/>
  <c r="AE516" i="42"/>
  <c r="AD516" i="42"/>
  <c r="AE515" i="42"/>
  <c r="AD515" i="42"/>
  <c r="AE510" i="42"/>
  <c r="AD510" i="42"/>
  <c r="AE509" i="42"/>
  <c r="AD509" i="42"/>
  <c r="AE508" i="42"/>
  <c r="AD508" i="42"/>
  <c r="AE497" i="42"/>
  <c r="AD497" i="42"/>
  <c r="AE496" i="42"/>
  <c r="AD496" i="42"/>
  <c r="AE491" i="42"/>
  <c r="AD491" i="42"/>
  <c r="AE490" i="42"/>
  <c r="AD490" i="42"/>
  <c r="AE485" i="42"/>
  <c r="AD485" i="42"/>
  <c r="AE484" i="42"/>
  <c r="AD484" i="42"/>
  <c r="AE479" i="42"/>
  <c r="AD479" i="42"/>
  <c r="AE478" i="42"/>
  <c r="AD478" i="42"/>
  <c r="AE473" i="42"/>
  <c r="AD473" i="42"/>
  <c r="AE472" i="42"/>
  <c r="AD472" i="42"/>
  <c r="AE467" i="42"/>
  <c r="AD467" i="42"/>
  <c r="AE466" i="42"/>
  <c r="AD466" i="42"/>
  <c r="AE461" i="42"/>
  <c r="AD461" i="42"/>
  <c r="AE460" i="42"/>
  <c r="AD460" i="42"/>
  <c r="AE455" i="42"/>
  <c r="AD455" i="42"/>
  <c r="AE454" i="42"/>
  <c r="AD454" i="42"/>
  <c r="AE449" i="42"/>
  <c r="AD449" i="42"/>
  <c r="AE448" i="42"/>
  <c r="AD448" i="42"/>
  <c r="AE443" i="42"/>
  <c r="AD443" i="42"/>
  <c r="AE442" i="42"/>
  <c r="AD442" i="42"/>
  <c r="AE437" i="42"/>
  <c r="AD437" i="42"/>
  <c r="AE436" i="42"/>
  <c r="AD436" i="42"/>
  <c r="AE431" i="42"/>
  <c r="AD431" i="42"/>
  <c r="AE430" i="42"/>
  <c r="AD430" i="42"/>
  <c r="AE425" i="42"/>
  <c r="AD425" i="42"/>
  <c r="AE424" i="42"/>
  <c r="AD424" i="42"/>
  <c r="AE419" i="42"/>
  <c r="AD419" i="42"/>
  <c r="AE418" i="42"/>
  <c r="AD418" i="42"/>
  <c r="AE413" i="42"/>
  <c r="AD413" i="42"/>
  <c r="AE412" i="42"/>
  <c r="AD412" i="42"/>
  <c r="AE407" i="42"/>
  <c r="AD407" i="42"/>
  <c r="AE406" i="42"/>
  <c r="AD406" i="42"/>
  <c r="AE401" i="42"/>
  <c r="AD401" i="42"/>
  <c r="AE400" i="42"/>
  <c r="AD400" i="42"/>
  <c r="AE395" i="42"/>
  <c r="AD395" i="42"/>
  <c r="AE394" i="42"/>
  <c r="AD394" i="42"/>
  <c r="AE389" i="42"/>
  <c r="AD389" i="42"/>
  <c r="AE388" i="42"/>
  <c r="AD388" i="42"/>
  <c r="AE383" i="42"/>
  <c r="AD383" i="42"/>
  <c r="AE382" i="42"/>
  <c r="AD382" i="42"/>
  <c r="AE371" i="42"/>
  <c r="AD371" i="42"/>
  <c r="AE366" i="42"/>
  <c r="AD366" i="42"/>
  <c r="AE361" i="42"/>
  <c r="AD361" i="42"/>
  <c r="AE356" i="42"/>
  <c r="AD356" i="42"/>
  <c r="AE351" i="42"/>
  <c r="AD351" i="42"/>
  <c r="AE346" i="42"/>
  <c r="AD346" i="42"/>
  <c r="AE341" i="42"/>
  <c r="AD341" i="42"/>
  <c r="AE336" i="42"/>
  <c r="AD336" i="42"/>
  <c r="AE331" i="42"/>
  <c r="AD331" i="42"/>
  <c r="AE326" i="42"/>
  <c r="AD326" i="42"/>
  <c r="AE321" i="42"/>
  <c r="AD321" i="42"/>
  <c r="AE316" i="42"/>
  <c r="AD316" i="42"/>
  <c r="AE311" i="42"/>
  <c r="AD311" i="42"/>
  <c r="AE300" i="42"/>
  <c r="AD300" i="42"/>
  <c r="AE295" i="42"/>
  <c r="AD295" i="42"/>
  <c r="AE290" i="42"/>
  <c r="AD290" i="42"/>
  <c r="AE285" i="42"/>
  <c r="AD285" i="42"/>
  <c r="AE280" i="42"/>
  <c r="AD280" i="42"/>
  <c r="AE275" i="42"/>
  <c r="AD275" i="42"/>
  <c r="AE270" i="42"/>
  <c r="AD270" i="42"/>
  <c r="AE265" i="42"/>
  <c r="AD265" i="42"/>
  <c r="AE260" i="42"/>
  <c r="AD260" i="42"/>
  <c r="AE255" i="42"/>
  <c r="AD255" i="42"/>
  <c r="AE250" i="42"/>
  <c r="AD250" i="42"/>
  <c r="AE245" i="42"/>
  <c r="AD245" i="42"/>
  <c r="AE240" i="42"/>
  <c r="AD240" i="42"/>
  <c r="AE235" i="42"/>
  <c r="AD235" i="42"/>
  <c r="AE224" i="42"/>
  <c r="AD224" i="42"/>
  <c r="AE219" i="42"/>
  <c r="AD219" i="42"/>
  <c r="AE214" i="42"/>
  <c r="AD214" i="42"/>
  <c r="AE209" i="42"/>
  <c r="AD209" i="42"/>
  <c r="AE204" i="42"/>
  <c r="AD204" i="42"/>
  <c r="AE199" i="42"/>
  <c r="AD199" i="42"/>
  <c r="AE194" i="42"/>
  <c r="AD194" i="42"/>
  <c r="AE189" i="42"/>
  <c r="AD189" i="42"/>
  <c r="AE184" i="42"/>
  <c r="AD184" i="42"/>
  <c r="AE179" i="42"/>
  <c r="AD179" i="42"/>
  <c r="AE174" i="42"/>
  <c r="AD174" i="42"/>
  <c r="AE169" i="42"/>
  <c r="AD169" i="42"/>
  <c r="AE164" i="42"/>
  <c r="AD164" i="42"/>
  <c r="AE153" i="42"/>
  <c r="AD153" i="42"/>
  <c r="AE148" i="42"/>
  <c r="AD148" i="42"/>
  <c r="AE143" i="42"/>
  <c r="AD143" i="42"/>
  <c r="AE138" i="42"/>
  <c r="AD138" i="42"/>
  <c r="AE133" i="42"/>
  <c r="AD133" i="42"/>
  <c r="AE128" i="42"/>
  <c r="AD128" i="42"/>
  <c r="AE123" i="42"/>
  <c r="AD123" i="42"/>
  <c r="AE118" i="42"/>
  <c r="AD118" i="42"/>
  <c r="AE113" i="42"/>
  <c r="AD113" i="42"/>
  <c r="AE102" i="42"/>
  <c r="AD102" i="42"/>
  <c r="AE97" i="42"/>
  <c r="AD97" i="42"/>
  <c r="AE92" i="42"/>
  <c r="AD92" i="42"/>
  <c r="AE87" i="42"/>
  <c r="AD87" i="42"/>
  <c r="AE82" i="42"/>
  <c r="AD82" i="42"/>
  <c r="AE71" i="42"/>
  <c r="AD71" i="42"/>
  <c r="AE70" i="42"/>
  <c r="AD70" i="42"/>
  <c r="AE65" i="42"/>
  <c r="AD65" i="42"/>
  <c r="AE64" i="42"/>
  <c r="AD64" i="42"/>
  <c r="AE59" i="42"/>
  <c r="AD59" i="42"/>
  <c r="AE58" i="42"/>
  <c r="AD58" i="42"/>
  <c r="AE53" i="42"/>
  <c r="AD53" i="42"/>
  <c r="AE52" i="42"/>
  <c r="AD52" i="42"/>
  <c r="AE47" i="42"/>
  <c r="AD47" i="42"/>
  <c r="AE46" i="42"/>
  <c r="AD46" i="42"/>
  <c r="AE41" i="42"/>
  <c r="AD41" i="42"/>
  <c r="AE40" i="42"/>
  <c r="AD40" i="42"/>
  <c r="AE29" i="42"/>
  <c r="AD29" i="42"/>
  <c r="AE28" i="42"/>
  <c r="AD28" i="42"/>
  <c r="AE23" i="42"/>
  <c r="AD23" i="42"/>
  <c r="AE22" i="42"/>
  <c r="AD22" i="42"/>
  <c r="F14" i="42"/>
  <c r="F6" i="42"/>
  <c r="H17" i="41"/>
  <c r="P13" i="41"/>
  <c r="F6" i="41"/>
  <c r="G28" i="40"/>
  <c r="G27" i="40"/>
  <c r="G26" i="40"/>
  <c r="D23" i="40"/>
  <c r="D14" i="40"/>
  <c r="D13" i="40"/>
  <c r="D11" i="40"/>
  <c r="D10" i="40"/>
  <c r="D9" i="40"/>
  <c r="D7" i="40"/>
  <c r="D6" i="40"/>
  <c r="D4" i="40"/>
  <c r="D3" i="40"/>
  <c r="N12" i="39"/>
  <c r="M12" i="39"/>
  <c r="L12" i="39"/>
  <c r="K12" i="39"/>
  <c r="J12" i="39"/>
  <c r="I12" i="39"/>
  <c r="H12" i="39"/>
  <c r="G12" i="39"/>
  <c r="G9" i="39"/>
  <c r="G8" i="39"/>
  <c r="G7" i="39"/>
  <c r="D4"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6" i="33"/>
  <c r="E136" i="33"/>
  <c r="L135" i="33"/>
  <c r="E134" i="33"/>
  <c r="L133" i="33"/>
  <c r="F133" i="33"/>
  <c r="F132" i="33"/>
  <c r="E132" i="33"/>
  <c r="L129" i="33"/>
  <c r="F129" i="33"/>
  <c r="F126" i="33"/>
  <c r="E126" i="33"/>
  <c r="E127" i="33" s="1"/>
  <c r="L123" i="33"/>
  <c r="F123" i="33"/>
  <c r="E123" i="33"/>
  <c r="E124" i="33" s="1"/>
  <c r="E122" i="33"/>
  <c r="L121" i="33"/>
  <c r="E121" i="33"/>
  <c r="F120" i="33"/>
  <c r="F119" i="33"/>
  <c r="F118" i="33"/>
  <c r="E118" i="33"/>
  <c r="L117" i="33"/>
  <c r="F116" i="33"/>
  <c r="L115" i="33"/>
  <c r="F115" i="33"/>
  <c r="E115" i="33"/>
  <c r="F114" i="33"/>
  <c r="E114" i="33"/>
  <c r="L113" i="33"/>
  <c r="E113" i="33"/>
  <c r="L112" i="33"/>
  <c r="F112" i="33"/>
  <c r="L111" i="33"/>
  <c r="F111" i="33"/>
  <c r="E111" i="33"/>
  <c r="F110" i="33"/>
  <c r="L109" i="33"/>
  <c r="E109" i="33"/>
  <c r="L108" i="33"/>
  <c r="E106" i="33"/>
  <c r="F105" i="33"/>
  <c r="F104" i="33"/>
  <c r="E104" i="33"/>
  <c r="L103" i="33"/>
  <c r="E103" i="33"/>
  <c r="L102" i="33"/>
  <c r="E102" i="33"/>
  <c r="F101" i="33"/>
  <c r="L99" i="33"/>
  <c r="E98" i="33"/>
  <c r="L97" i="33"/>
  <c r="F97" i="33"/>
  <c r="F96" i="33"/>
  <c r="E96" i="33"/>
  <c r="L95" i="33"/>
  <c r="E94" i="33"/>
  <c r="L93" i="33"/>
  <c r="K93" i="33"/>
  <c r="J93" i="33"/>
  <c r="I93" i="33"/>
  <c r="H93" i="33"/>
  <c r="F93" i="33"/>
  <c r="F92" i="33"/>
  <c r="L91" i="33"/>
  <c r="F91" i="33"/>
  <c r="E91" i="33"/>
  <c r="F90" i="33"/>
  <c r="E90" i="33"/>
  <c r="F89" i="33"/>
  <c r="E89" i="33"/>
  <c r="L88" i="33"/>
  <c r="L87" i="33"/>
  <c r="F87" i="33"/>
  <c r="E87" i="33"/>
  <c r="E86" i="33"/>
  <c r="L84" i="33"/>
  <c r="F84" i="33"/>
  <c r="E83" i="33"/>
  <c r="E82" i="33"/>
  <c r="F81" i="33"/>
  <c r="F79" i="33"/>
  <c r="E79" i="33"/>
  <c r="L78" i="33"/>
  <c r="E78" i="33"/>
  <c r="E71" i="33"/>
  <c r="L69" i="33"/>
  <c r="K69" i="33"/>
  <c r="J69" i="33"/>
  <c r="I69" i="33"/>
  <c r="H69" i="33"/>
  <c r="E69" i="33"/>
  <c r="E75" i="33" s="1"/>
  <c r="N68" i="33"/>
  <c r="F67" i="33"/>
  <c r="N66" i="33"/>
  <c r="L66" i="33"/>
  <c r="E66" i="33"/>
  <c r="M66" i="33" s="1"/>
  <c r="L65" i="33"/>
  <c r="F65" i="33"/>
  <c r="E65" i="33"/>
  <c r="M65" i="33" s="1"/>
  <c r="F64" i="33"/>
  <c r="E64" i="33"/>
  <c r="M64" i="33" s="1"/>
  <c r="E63" i="33"/>
  <c r="M63" i="33" s="1"/>
  <c r="F62" i="33"/>
  <c r="E62" i="33"/>
  <c r="M62" i="33" s="1"/>
  <c r="L61" i="33"/>
  <c r="L60" i="33"/>
  <c r="F60" i="33"/>
  <c r="E60" i="33"/>
  <c r="M60" i="33" s="1"/>
  <c r="L59" i="33"/>
  <c r="F59" i="33"/>
  <c r="E59" i="33"/>
  <c r="M59" i="33" s="1"/>
  <c r="L58" i="33"/>
  <c r="F58" i="33"/>
  <c r="F57" i="33"/>
  <c r="L56" i="33"/>
  <c r="F56" i="33"/>
  <c r="E56" i="33"/>
  <c r="M56" i="33" s="1"/>
  <c r="L55" i="33"/>
  <c r="F55" i="33"/>
  <c r="E55" i="33"/>
  <c r="M55" i="33" s="1"/>
  <c r="L54" i="33"/>
  <c r="F54" i="33"/>
  <c r="E54" i="33"/>
  <c r="M54" i="33" s="1"/>
  <c r="L53" i="33"/>
  <c r="F53" i="33"/>
  <c r="L52" i="33"/>
  <c r="F52" i="33"/>
  <c r="E52" i="33"/>
  <c r="M52" i="33" s="1"/>
  <c r="L51" i="33"/>
  <c r="F51" i="33"/>
  <c r="E51" i="33"/>
  <c r="M51" i="33" s="1"/>
  <c r="L50" i="33"/>
  <c r="F50" i="33"/>
  <c r="E50" i="33"/>
  <c r="M50" i="33" s="1"/>
  <c r="L49" i="33"/>
  <c r="F49" i="33"/>
  <c r="L48" i="33"/>
  <c r="F48" i="33"/>
  <c r="E48" i="33"/>
  <c r="M48" i="33" s="1"/>
  <c r="F47" i="33"/>
  <c r="E47" i="33"/>
  <c r="M47" i="33" s="1"/>
  <c r="L46" i="33"/>
  <c r="J46" i="33"/>
  <c r="I46" i="33"/>
  <c r="F46" i="33"/>
  <c r="E46" i="33"/>
  <c r="M46" i="33" s="1"/>
  <c r="L45" i="33"/>
  <c r="F45" i="33"/>
  <c r="E45" i="33"/>
  <c r="M45" i="33" s="1"/>
  <c r="L44" i="33"/>
  <c r="F44" i="33"/>
  <c r="E44" i="33"/>
  <c r="M44" i="33" s="1"/>
  <c r="F43" i="33"/>
  <c r="E43" i="33"/>
  <c r="M43" i="33" s="1"/>
  <c r="L42" i="33"/>
  <c r="F42" i="33"/>
  <c r="E42" i="33"/>
  <c r="M42" i="33" s="1"/>
  <c r="L41" i="33"/>
  <c r="E41" i="33"/>
  <c r="M41" i="33" s="1"/>
  <c r="M40" i="33"/>
  <c r="M39" i="33"/>
  <c r="M38" i="33"/>
  <c r="M37" i="33"/>
  <c r="M36" i="33"/>
  <c r="M35" i="33"/>
  <c r="M34" i="33"/>
  <c r="L33" i="33"/>
  <c r="K33" i="33"/>
  <c r="J33" i="33"/>
  <c r="I33" i="33"/>
  <c r="H33" i="33"/>
  <c r="F33" i="33"/>
  <c r="E33" i="33"/>
  <c r="M33" i="33" s="1"/>
  <c r="E32" i="33"/>
  <c r="M32" i="33" s="1"/>
  <c r="L31" i="33"/>
  <c r="F31" i="33"/>
  <c r="L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G41" i="31"/>
  <c r="AB41" i="31"/>
  <c r="AC41" i="31" s="1"/>
  <c r="AD41" i="31" s="1"/>
  <c r="AF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J6" i="31"/>
  <c r="S6"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G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I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S43" i="21"/>
  <c r="I44" i="21" s="1"/>
  <c r="S44" i="21" s="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S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J48" i="17"/>
  <c r="AP47" i="17"/>
  <c r="AP46" i="17"/>
  <c r="AD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I47" i="16" s="1"/>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J48" i="15"/>
  <c r="AP47" i="15"/>
  <c r="AP46" i="15"/>
  <c r="AD46" i="15"/>
  <c r="S46" i="15"/>
  <c r="I47" i="15" s="1"/>
  <c r="S47" i="15" s="1"/>
  <c r="AP45" i="15"/>
  <c r="AP44" i="15"/>
  <c r="AP43" i="15"/>
  <c r="AM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D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K8" i="12"/>
  <c r="S8" i="12" s="1"/>
  <c r="AP7" i="12"/>
  <c r="AP6" i="12"/>
  <c r="S6" i="12"/>
  <c r="AP5" i="12"/>
  <c r="AD5" i="12"/>
  <c r="S5" i="12"/>
  <c r="I6" i="12" s="1"/>
  <c r="J7" i="12" s="1"/>
  <c r="S7"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S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3" i="7"/>
  <c r="G51" i="7"/>
  <c r="E46" i="7"/>
  <c r="G45" i="7"/>
  <c r="E44" i="7"/>
  <c r="G43" i="7"/>
  <c r="E43" i="7"/>
  <c r="G39" i="7"/>
  <c r="E39" i="7"/>
  <c r="E38" i="7"/>
  <c r="E37" i="7"/>
  <c r="G36" i="7"/>
  <c r="E36" i="7"/>
  <c r="G35" i="7"/>
  <c r="E35" i="7"/>
  <c r="G34" i="7"/>
  <c r="E34" i="7"/>
  <c r="D34" i="7"/>
  <c r="E33" i="7"/>
  <c r="A33" i="7"/>
  <c r="D33" i="7" s="1"/>
  <c r="G29" i="7"/>
  <c r="G28" i="7"/>
  <c r="G27" i="7"/>
  <c r="D22"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AN115" i="5"/>
  <c r="S46" i="32" s="1"/>
  <c r="AM115" i="5"/>
  <c r="AL115" i="5"/>
  <c r="AD48" i="32" s="1"/>
  <c r="AK115" i="5"/>
  <c r="AD47" i="32" s="1"/>
  <c r="AJ115" i="5"/>
  <c r="G257" i="48" s="1"/>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F57" i="48" s="1"/>
  <c r="AQ84" i="5"/>
  <c r="AP84" i="5"/>
  <c r="S43" i="22" s="1"/>
  <c r="I44" i="22" s="1"/>
  <c r="AO84" i="5"/>
  <c r="S42" i="22" s="1"/>
  <c r="AN84" i="5"/>
  <c r="S41" i="22" s="1"/>
  <c r="AM84" i="5"/>
  <c r="AL84" i="5"/>
  <c r="AC43" i="22" s="1"/>
  <c r="AK84" i="5"/>
  <c r="AJ84" i="5"/>
  <c r="AI84" i="5"/>
  <c r="AH84" i="5"/>
  <c r="AQ79" i="5"/>
  <c r="AP79" i="5"/>
  <c r="AO79" i="5"/>
  <c r="S42" i="21" s="1"/>
  <c r="AN79" i="5"/>
  <c r="S41" i="21" s="1"/>
  <c r="AM79" i="5"/>
  <c r="AL79" i="5"/>
  <c r="AC43" i="21" s="1"/>
  <c r="AK79" i="5"/>
  <c r="AC42" i="21" s="1"/>
  <c r="AJ79" i="5"/>
  <c r="AI79" i="5"/>
  <c r="AH79" i="5"/>
  <c r="AQ63" i="5"/>
  <c r="AP63" i="5"/>
  <c r="S45" i="14" s="1"/>
  <c r="AO63" i="5"/>
  <c r="S44" i="14" s="1"/>
  <c r="AN63" i="5"/>
  <c r="AM63" i="5"/>
  <c r="AD46" i="14" s="1"/>
  <c r="AL63" i="5"/>
  <c r="AK63" i="5"/>
  <c r="AD44" i="13" s="1"/>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AN53" i="5"/>
  <c r="S45" i="20" s="1"/>
  <c r="AM53" i="5"/>
  <c r="AB48" i="20" s="1"/>
  <c r="AL53" i="5"/>
  <c r="AB47" i="20" s="1"/>
  <c r="AK53" i="5"/>
  <c r="AB46" i="20" s="1"/>
  <c r="AJ53" i="5"/>
  <c r="AI53" i="5"/>
  <c r="AH53" i="5"/>
  <c r="AQ48" i="5"/>
  <c r="AP48" i="5"/>
  <c r="S45" i="15" s="1"/>
  <c r="AO48" i="5"/>
  <c r="S44" i="15" s="1"/>
  <c r="AN48" i="5"/>
  <c r="S43" i="15" s="1"/>
  <c r="AM48" i="5"/>
  <c r="AL48" i="5"/>
  <c r="AD45" i="15" s="1"/>
  <c r="AK48" i="5"/>
  <c r="AD44" i="15" s="1"/>
  <c r="AJ48" i="5"/>
  <c r="AI48" i="5"/>
  <c r="AH48" i="5"/>
  <c r="AQ43" i="5"/>
  <c r="S46" i="18" s="1"/>
  <c r="AP43" i="5"/>
  <c r="S45" i="18" s="1"/>
  <c r="AO43" i="5"/>
  <c r="S44" i="18" s="1"/>
  <c r="AN43" i="5"/>
  <c r="S43" i="18" s="1"/>
  <c r="AM43" i="5"/>
  <c r="AD46" i="18" s="1"/>
  <c r="AL43" i="5"/>
  <c r="AD45" i="18" s="1"/>
  <c r="AK43" i="5"/>
  <c r="AJ43" i="5"/>
  <c r="AI43" i="5"/>
  <c r="AH43" i="5"/>
  <c r="AQ38" i="5"/>
  <c r="S46" i="17" s="1"/>
  <c r="I47" i="17" s="1"/>
  <c r="AP38" i="5"/>
  <c r="S45" i="17" s="1"/>
  <c r="AO38" i="5"/>
  <c r="S44" i="17" s="1"/>
  <c r="AN38" i="5"/>
  <c r="S43" i="17" s="1"/>
  <c r="AM38" i="5"/>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AN28" i="5"/>
  <c r="AM28" i="5"/>
  <c r="O22" i="64" s="1"/>
  <c r="AL28" i="5"/>
  <c r="AK28" i="5"/>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J18" i="5"/>
  <c r="AI18" i="5"/>
  <c r="AH18" i="5"/>
  <c r="AQ13" i="5"/>
  <c r="AP13" i="5"/>
  <c r="S45" i="11" s="1"/>
  <c r="AO13" i="5"/>
  <c r="AN13" i="5"/>
  <c r="S43" i="11" s="1"/>
  <c r="AM13" i="5"/>
  <c r="AD46" i="11" s="1"/>
  <c r="AL13" i="5"/>
  <c r="AD45" i="11" s="1"/>
  <c r="AK13" i="5"/>
  <c r="AD44" i="11" s="1"/>
  <c r="AJ13" i="5"/>
  <c r="AI13" i="5"/>
  <c r="AH13" i="5"/>
  <c r="D6" i="5"/>
  <c r="D5" i="5"/>
  <c r="R18" i="4"/>
  <c r="Q18" i="4"/>
  <c r="I18" i="4"/>
  <c r="E18" i="4"/>
  <c r="P18" i="4" s="1"/>
  <c r="M7" i="39" s="1"/>
  <c r="R15" i="4"/>
  <c r="R13" i="4"/>
  <c r="E13" i="4"/>
  <c r="P13" i="4" s="1"/>
  <c r="E7" i="4"/>
  <c r="D5" i="4"/>
  <c r="O16" i="3"/>
  <c r="M16" i="3" a="1"/>
  <c r="M16" i="3"/>
  <c r="E16" i="3"/>
  <c r="G15" i="3"/>
  <c r="I15" i="4" s="1"/>
  <c r="Q15" i="4" s="1"/>
  <c r="E15" i="3"/>
  <c r="O13" i="3"/>
  <c r="M13" i="3" a="1"/>
  <c r="M13" i="3"/>
  <c r="E13" i="3"/>
  <c r="E12" i="3"/>
  <c r="G12" i="3" s="1"/>
  <c r="I13" i="4" s="1"/>
  <c r="Q13" i="4" s="1"/>
  <c r="E4" i="3"/>
  <c r="E59" i="2"/>
  <c r="E49" i="2"/>
  <c r="E41" i="2"/>
  <c r="E31" i="2"/>
  <c r="E27" i="2"/>
  <c r="E26" i="2"/>
  <c r="F25" i="2"/>
  <c r="E22" i="2"/>
  <c r="E21" i="2"/>
  <c r="F20" i="2"/>
  <c r="E19" i="2"/>
  <c r="I9" i="2"/>
  <c r="E5" i="2"/>
  <c r="B5" i="1" s="1"/>
  <c r="E3" i="2"/>
  <c r="E2" i="2"/>
  <c r="M10" i="54"/>
  <c r="M2" i="55"/>
  <c r="AT7" i="31"/>
  <c r="AT47" i="30"/>
  <c r="AL7" i="28"/>
  <c r="AL48" i="25"/>
  <c r="AL46" i="22"/>
  <c r="AL7" i="21"/>
  <c r="AV51" i="20"/>
  <c r="AN49" i="18"/>
  <c r="AN49" i="17"/>
  <c r="AN49" i="16"/>
  <c r="AN49" i="15"/>
  <c r="AN8" i="14"/>
  <c r="AN49" i="13"/>
  <c r="AN8" i="12"/>
  <c r="AN49" i="11"/>
  <c r="AT47" i="31"/>
  <c r="AL7" i="23"/>
  <c r="AL7" i="22"/>
  <c r="AL46" i="21"/>
  <c r="AN8" i="16"/>
  <c r="Y25" i="64"/>
  <c r="M2" i="54"/>
  <c r="AL46" i="27"/>
  <c r="AL7" i="27"/>
  <c r="AT7" i="30"/>
  <c r="AL46" i="24"/>
  <c r="AL46" i="23"/>
  <c r="AR56" i="19"/>
  <c r="AR8" i="19"/>
  <c r="AN8" i="18"/>
  <c r="AN8" i="17"/>
  <c r="AN8" i="15"/>
  <c r="M10" i="55"/>
  <c r="AL46" i="28"/>
  <c r="AL8" i="25"/>
  <c r="AL7" i="24"/>
  <c r="J13" i="3"/>
  <c r="AV8" i="20"/>
  <c r="AR55" i="19"/>
  <c r="AN49" i="12"/>
  <c r="AN8" i="11"/>
  <c r="AN49" i="14"/>
  <c r="AN8" i="13"/>
  <c r="H46" i="51" l="1"/>
  <c r="K8" i="39"/>
  <c r="I10" i="45"/>
  <c r="K10" i="50"/>
  <c r="N11" i="35"/>
  <c r="J11" i="37"/>
  <c r="H24" i="34"/>
  <c r="J11" i="38"/>
  <c r="J26" i="33"/>
  <c r="K27" i="40"/>
  <c r="I10" i="50"/>
  <c r="I11" i="38"/>
  <c r="I27" i="40"/>
  <c r="I8" i="39"/>
  <c r="H10" i="45"/>
  <c r="M11" i="35"/>
  <c r="I26" i="33"/>
  <c r="H15" i="34"/>
  <c r="I11" i="37"/>
  <c r="S7" i="16"/>
  <c r="K8" i="16"/>
  <c r="S8" i="16" s="1"/>
  <c r="I9" i="50"/>
  <c r="I10" i="38"/>
  <c r="H9" i="45"/>
  <c r="H14" i="34"/>
  <c r="I7" i="39"/>
  <c r="I10" i="37"/>
  <c r="M10" i="35"/>
  <c r="I26" i="40"/>
  <c r="I25" i="33"/>
  <c r="S47" i="11"/>
  <c r="J48" i="11"/>
  <c r="S47" i="12"/>
  <c r="J48" i="12"/>
  <c r="S6" i="14"/>
  <c r="J7" i="14"/>
  <c r="S7" i="18"/>
  <c r="D4" i="4"/>
  <c r="P15" i="4"/>
  <c r="J10" i="45"/>
  <c r="M27" i="40"/>
  <c r="K11" i="37"/>
  <c r="O11" i="35"/>
  <c r="H33" i="34"/>
  <c r="K26" i="33"/>
  <c r="M8" i="39"/>
  <c r="K11" i="38"/>
  <c r="M10" i="50"/>
  <c r="F209" i="48"/>
  <c r="F87" i="48"/>
  <c r="F148" i="48"/>
  <c r="F24" i="48"/>
  <c r="F270" i="48"/>
  <c r="G212" i="48"/>
  <c r="G90" i="48"/>
  <c r="G27" i="48"/>
  <c r="G273" i="48"/>
  <c r="O19" i="64"/>
  <c r="G276" i="48"/>
  <c r="G154" i="48"/>
  <c r="G30" i="48"/>
  <c r="G215" i="48"/>
  <c r="G93" i="48"/>
  <c r="S43" i="16"/>
  <c r="L19" i="64"/>
  <c r="F279" i="48"/>
  <c r="F96" i="48"/>
  <c r="F33" i="48"/>
  <c r="F218" i="48"/>
  <c r="F157" i="48"/>
  <c r="G282" i="48"/>
  <c r="G160" i="48"/>
  <c r="G36" i="48"/>
  <c r="G99" i="48"/>
  <c r="G221" i="48"/>
  <c r="AD43" i="17"/>
  <c r="F224" i="48"/>
  <c r="F163" i="48"/>
  <c r="F285" i="48"/>
  <c r="F39" i="48"/>
  <c r="F102" i="48"/>
  <c r="G288" i="48"/>
  <c r="G166" i="48"/>
  <c r="G42" i="48"/>
  <c r="AD43" i="15"/>
  <c r="G105" i="48"/>
  <c r="G227" i="48"/>
  <c r="F108" i="48"/>
  <c r="F45" i="48"/>
  <c r="F230" i="48"/>
  <c r="F169" i="48"/>
  <c r="F291" i="48"/>
  <c r="G294" i="48"/>
  <c r="G172" i="48"/>
  <c r="G48" i="48"/>
  <c r="AC42" i="25"/>
  <c r="G111" i="48"/>
  <c r="G233" i="48"/>
  <c r="AD45" i="14"/>
  <c r="AD45" i="13"/>
  <c r="G236" i="48"/>
  <c r="G114" i="48"/>
  <c r="G51" i="48"/>
  <c r="G175" i="48"/>
  <c r="G297" i="48"/>
  <c r="F178" i="48"/>
  <c r="F117" i="48"/>
  <c r="F54" i="48"/>
  <c r="F300" i="48"/>
  <c r="F239" i="48"/>
  <c r="S44" i="22"/>
  <c r="J45" i="22"/>
  <c r="G242" i="48"/>
  <c r="G120" i="48"/>
  <c r="G303" i="48"/>
  <c r="AC41" i="23"/>
  <c r="G181" i="48"/>
  <c r="G57" i="48"/>
  <c r="F60" i="48"/>
  <c r="F306" i="48"/>
  <c r="F245" i="48"/>
  <c r="F184" i="48"/>
  <c r="J45" i="24"/>
  <c r="S44" i="24"/>
  <c r="G248" i="48"/>
  <c r="G126" i="48"/>
  <c r="G309" i="48"/>
  <c r="G63" i="48"/>
  <c r="G187" i="48"/>
  <c r="AD46" i="26"/>
  <c r="F190" i="48"/>
  <c r="F129" i="48"/>
  <c r="F312" i="48"/>
  <c r="F251" i="48"/>
  <c r="F66" i="48"/>
  <c r="S45" i="30"/>
  <c r="J46" i="30"/>
  <c r="G254" i="48"/>
  <c r="G132" i="48"/>
  <c r="G193" i="48"/>
  <c r="AG42" i="31"/>
  <c r="G69" i="48"/>
  <c r="G315" i="48"/>
  <c r="F318" i="48"/>
  <c r="F257" i="48"/>
  <c r="F72" i="48"/>
  <c r="F135" i="48"/>
  <c r="G260" i="48"/>
  <c r="G138" i="48"/>
  <c r="G75" i="48"/>
  <c r="AC41" i="27"/>
  <c r="G199" i="48"/>
  <c r="G321" i="48"/>
  <c r="F202" i="48"/>
  <c r="F141" i="48"/>
  <c r="F324" i="48"/>
  <c r="F263" i="48"/>
  <c r="F78" i="48"/>
  <c r="J45" i="28"/>
  <c r="S44" i="28"/>
  <c r="G266" i="48"/>
  <c r="G144" i="48"/>
  <c r="AD46" i="29"/>
  <c r="G81" i="48"/>
  <c r="G327" i="48"/>
  <c r="G205" i="48"/>
  <c r="D35" i="7"/>
  <c r="D36" i="7"/>
  <c r="S45" i="13"/>
  <c r="AD43" i="16"/>
  <c r="S6" i="23"/>
  <c r="K7" i="23"/>
  <c r="S7" i="23" s="1"/>
  <c r="S5" i="24"/>
  <c r="J6" i="24"/>
  <c r="G151" i="48"/>
  <c r="K9" i="39"/>
  <c r="K28" i="40"/>
  <c r="J12" i="38"/>
  <c r="H25" i="34"/>
  <c r="K11" i="50"/>
  <c r="N12" i="35"/>
  <c r="J27" i="33"/>
  <c r="I11" i="45"/>
  <c r="J12" i="37"/>
  <c r="J11" i="45"/>
  <c r="M28" i="40"/>
  <c r="K12" i="37"/>
  <c r="O12" i="35"/>
  <c r="H34" i="34"/>
  <c r="M9" i="39"/>
  <c r="K27" i="33"/>
  <c r="M11" i="50"/>
  <c r="K12" i="38"/>
  <c r="O20" i="64"/>
  <c r="AD44" i="16"/>
  <c r="L20" i="64"/>
  <c r="S44" i="16"/>
  <c r="K55" i="19"/>
  <c r="U54" i="19"/>
  <c r="J48" i="18"/>
  <c r="I47" i="18"/>
  <c r="J50" i="20"/>
  <c r="I49" i="20"/>
  <c r="S46" i="14"/>
  <c r="I47" i="14" s="1"/>
  <c r="S46" i="13"/>
  <c r="I47" i="13" s="1"/>
  <c r="D37" i="7"/>
  <c r="D38" i="7" s="1"/>
  <c r="D39" i="7" s="1"/>
  <c r="AD43" i="12"/>
  <c r="K8" i="13"/>
  <c r="S8" i="13" s="1"/>
  <c r="S7" i="13"/>
  <c r="S48" i="17"/>
  <c r="K49" i="17"/>
  <c r="S49" i="17" s="1"/>
  <c r="U8" i="19"/>
  <c r="L9" i="19"/>
  <c r="U9" i="19" s="1"/>
  <c r="U7" i="19"/>
  <c r="K51" i="20"/>
  <c r="S51" i="20" s="1"/>
  <c r="K7" i="30"/>
  <c r="S7" i="30" s="1"/>
  <c r="S6" i="30"/>
  <c r="F196" i="48"/>
  <c r="I11" i="50"/>
  <c r="I12" i="38"/>
  <c r="H16" i="34"/>
  <c r="M12" i="35"/>
  <c r="I28" i="40"/>
  <c r="H11" i="45"/>
  <c r="I9" i="39"/>
  <c r="I12" i="37"/>
  <c r="J9" i="45"/>
  <c r="M26" i="40"/>
  <c r="K10" i="37"/>
  <c r="O10" i="35"/>
  <c r="M9" i="50"/>
  <c r="K25" i="33"/>
  <c r="K10" i="38"/>
  <c r="H32" i="34"/>
  <c r="G2" i="48"/>
  <c r="G270" i="48"/>
  <c r="G209" i="48"/>
  <c r="AD43" i="11"/>
  <c r="G148" i="48"/>
  <c r="G87" i="48"/>
  <c r="G24" i="48"/>
  <c r="G5" i="48"/>
  <c r="F273" i="48"/>
  <c r="F151" i="48"/>
  <c r="F90" i="48"/>
  <c r="F27" i="48"/>
  <c r="F212" i="48"/>
  <c r="F154" i="48"/>
  <c r="F93" i="48"/>
  <c r="F30" i="48"/>
  <c r="F276" i="48"/>
  <c r="O21" i="64"/>
  <c r="AD45" i="16"/>
  <c r="L21" i="64"/>
  <c r="S45" i="16"/>
  <c r="G218" i="48"/>
  <c r="G96" i="48"/>
  <c r="G157" i="48"/>
  <c r="G279" i="48"/>
  <c r="AG49" i="19"/>
  <c r="G33" i="48"/>
  <c r="F36" i="48"/>
  <c r="F282" i="48"/>
  <c r="F221" i="48"/>
  <c r="F160" i="48"/>
  <c r="F99" i="48"/>
  <c r="G224" i="48"/>
  <c r="G102" i="48"/>
  <c r="G285" i="48"/>
  <c r="AD43" i="18"/>
  <c r="G39" i="48"/>
  <c r="G163" i="48"/>
  <c r="F42" i="48"/>
  <c r="F166" i="48"/>
  <c r="F105" i="48"/>
  <c r="F288" i="48"/>
  <c r="F227" i="48"/>
  <c r="G230" i="48"/>
  <c r="G108" i="48"/>
  <c r="G169" i="48"/>
  <c r="G291" i="48"/>
  <c r="AB45" i="20"/>
  <c r="G45" i="48"/>
  <c r="F294" i="48"/>
  <c r="F233" i="48"/>
  <c r="F111" i="48"/>
  <c r="F172" i="48"/>
  <c r="F48" i="48"/>
  <c r="AD43" i="13"/>
  <c r="AD43" i="14"/>
  <c r="S43" i="13"/>
  <c r="S43" i="14"/>
  <c r="F114" i="48"/>
  <c r="F51" i="48"/>
  <c r="F236" i="48"/>
  <c r="F175" i="48"/>
  <c r="G300" i="48"/>
  <c r="G178" i="48"/>
  <c r="G54" i="48"/>
  <c r="G239" i="48"/>
  <c r="G117" i="48"/>
  <c r="AC41" i="22"/>
  <c r="F303" i="48"/>
  <c r="F242" i="48"/>
  <c r="F181" i="48"/>
  <c r="F120" i="48"/>
  <c r="J45" i="23"/>
  <c r="S44" i="23"/>
  <c r="G306" i="48"/>
  <c r="G184" i="48"/>
  <c r="G60" i="48"/>
  <c r="G123" i="48"/>
  <c r="AC41" i="24"/>
  <c r="G245" i="48"/>
  <c r="F248" i="48"/>
  <c r="F187" i="48"/>
  <c r="F126" i="48"/>
  <c r="F63" i="48"/>
  <c r="F309" i="48"/>
  <c r="G312" i="48"/>
  <c r="G190" i="48"/>
  <c r="G66" i="48"/>
  <c r="G251" i="48"/>
  <c r="G129" i="48"/>
  <c r="F132" i="48"/>
  <c r="F69" i="48"/>
  <c r="F315" i="48"/>
  <c r="F193" i="48"/>
  <c r="F254" i="48"/>
  <c r="J46" i="31"/>
  <c r="S45" i="31"/>
  <c r="G318" i="48"/>
  <c r="G196" i="48"/>
  <c r="G72" i="48"/>
  <c r="AD46" i="32"/>
  <c r="G135" i="48"/>
  <c r="F138" i="48"/>
  <c r="F75" i="48"/>
  <c r="F260" i="48"/>
  <c r="F199" i="48"/>
  <c r="F321" i="48"/>
  <c r="J45" i="27"/>
  <c r="S44" i="27"/>
  <c r="G324" i="48"/>
  <c r="G202" i="48"/>
  <c r="G78" i="48"/>
  <c r="G263" i="48"/>
  <c r="AC41" i="28"/>
  <c r="G141" i="48"/>
  <c r="F327" i="48"/>
  <c r="F266" i="48"/>
  <c r="F81" i="48"/>
  <c r="F144" i="48"/>
  <c r="F205" i="48"/>
  <c r="D21" i="7"/>
  <c r="D20" i="7"/>
  <c r="J7" i="11"/>
  <c r="J7" i="15"/>
  <c r="S6" i="15"/>
  <c r="S48" i="15"/>
  <c r="K49" i="15"/>
  <c r="S49" i="15" s="1"/>
  <c r="S7" i="17"/>
  <c r="K8" i="17"/>
  <c r="S8" i="17" s="1"/>
  <c r="J45" i="21"/>
  <c r="AG42" i="30"/>
  <c r="I27" i="33"/>
  <c r="I31" i="33"/>
  <c r="F123" i="48"/>
  <c r="F297" i="48"/>
  <c r="K39" i="43"/>
  <c r="L38" i="43"/>
  <c r="P38" i="43"/>
  <c r="P58" i="43" s="1"/>
  <c r="T38" i="43"/>
  <c r="T58" i="43" s="1"/>
  <c r="X38" i="43"/>
  <c r="X58" i="43" s="1"/>
  <c r="AB38" i="43"/>
  <c r="AB58" i="43" s="1"/>
  <c r="L23" i="64"/>
  <c r="G24" i="64"/>
  <c r="J47" i="25"/>
  <c r="K48" i="25"/>
  <c r="S48" i="25" s="1"/>
  <c r="S44" i="13"/>
  <c r="K7" i="27"/>
  <c r="S7" i="27" s="1"/>
  <c r="S6" i="27"/>
  <c r="K28" i="43"/>
  <c r="J48" i="16"/>
  <c r="K7" i="21"/>
  <c r="S7" i="21" s="1"/>
  <c r="E74" i="33"/>
  <c r="E73" i="33"/>
  <c r="M69" i="33"/>
  <c r="K31" i="33" s="1"/>
  <c r="E72" i="33"/>
  <c r="E76" i="33"/>
  <c r="E70" i="33"/>
  <c r="M70" i="33" s="1"/>
  <c r="K15" i="43"/>
  <c r="L36" i="43"/>
  <c r="S5" i="28"/>
  <c r="J6" i="28"/>
  <c r="B34" i="33"/>
  <c r="V58" i="43"/>
  <c r="D3" i="39"/>
  <c r="D22" i="40"/>
  <c r="M36" i="43"/>
  <c r="U36" i="43"/>
  <c r="Y36" i="43"/>
  <c r="M38" i="43"/>
  <c r="M58" i="43" s="1"/>
  <c r="Q38" i="43"/>
  <c r="Q58" i="43" s="1"/>
  <c r="U38" i="43"/>
  <c r="U58" i="43" s="1"/>
  <c r="Y38" i="43"/>
  <c r="Y58" i="43" s="1"/>
  <c r="F5" i="42"/>
  <c r="F5" i="41"/>
  <c r="U148" i="63"/>
  <c r="M148" i="63" s="1"/>
  <c r="E12" i="46" s="1"/>
  <c r="AA16" i="63"/>
  <c r="N16" i="63" s="1"/>
  <c r="K21" i="45" s="1"/>
  <c r="AA12" i="63"/>
  <c r="N12" i="63" s="1"/>
  <c r="K16" i="45" s="1"/>
  <c r="U14" i="63"/>
  <c r="M14" i="63" s="1"/>
  <c r="E18" i="45" s="1"/>
  <c r="E5" i="62"/>
  <c r="C5" i="62" s="1"/>
  <c r="D5" i="46" s="1"/>
  <c r="E3" i="62"/>
  <c r="C3" i="62" s="1"/>
  <c r="D5" i="45" s="1"/>
  <c r="J47" i="51"/>
  <c r="J46" i="51"/>
  <c r="M270" i="48"/>
  <c r="M148" i="48"/>
  <c r="M24" i="48"/>
  <c r="E14" i="48"/>
  <c r="E35" i="47"/>
  <c r="E25" i="47"/>
  <c r="G17" i="46"/>
  <c r="AA15" i="63"/>
  <c r="N15" i="63" s="1"/>
  <c r="K19" i="45" s="1"/>
  <c r="AA13" i="63"/>
  <c r="N13" i="63" s="1"/>
  <c r="K17" i="45" s="1"/>
  <c r="E30" i="62"/>
  <c r="C30" i="62" s="1"/>
  <c r="D14" i="47" s="1"/>
  <c r="E5" i="55"/>
  <c r="J50" i="51"/>
  <c r="J49" i="51"/>
  <c r="E10" i="49"/>
  <c r="F84" i="48"/>
  <c r="E31" i="47"/>
  <c r="J52" i="51"/>
  <c r="E5" i="54"/>
  <c r="E6" i="62"/>
  <c r="C6" i="62" s="1"/>
  <c r="E21" i="33" s="1"/>
  <c r="E29" i="62"/>
  <c r="C29" i="62" s="1"/>
  <c r="D5" i="49" s="1"/>
  <c r="AA36" i="43"/>
  <c r="I48" i="43"/>
  <c r="H48" i="43" s="1"/>
  <c r="N48" i="43"/>
  <c r="K48" i="43" s="1"/>
  <c r="E16" i="46"/>
  <c r="E32" i="47"/>
  <c r="M209" i="48"/>
  <c r="E11" i="49"/>
  <c r="L10" i="54"/>
  <c r="R10" i="54" s="1"/>
  <c r="I36" i="43"/>
  <c r="H36" i="43" s="1"/>
  <c r="N36" i="43"/>
  <c r="R36" i="43"/>
  <c r="V36" i="43"/>
  <c r="Z36" i="43"/>
  <c r="G52" i="51"/>
  <c r="G51" i="51"/>
  <c r="G46" i="51"/>
  <c r="H52" i="51"/>
  <c r="F2" i="54"/>
  <c r="K86" i="33" l="1"/>
  <c r="K142" i="33"/>
  <c r="N58" i="43"/>
  <c r="L24" i="64"/>
  <c r="H25" i="64"/>
  <c r="L25" i="64" s="1"/>
  <c r="K46" i="21"/>
  <c r="S46" i="21" s="1"/>
  <c r="S45" i="21"/>
  <c r="S45" i="22"/>
  <c r="K46" i="22"/>
  <c r="S46" i="22" s="1"/>
  <c r="I58" i="43"/>
  <c r="H58" i="43" s="1"/>
  <c r="S48" i="16"/>
  <c r="K49" i="16"/>
  <c r="S49" i="16" s="1"/>
  <c r="H31" i="33"/>
  <c r="H142" i="33" s="1"/>
  <c r="K8" i="11"/>
  <c r="S8" i="11" s="1"/>
  <c r="S7" i="11"/>
  <c r="S47" i="13"/>
  <c r="J48" i="13"/>
  <c r="S46" i="30"/>
  <c r="K47" i="30"/>
  <c r="S47" i="30" s="1"/>
  <c r="K36" i="43"/>
  <c r="I86" i="33"/>
  <c r="I142" i="33"/>
  <c r="S47" i="14"/>
  <c r="J48" i="14"/>
  <c r="S48" i="18"/>
  <c r="K49" i="18"/>
  <c r="S49" i="18" s="1"/>
  <c r="S7" i="14"/>
  <c r="K8" i="14"/>
  <c r="S8" i="14" s="1"/>
  <c r="S48" i="11"/>
  <c r="K49" i="11"/>
  <c r="S49" i="11" s="1"/>
  <c r="J31" i="33"/>
  <c r="S45" i="23"/>
  <c r="K46" i="23"/>
  <c r="S46" i="23" s="1"/>
  <c r="K46" i="28"/>
  <c r="S46" i="28" s="1"/>
  <c r="S45" i="28"/>
  <c r="K46" i="24"/>
  <c r="S46" i="24" s="1"/>
  <c r="S45" i="24"/>
  <c r="K7" i="39"/>
  <c r="J10" i="37"/>
  <c r="J25" i="33"/>
  <c r="K26" i="40"/>
  <c r="K9" i="50"/>
  <c r="H23" i="34"/>
  <c r="I9" i="45"/>
  <c r="N10" i="35"/>
  <c r="J10" i="38"/>
  <c r="K7" i="28"/>
  <c r="S7" i="28" s="1"/>
  <c r="S6" i="28"/>
  <c r="L58" i="43"/>
  <c r="K38" i="43"/>
  <c r="K8" i="15"/>
  <c r="S8" i="15" s="1"/>
  <c r="S7" i="15"/>
  <c r="S45" i="27"/>
  <c r="K46" i="27"/>
  <c r="S46" i="27" s="1"/>
  <c r="S46" i="31"/>
  <c r="K47" i="31"/>
  <c r="S47" i="31" s="1"/>
  <c r="D43" i="7"/>
  <c r="D44" i="7" s="1"/>
  <c r="D45" i="7" s="1"/>
  <c r="D41" i="7"/>
  <c r="D40" i="7"/>
  <c r="L56" i="19"/>
  <c r="U56" i="19" s="1"/>
  <c r="U55" i="19"/>
  <c r="K7" i="24"/>
  <c r="S7" i="24" s="1"/>
  <c r="S6" i="24"/>
  <c r="K49" i="12"/>
  <c r="S49" i="12" s="1"/>
  <c r="S48" i="12"/>
  <c r="K49" i="14" l="1"/>
  <c r="S49" i="14" s="1"/>
  <c r="S48" i="14"/>
  <c r="J142" i="33"/>
  <c r="J86" i="33"/>
  <c r="D47" i="7"/>
  <c r="D51" i="7"/>
  <c r="D46" i="7"/>
  <c r="D49" i="7"/>
  <c r="D48" i="7"/>
  <c r="K58" i="43"/>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<sst xmlns="http://schemas.openxmlformats.org/spreadsheetml/2006/main" count="35805" uniqueCount="5190">
  <si>
    <t xml:space="preserve"> (требуется обновление)</t>
  </si>
  <si>
    <t>Код отчёта: PP108.OPEN.INFO.BALANCE.VOTV.EIAS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</si>
  <si>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</si>
  <si>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</si>
  <si>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</si>
  <si>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</si>
  <si>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</si>
  <si>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</si>
  <si>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</si>
  <si>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</si>
  <si>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</si>
  <si>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</si>
  <si>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</si>
  <si>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</si>
  <si>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</si>
  <si>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</si>
  <si>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</si>
  <si>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</si>
  <si>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</si>
  <si>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</si>
  <si>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</si>
  <si>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</si>
  <si>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</si>
  <si>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</si>
  <si>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</si>
  <si>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</si>
  <si>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</si>
  <si>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</si>
  <si>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</si>
  <si>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</si>
  <si>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</si>
  <si>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</si>
  <si>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</si>
  <si>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</si>
  <si>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</si>
  <si>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</si>
  <si>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</si>
  <si>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</si>
  <si>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</si>
  <si>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</si>
  <si>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</si>
  <si>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</si>
  <si>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</si>
  <si>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</si>
  <si>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</si>
  <si>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</si>
  <si>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</si>
  <si>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</si>
  <si>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</si>
  <si>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</si>
  <si>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</si>
  <si>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</si>
  <si>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</si>
  <si>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</si>
  <si>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</si>
  <si>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</si>
  <si>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</si>
  <si>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</si>
  <si>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</si>
  <si>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</si>
  <si>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</si>
  <si>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</si>
  <si>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</si>
  <si>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</si>
  <si>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</si>
  <si>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</si>
  <si>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</si>
  <si>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</si>
  <si>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</si>
  <si>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</si>
  <si>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</si>
  <si>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Халтурин Илья Вячеславович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</si>
  <si>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</si>
  <si>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</si>
  <si>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</si>
  <si>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</si>
  <si>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</si>
  <si>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</si>
  <si>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</si>
  <si>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</si>
  <si>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</si>
  <si>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</si>
  <si>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</si>
  <si>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</si>
  <si>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</si>
  <si>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</si>
  <si>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</si>
  <si>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</si>
  <si>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</si>
  <si>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</si>
  <si>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</si>
  <si>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</si>
  <si>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</si>
  <si>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</si>
  <si>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</si>
  <si>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</si>
  <si>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</si>
  <si>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</si>
  <si>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</si>
  <si>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</si>
  <si>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</si>
  <si>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</si>
  <si>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</si>
  <si>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</si>
  <si>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</si>
  <si>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24</t>
  </si>
  <si>
    <t>Кстовский муниципальный округ</t>
  </si>
  <si>
    <t>22537000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</si>
  <si>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</si>
  <si>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</si>
  <si>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</si>
  <si>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</si>
  <si>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</si>
  <si>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</si>
  <si>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</si>
  <si>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</si>
  <si>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</si>
  <si>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</si>
  <si>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</si>
  <si>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</si>
  <si>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</si>
  <si>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Централизованная система водоотведения города Нижнего Новгорода</t>
  </si>
  <si>
    <t>diff_1</t>
  </si>
  <si>
    <t>4189714</t>
  </si>
  <si>
    <t>a</t>
  </si>
  <si>
    <t>Добавить централизованную систему</t>
  </si>
  <si>
    <t>Централизованная система водоотведения Кстовского муниципального района</t>
  </si>
  <si>
    <t>diff_5</t>
  </si>
  <si>
    <t>Добавить описание территории</t>
  </si>
  <si>
    <t>diff_51</t>
  </si>
  <si>
    <t>4189712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</si>
  <si>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</si>
  <si>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</si>
  <si>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</si>
  <si>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</si>
  <si>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</si>
  <si>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</si>
  <si>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</si>
  <si>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</si>
  <si>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</si>
  <si>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</si>
  <si>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</si>
  <si>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</si>
  <si>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</si>
  <si>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</si>
  <si>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</si>
  <si>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</si>
  <si>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</si>
  <si>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</si>
  <si>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</si>
  <si>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</si>
  <si>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</si>
  <si>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</si>
  <si>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</si>
  <si>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</si>
  <si>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</si>
  <si>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</si>
  <si>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</si>
  <si>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</si>
  <si>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</si>
  <si>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</si>
  <si>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</si>
  <si>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</si>
  <si>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</si>
  <si>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</si>
  <si>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</si>
  <si>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</si>
  <si>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</si>
  <si>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</si>
  <si>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</si>
  <si>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</si>
  <si>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</si>
  <si>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</si>
  <si>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</si>
  <si>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</si>
  <si>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</si>
  <si>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</si>
  <si>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</si>
  <si>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</si>
  <si>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</si>
  <si>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</si>
  <si>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</si>
  <si>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</si>
  <si>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</si>
  <si>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</si>
  <si>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</si>
  <si>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</si>
  <si>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</si>
  <si>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</si>
  <si>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</si>
  <si>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</si>
  <si>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</si>
  <si>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</si>
  <si>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</si>
  <si>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</si>
  <si>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</si>
  <si>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</si>
  <si>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</si>
  <si>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</si>
  <si>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</si>
  <si>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</si>
  <si>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</si>
  <si>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</si>
  <si>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</si>
  <si>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</si>
  <si>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</si>
  <si>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</si>
  <si>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</si>
  <si>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</si>
  <si>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</si>
  <si>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</si>
  <si>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</si>
  <si>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</si>
  <si>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</si>
  <si>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</si>
  <si>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</si>
  <si>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</si>
  <si>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</si>
  <si>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</si>
  <si>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</si>
  <si>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</si>
  <si>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</si>
  <si>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</si>
  <si>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</si>
  <si>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</si>
  <si>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</si>
  <si>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</si>
  <si>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</si>
  <si>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</si>
  <si>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</si>
  <si>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</si>
  <si>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</si>
  <si>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</si>
  <si>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</si>
  <si>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</si>
  <si>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</si>
  <si>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</si>
  <si>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</si>
  <si>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</si>
  <si>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</si>
  <si>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</si>
  <si>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</si>
  <si>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</si>
  <si>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</si>
  <si>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</si>
  <si>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</si>
  <si>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</si>
  <si>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</si>
  <si>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</si>
  <si>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</si>
  <si>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</si>
  <si>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</si>
  <si>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</si>
  <si>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</si>
  <si>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</si>
  <si>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</si>
  <si>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</si>
  <si>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</si>
  <si>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</si>
  <si>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</si>
  <si>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</si>
  <si>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</si>
  <si>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</si>
  <si>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</si>
  <si>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</si>
  <si>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</si>
  <si>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</si>
  <si>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</si>
  <si>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</si>
  <si>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</si>
  <si>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</si>
  <si>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</si>
  <si>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</si>
  <si>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</si>
  <si>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</si>
  <si>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</si>
  <si>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</si>
  <si>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</si>
  <si>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</si>
  <si>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</si>
  <si>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</si>
  <si>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</si>
  <si>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</si>
  <si>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</si>
  <si>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</si>
  <si>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</si>
  <si>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</si>
  <si>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</si>
  <si>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</si>
  <si>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</si>
  <si>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</si>
  <si>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</si>
  <si>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</si>
  <si>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</si>
  <si>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</si>
  <si>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</si>
  <si>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</si>
  <si>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</si>
  <si>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</si>
  <si>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</si>
  <si>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</si>
  <si>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</si>
  <si>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</si>
  <si>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</si>
  <si>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</si>
  <si>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</si>
  <si>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</si>
  <si>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</si>
  <si>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</si>
  <si>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</si>
  <si>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</si>
  <si>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</si>
  <si>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</si>
  <si>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</si>
  <si>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</si>
  <si>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</si>
  <si>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</si>
  <si>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</si>
  <si>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</si>
  <si>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</si>
  <si>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</si>
  <si>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</si>
  <si>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</si>
  <si>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</si>
  <si>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</si>
  <si>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</si>
  <si>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</si>
  <si>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</si>
  <si>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</si>
  <si>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</si>
  <si>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</si>
  <si>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</si>
  <si>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</si>
  <si>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</si>
  <si>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</si>
  <si>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</si>
  <si>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</si>
  <si>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</si>
  <si>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</si>
  <si>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</si>
  <si>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</si>
  <si>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</si>
  <si>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</si>
  <si>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</si>
  <si>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</si>
  <si>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</si>
  <si>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</si>
  <si>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</si>
  <si>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</si>
  <si>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</si>
  <si>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</si>
  <si>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</si>
  <si>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</si>
  <si>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</si>
  <si>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</si>
  <si>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</si>
  <si>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</si>
  <si>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</si>
  <si>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</si>
  <si>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</si>
  <si>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</si>
  <si>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</si>
  <si>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</si>
  <si>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</si>
  <si>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</si>
  <si>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</si>
  <si>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</si>
  <si>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</si>
  <si>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</si>
  <si>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</si>
  <si>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</si>
  <si>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</si>
  <si>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</si>
  <si>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</si>
  <si>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</si>
  <si>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</si>
  <si>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</si>
  <si>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</si>
  <si>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</si>
  <si>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</si>
  <si>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</si>
  <si>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</si>
  <si>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</si>
  <si>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</si>
  <si>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</si>
  <si>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</si>
  <si>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</si>
  <si>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</si>
  <si>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</si>
  <si>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</si>
  <si>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</si>
  <si>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</si>
  <si>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</si>
  <si>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</si>
  <si>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</si>
  <si>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</si>
  <si>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</si>
  <si>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</si>
  <si>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</si>
  <si>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</si>
  <si>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</si>
  <si>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</si>
  <si>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</si>
  <si>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</si>
  <si>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</si>
  <si>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</si>
  <si>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</si>
  <si>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</si>
  <si>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</si>
  <si>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</si>
  <si>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</si>
  <si>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</si>
  <si>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</si>
  <si>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</si>
  <si>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</si>
  <si>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</si>
  <si>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</si>
  <si>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</si>
  <si>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</si>
  <si>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</si>
  <si>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</si>
  <si>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</si>
  <si>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</si>
  <si>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</si>
  <si>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</si>
  <si>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</si>
  <si>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</si>
  <si>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</si>
  <si>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</si>
  <si>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</si>
  <si>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</si>
  <si>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</si>
  <si>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</si>
  <si>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</si>
  <si>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</si>
  <si>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</si>
  <si>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</si>
  <si>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</si>
  <si>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</si>
  <si>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</si>
  <si>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</si>
  <si>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</si>
  <si>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</si>
  <si>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</si>
  <si>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</si>
  <si>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</si>
  <si>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</si>
  <si>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</si>
  <si>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</si>
  <si>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</si>
  <si>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</si>
  <si>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</si>
  <si>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</si>
  <si>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</si>
  <si>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</si>
  <si>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</si>
  <si>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</si>
  <si>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</si>
  <si>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</si>
  <si>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</si>
  <si>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</si>
  <si>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</si>
  <si>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</si>
  <si>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</si>
  <si>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</si>
  <si>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</si>
  <si>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</si>
  <si>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</si>
  <si>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</si>
  <si>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</si>
  <si>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</si>
  <si>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</si>
  <si>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</si>
  <si>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</si>
  <si>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</si>
  <si>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</si>
  <si>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</si>
  <si>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</si>
  <si>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</si>
  <si>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</si>
  <si>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</si>
  <si>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</si>
  <si>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</si>
  <si>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</si>
  <si>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</si>
  <si>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</si>
  <si>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</si>
  <si>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</si>
  <si>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</si>
  <si>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</si>
  <si>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</si>
  <si>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</si>
  <si>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</si>
  <si>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</si>
  <si>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</si>
  <si>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</si>
  <si>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</si>
  <si>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</si>
  <si>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</si>
  <si>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</si>
  <si>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</si>
  <si>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</si>
  <si>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</si>
  <si>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</si>
  <si>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</si>
  <si>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</si>
  <si>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</si>
  <si>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</si>
  <si>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</si>
  <si>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</si>
  <si>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</si>
  <si>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</si>
  <si>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</si>
  <si>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</si>
  <si>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</si>
  <si>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</si>
  <si>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</si>
  <si>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</si>
  <si>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</si>
  <si>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</si>
  <si>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</si>
  <si>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</si>
  <si>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</si>
  <si>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</si>
  <si>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</si>
  <si>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</si>
  <si>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</si>
  <si>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</si>
  <si>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</si>
  <si>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</si>
  <si>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</si>
  <si>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</si>
  <si>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</si>
  <si>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</si>
  <si>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</si>
  <si>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</si>
  <si>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</si>
  <si>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</si>
  <si>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</si>
  <si>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</si>
  <si>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</si>
  <si>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</si>
  <si>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</si>
  <si>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</si>
  <si>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</si>
  <si>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</si>
  <si>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</si>
  <si>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</si>
  <si>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</si>
  <si>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</si>
  <si>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</si>
  <si>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</si>
  <si>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</si>
  <si>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</si>
  <si>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</si>
  <si>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</si>
  <si>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</si>
  <si>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</si>
  <si>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</si>
  <si>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</si>
  <si>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</si>
  <si>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</si>
  <si>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</si>
  <si>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</si>
  <si>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</si>
  <si>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</si>
  <si>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</si>
  <si>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</si>
  <si>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</si>
  <si>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</si>
  <si>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</si>
  <si>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</si>
  <si>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</si>
  <si>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</si>
  <si>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</si>
  <si>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</si>
  <si>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</si>
  <si>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</si>
  <si>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</si>
  <si>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</si>
  <si>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</si>
  <si>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</si>
  <si>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</si>
  <si>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</si>
  <si>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</si>
  <si>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Плата за негативное воздействие на окружающую среду</t>
  </si>
  <si>
    <t>Транспортный налог</t>
  </si>
  <si>
    <t>Налог на имущество с учетом льгот</t>
  </si>
  <si>
    <t>Резерв по плате за НВОС</t>
  </si>
  <si>
    <t>Проценты к уплате</t>
  </si>
  <si>
    <t>Прочие расходы</t>
  </si>
  <si>
    <t>Добавить прочие расходы</t>
  </si>
  <si>
    <t>HEAT_P2</t>
  </si>
  <si>
    <t>NOT_HEAT_P2</t>
  </si>
  <si>
    <t>https://portal.eias.ru/Portal/DownloadPage.aspx?type=12&amp;guid=cb685ced-3882-4134-8457-213c11d7d79a</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</si>
  <si>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</si>
  <si>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</si>
  <si>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</si>
  <si>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</si>
  <si>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</si>
  <si>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</si>
  <si>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</si>
  <si>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</si>
  <si>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</si>
  <si>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</si>
  <si>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</si>
  <si>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</si>
  <si>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</si>
  <si>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</si>
  <si>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</si>
  <si>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</si>
  <si>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</si>
  <si>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</si>
  <si>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</si>
  <si>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</si>
  <si>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</si>
  <si>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</si>
  <si>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</si>
  <si>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</si>
  <si>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</si>
  <si>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</si>
  <si>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</si>
  <si>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</si>
  <si>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</si>
  <si>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</si>
  <si>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</si>
  <si>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</si>
  <si>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</si>
  <si>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</si>
  <si>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</si>
  <si>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</si>
  <si>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</si>
  <si>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</si>
  <si>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</si>
  <si>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</si>
  <si>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</si>
  <si>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</si>
  <si>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</si>
  <si>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</si>
  <si>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</si>
  <si>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</si>
  <si>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</si>
  <si>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</si>
  <si>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</si>
  <si>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</si>
  <si>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</si>
  <si>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</si>
  <si>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</si>
  <si>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</si>
  <si>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</si>
  <si>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</si>
  <si>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</si>
  <si>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</si>
  <si>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</si>
  <si>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</si>
  <si>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</si>
  <si>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</si>
  <si>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</si>
  <si>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</si>
  <si>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</si>
  <si>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</si>
  <si>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</si>
  <si>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</si>
  <si>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</si>
  <si>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</si>
  <si>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</si>
  <si>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</si>
  <si>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</si>
  <si>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</si>
  <si>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</si>
  <si>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</si>
  <si>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</si>
  <si>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</si>
  <si>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</si>
  <si>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</si>
  <si>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</si>
  <si>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</si>
  <si>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</si>
  <si>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</si>
  <si>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</si>
  <si>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</si>
  <si>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</si>
  <si>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</si>
  <si>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</si>
  <si>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</si>
  <si>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</si>
  <si>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</si>
  <si>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</si>
  <si>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</si>
  <si>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</si>
  <si>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</si>
  <si>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</si>
  <si>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</si>
  <si>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</si>
  <si>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</si>
  <si>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</si>
  <si>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</si>
  <si>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</si>
  <si>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</si>
  <si>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</si>
  <si>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</si>
  <si>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</si>
  <si>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</si>
  <si>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</si>
  <si>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</si>
  <si>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</si>
  <si>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</si>
  <si>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</si>
  <si>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</si>
  <si>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</si>
  <si>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</si>
  <si>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</si>
  <si>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</si>
  <si>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</si>
  <si>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</si>
  <si>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</si>
  <si>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</si>
  <si>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</si>
  <si>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</si>
  <si>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</si>
  <si>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</si>
  <si>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</si>
  <si>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</si>
  <si>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</si>
  <si>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</si>
  <si>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</si>
  <si>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</si>
  <si>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</si>
  <si>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</si>
  <si>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</si>
  <si>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</si>
  <si>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</si>
  <si>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</si>
  <si>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</si>
  <si>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</si>
  <si>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</si>
  <si>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</si>
  <si>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</si>
  <si>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</si>
  <si>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</si>
  <si>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</si>
  <si>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</si>
  <si>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</si>
  <si>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</si>
  <si>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</si>
  <si>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</si>
  <si>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</si>
  <si>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</si>
  <si>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</si>
  <si>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</si>
  <si>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</si>
  <si>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</si>
  <si>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</si>
  <si>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</si>
  <si>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</si>
  <si>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</si>
  <si>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</si>
  <si>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</si>
  <si>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</si>
  <si>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</si>
  <si>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</si>
  <si>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</si>
  <si>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</si>
  <si>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</si>
  <si>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</si>
  <si>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</si>
  <si>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</si>
  <si>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</si>
  <si>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</si>
  <si>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</si>
  <si>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</si>
  <si>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</si>
  <si>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</si>
  <si>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</si>
  <si>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</si>
  <si>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</si>
  <si>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</si>
  <si>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</si>
  <si>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</si>
  <si>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</si>
  <si>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</si>
  <si>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</si>
  <si>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</si>
  <si>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</si>
  <si>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</si>
  <si>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</si>
  <si>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</si>
  <si>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</si>
  <si>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</si>
  <si>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</si>
  <si>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</si>
  <si>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</si>
  <si>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</si>
  <si>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</si>
  <si>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</si>
  <si>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</si>
  <si>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</si>
  <si>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</si>
  <si>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</si>
  <si>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</si>
  <si>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</si>
  <si>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</si>
  <si>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</si>
  <si>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</si>
  <si>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</si>
  <si>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</si>
  <si>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</si>
  <si>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</si>
  <si>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</si>
  <si>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</si>
  <si>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</si>
  <si>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</si>
  <si>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</si>
  <si>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</si>
  <si>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</si>
  <si>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</si>
  <si>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</si>
  <si>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</si>
  <si>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</si>
  <si>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</si>
  <si>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</si>
  <si>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</si>
  <si>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</si>
  <si>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</si>
  <si>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</si>
  <si>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</si>
  <si>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</si>
  <si>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</si>
  <si>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</si>
  <si>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</si>
  <si>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</si>
  <si>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</si>
  <si>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</si>
  <si>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</si>
  <si>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</si>
  <si>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</si>
  <si>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</si>
  <si>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</si>
  <si>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</si>
  <si>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</si>
  <si>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</si>
  <si>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</si>
  <si>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</si>
  <si>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</si>
  <si>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</si>
  <si>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</si>
  <si>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</si>
  <si>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</si>
  <si>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</si>
  <si>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</si>
  <si>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</si>
  <si>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</si>
  <si>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</si>
  <si>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</si>
  <si>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</si>
  <si>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</si>
  <si>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</si>
  <si>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</si>
  <si>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</si>
  <si>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</si>
  <si>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</si>
  <si>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</si>
  <si>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</si>
  <si>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</si>
  <si>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</si>
  <si>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</si>
  <si>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</si>
  <si>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</si>
  <si>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</si>
  <si>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</si>
  <si>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</si>
  <si>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</si>
  <si>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</si>
  <si>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</si>
  <si>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</si>
  <si>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</si>
  <si>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</si>
  <si>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</si>
  <si>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</si>
  <si>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</si>
  <si>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</si>
  <si>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</si>
  <si>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</si>
  <si>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</si>
  <si>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</si>
  <si>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</si>
  <si>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</si>
  <si>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</si>
  <si>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</si>
  <si>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</si>
  <si>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</si>
  <si>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</si>
  <si>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</si>
  <si>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</si>
  <si>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</si>
  <si>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</si>
  <si>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</si>
  <si>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</si>
  <si>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</si>
  <si>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</si>
  <si>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</si>
  <si>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</si>
  <si>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</si>
  <si>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</si>
  <si>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</si>
  <si>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</si>
  <si>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</si>
  <si>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</si>
  <si>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</si>
  <si>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</si>
  <si>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</si>
  <si>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</si>
  <si>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</si>
  <si>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</si>
  <si>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</si>
  <si>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</si>
  <si>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</si>
  <si>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</si>
  <si>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</si>
  <si>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</si>
  <si>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</si>
  <si>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</si>
  <si>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</si>
  <si>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</si>
  <si>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</si>
  <si>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</si>
  <si>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</si>
  <si>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</si>
  <si>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</si>
  <si>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</si>
  <si>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</si>
  <si>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</si>
  <si>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</si>
  <si>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</si>
  <si>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</si>
  <si>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</si>
  <si>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</si>
  <si>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</si>
  <si>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</si>
  <si>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</si>
  <si>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</si>
  <si>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</si>
  <si>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</si>
  <si>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</si>
  <si>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</si>
  <si>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</si>
  <si>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</si>
  <si>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</si>
  <si>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https://portal.eias.ru/Portal/DownloadPage.aspx?type=12&amp;guid=942217bc-b013-418a-a306-ea174c4244ad</t>
  </si>
  <si>
    <t>https://portal.eias.ru/Portal/DownloadPage.aspx?type=12&amp;guid=8927f305-6f6c-4ed9-b22a-11942abeba0b</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</si>
  <si>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</si>
  <si>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</si>
  <si>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</si>
  <si>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https://portal.eias.ru/Portal/DownloadPage.aspx?type=12&amp;guid=ad591e7f-f2ff-42f0-98a3-8bff77a82dc1</t>
  </si>
  <si>
    <t>О показателях эффективности удаления загрязняющих веществ очистными сооружениями регулируемых организаций</t>
  </si>
  <si>
    <t>https://portal.eias.ru/Portal/DownloadPage.aspx?type=12&amp;guid=eb3d8af6-c79b-4d27-bf7b-1b8b5769317e</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</si>
  <si>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</si>
  <si>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</si>
  <si>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</si>
  <si>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</si>
  <si>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</si>
  <si>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</si>
  <si>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</si>
  <si>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</si>
  <si>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</si>
  <si>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</si>
  <si>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</si>
  <si>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</si>
  <si>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</si>
  <si>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</si>
  <si>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</si>
  <si>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</si>
  <si>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</si>
  <si>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</si>
  <si>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</si>
  <si>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</si>
  <si>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</si>
  <si>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</si>
  <si>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</si>
  <si>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</si>
  <si>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</si>
  <si>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</si>
  <si>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</si>
  <si>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</si>
  <si>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</si>
  <si>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</si>
  <si>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</si>
  <si>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</si>
  <si>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</si>
  <si>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</si>
  <si>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</si>
  <si>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</si>
  <si>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</si>
  <si>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</si>
  <si>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</si>
  <si>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</si>
  <si>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</si>
  <si>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</si>
  <si>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</si>
  <si>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</si>
  <si>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</si>
  <si>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</si>
  <si>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</si>
  <si>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</si>
  <si>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</si>
  <si>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t>
  </si>
  <si>
    <t>улучшение качества; повышение надёжности и энергетической эффективности</t>
  </si>
  <si>
    <t>Министерство энергетики и жилищно-коммунального хозяйства Нижегородской области</t>
  </si>
  <si>
    <t>Администрация города Нижнего Новгорода</t>
  </si>
  <si>
    <t>01.01.2014</t>
  </si>
  <si>
    <t>31.12.2030</t>
  </si>
  <si>
    <t>Инвестиционная программа "Модернизация" ОАО "Нижегородский водоканал"</t>
  </si>
  <si>
    <t>титульный лист ИП</t>
  </si>
  <si>
    <t>б/н</t>
  </si>
  <si>
    <t>19.12.2013</t>
  </si>
  <si>
    <t>Об утверждении скорректированной инвестиционной программы «Модернизация» 2014-2030 гг. АО «Нижегородский водоканал»</t>
  </si>
  <si>
    <t>Приказ</t>
  </si>
  <si>
    <t>329-487/23П/од</t>
  </si>
  <si>
    <t>Концессионное соглашение № б/н от 14.06.2013 в отношении централизованных систем холодного водоснабжения и водоотведения, расположенных на территории городского округа Нижний Новгород</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</si>
  <si>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</si>
  <si>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</si>
  <si>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</si>
  <si>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</si>
  <si>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</si>
  <si>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</si>
  <si>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</si>
  <si>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</si>
  <si>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</si>
  <si>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</si>
  <si>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</si>
  <si>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</si>
  <si>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</si>
  <si>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</si>
  <si>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</si>
  <si>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</si>
  <si>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</si>
  <si>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</si>
  <si>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</si>
  <si>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</si>
  <si>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</si>
  <si>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</si>
  <si>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</si>
  <si>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</si>
  <si>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</si>
  <si>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</si>
  <si>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</si>
  <si>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</si>
  <si>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</si>
  <si>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</si>
  <si>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</si>
  <si>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</si>
  <si>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</si>
  <si>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</si>
  <si>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</si>
  <si>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 xml:space="preserve">«Вынос из зоны строительства станции нижегородского метрополитена «Стрелка» участка канализационного коллектора Д=2000 мм» </t>
  </si>
  <si>
    <t>Декабрь</t>
  </si>
  <si>
    <t>2015</t>
  </si>
  <si>
    <t xml:space="preserve">  Кредиты</t>
  </si>
  <si>
    <t xml:space="preserve">  Лизинг</t>
  </si>
  <si>
    <t>Добавить источник финансирования</t>
  </si>
  <si>
    <t>Добавить объект инфраструктуры</t>
  </si>
  <si>
    <t>Мероприятия, направленные на повышение энергоэффективности в сфере водоотведения и очистки сточных вод</t>
  </si>
  <si>
    <t>Реконструкция Главной насосной станции (Стрелка)</t>
  </si>
  <si>
    <t>2016</t>
  </si>
  <si>
    <t>ГНС</t>
  </si>
  <si>
    <t>КНС</t>
  </si>
  <si>
    <t>г Нижний Новгород</t>
  </si>
  <si>
    <t>22701000001</t>
  </si>
  <si>
    <t>ул. Должанская</t>
  </si>
  <si>
    <t>2б</t>
  </si>
  <si>
    <t>Добавить мероприятие</t>
  </si>
  <si>
    <t>Мероприятия, направленные на повышение экологической эффективности</t>
  </si>
  <si>
    <t>Модернизация аэротенков очистных сооружений с заменой системы подачи активного ила</t>
  </si>
  <si>
    <t>2019</t>
  </si>
  <si>
    <t>Нижегородская станция аэрации</t>
  </si>
  <si>
    <t>ОС</t>
  </si>
  <si>
    <t>наб. Гребного канала</t>
  </si>
  <si>
    <t>д.1</t>
  </si>
  <si>
    <t>Реконструкция канализационного коллектора Д=600-1000мм по ул. Ковалихинской – Белинского (II этап – от ул. Трудовой до ул. Белинского Д=1000мм)</t>
  </si>
  <si>
    <t>2024</t>
  </si>
  <si>
    <t>Модернизация канализационного коллектора Ø 2450 мм инв. № 90542724 участка общей длиной 300 метров, расположенного в районе ул. Горная в Приокском районе г. Нижний Новгород</t>
  </si>
  <si>
    <t>2017</t>
  </si>
  <si>
    <t>Реконструкция насосной станции хозяйственно-бытовой канализации в рамках строительства стадиона «Стрелка» в г. Нижнем Новгороде (2-ой этап реконструкции Главной насосной станции, в рамках подготовки к Чемпионату мира по футболу 2018 г.)</t>
  </si>
  <si>
    <t>2018</t>
  </si>
  <si>
    <t>Модернизация цеха механического обезвоживания осадка на НСА</t>
  </si>
  <si>
    <t>Реконструкция (модернизация) сетей водоотведения для строящегося стадиона «Стрелка» в г. Нижнем Новгороде (реконструкция 1-го Автозаводского напорного канализационного коллектора Д=1420мм от КНС «Кавказ» до камеры №18 Стрелка, реконструкция (модернизация) Московского напорного канализационного коллектора Д=1020мм по Московскому шоссе от ш. Масложиркомбината до ул. Самаркандская).</t>
  </si>
  <si>
    <t>VOTV_IP_EVENT_SUBGROUP_1_LIST</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</si>
  <si>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</si>
  <si>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увеличение пропускной способности существующих сетей водоотведения и очистки сточных вод в целях подключения потребителей</t>
  </si>
  <si>
    <t>Реконструкция канализационной линии по ул. Ошарская и Пискунова от ул. Октябрьская до ул. Алексеевская L=300м с увеличением диаметра с Д200 до Д300 мм (для подключения объекта «Гостиница с крышной котельной и подземной автостоянкой», расположенного по адресу: ул. Алексеевская, д.6/16, с запрошенной мощностью 13.177 м3/ч)</t>
  </si>
  <si>
    <t xml:space="preserve">Строительство сооружений для ликвидации сброса промывных вод, сбору и перекачке осадка в городскую канализацию на водопроводной станции "Слудинская"   </t>
  </si>
  <si>
    <t xml:space="preserve">Строительство сооружений для ликвидации сброса промывных вод, сбору и перекачке осадка в городскую канализацию на водопроводной станции "Малиновая гряда"   </t>
  </si>
  <si>
    <t>Модернизация Химико-бактериологической лаборатории на НСА</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</si>
  <si>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</si>
  <si>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Реконструкция канализационных насосных станций (КНС) с заменой насосного оборудования, шкафов управления,  арматуры, повышение категории электроснабжения, прокладка новых трубопроводов</t>
  </si>
  <si>
    <t>2030</t>
  </si>
  <si>
    <t xml:space="preserve">Строительство сооружений для ликвидации сброса промывных вод, сбору и перекачке осадка в городскую канализацию Ново-Сормовской водопроводной станции   </t>
  </si>
  <si>
    <t>2022</t>
  </si>
  <si>
    <t>Модернизация (техническое перевооружение) хлораторной на  Нижегородской станции аэрации</t>
  </si>
  <si>
    <t>Реконструкция Нижегородской станции аэрации (ПИР)</t>
  </si>
  <si>
    <t>Создание АСУ ТП водоотведения</t>
  </si>
  <si>
    <t>2028</t>
  </si>
  <si>
    <t>Реконструкция напорного канализационного коллектора Д1420 мм по ул. Зеленодольская от ул. Комсомольское шоссе до ул. Чкалова (1-очередь по ул. Зеленодольская от пересечения с ул. Ледокола Садко до ул. Чкалова)</t>
  </si>
  <si>
    <t>2027</t>
  </si>
  <si>
    <t>Модернизация станции аэрации с установкой УФО сточных вод</t>
  </si>
  <si>
    <t>2026</t>
  </si>
  <si>
    <t>Строительство канализационных очистных сооружений в 
п. Берёзовая пойма</t>
  </si>
  <si>
    <t>2023</t>
  </si>
  <si>
    <t>Канализационное очистительное сооружение блочного типа</t>
  </si>
  <si>
    <t>п.Березовая пойма</t>
  </si>
  <si>
    <t>Реконструкция канализационного самотечного коллектора D=2000мм, протяженностью 454,0 п. м. на участке ул. Мещерский бульвар 5 – Мещерский бульвар 3 корп. 3.</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</si>
  <si>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</si>
  <si>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Строительство наружных сетей канализации 1-й очереди строительства ЖК «Новинки Смарт Сити»</t>
  </si>
  <si>
    <t>2020</t>
  </si>
  <si>
    <t>Реконструкция канализационного коллектора (санация) ул. Страж Революции 28 – Коминтерна 4/2 D=600мм</t>
  </si>
  <si>
    <t>Реконструкция прочих сетей водоотведения</t>
  </si>
  <si>
    <t>строительство новых сетей водоотведения и очистки сточных вод в целях подключения потребителей</t>
  </si>
  <si>
    <t>Прокладка 2-х канализационных линий 2хД=225мм протяженностью ~75 п. м. каждая, общей протяженностью ~150 п. м. от границ земельного участка объекта строительства: «Универсальный спортивный комплекс с искусственным льдом в г. Нижнем Новгороде», расположенного по адресу: Нижегородская область, город Нижний Новгород, Канавинский район, в квартале ул. Бетанкура, набережной р. Волга, ул. Должанская, ул. Самаркандская, до канализационного коллектора Д=500 мм по ул. Самаркандская (с запрошенной мощностью: хозяйственно-бытовые и производственные нужды 118,63м3/час/341,97м3/сут., в том числе производственные нужды 8м3/час/8м3/сут.)</t>
  </si>
  <si>
    <t xml:space="preserve">  Средства, полученные за счет платы за подключение (технологическое присоединение)</t>
  </si>
  <si>
    <t xml:space="preserve">  Прибыль направляемая на инвестиции</t>
  </si>
  <si>
    <t xml:space="preserve">     Прочие амортизационные отчисления</t>
  </si>
  <si>
    <t>Реконструкция канализационного коллектора по ул. Черниговская до Благовещенской площади</t>
  </si>
  <si>
    <t>Реконструкция двух участков условно напорного трубопровода Ø 1420 мм дюкера в районе д. Никульское протяженностью 50 п. м. (2х50 п.м)</t>
  </si>
  <si>
    <t>Реконструкция канализационного коллектора  от ул. Тяблинская 7 до Южное шоссе 2г.</t>
  </si>
  <si>
    <t>Реконструкция канализационной коллектора ул. ул. Чаадаева 26 – 12</t>
  </si>
  <si>
    <t>Реконструкция дюкерного перехода напорного трубопровода Ø315мм через р.Кудьма протяженностью 150 п. м.</t>
  </si>
  <si>
    <t xml:space="preserve">Реконструкция канализационных сетей в Московском и  Канавинском районе. Устройство перемычки между коллектором D1000 ул. Проспект Героев и D800 ул. Московское шоссе. </t>
  </si>
  <si>
    <t>15</t>
  </si>
  <si>
    <t>Реконструкция канализационного коллектора Ø1000мм и эстакадного перехода через р.Кова, протяженностью 100 п. м. на участке, в районе д.1 ул.Овражная</t>
  </si>
  <si>
    <t>16</t>
  </si>
  <si>
    <t>Реконструкция (модернизация) канализационных сетей. Реконструкция канализационного коллектора (санация) D=2000мм по адресу: г. Н.Новгород,  ул. Бурнаковская 1</t>
  </si>
  <si>
    <t>17</t>
  </si>
  <si>
    <t>18</t>
  </si>
  <si>
    <t>Строительство сетей канализации от домов по ул. Гвоздильной, ул. Волочильной с ликвидацией открытых выпусков в р. Ржавку в Ленинском р-не г. Н. Новгорода</t>
  </si>
  <si>
    <t>19</t>
  </si>
  <si>
    <t>Строительство сетей канализации от домов по ул. Памирская, ул. Каховская, ул. Перекопская, ул. Космонавта Комарова с ликвидацией открытых выпусков в р. Борзовку в Ленинском р-не г. Н. Новгорода</t>
  </si>
  <si>
    <t>20</t>
  </si>
  <si>
    <t>Строительство сетей канализации от домов по ул. Лейтенанта Шмидта, ул. Шлиссельбургской с ликвидацией открытых выпусков в р. Ржавку в Ленинском р-не г. Н. Новгорода</t>
  </si>
  <si>
    <t xml:space="preserve">  Прочие собственные средства</t>
  </si>
  <si>
    <t xml:space="preserve">Реконструкция Нижегородской станции аэрации (ПИР)
</t>
  </si>
  <si>
    <t>Реконструкция канализационного коллектора от  ул. Рыбинская, 93 до пер. Прудный, 24</t>
  </si>
  <si>
    <t>Реконструкция 1-го Автозаводского напорного коллектора Д 1420 мм, протяженностью  2687 м</t>
  </si>
  <si>
    <t xml:space="preserve">  Доход от взимания платы за негативное воздействие на работу централизованной системы водоотведения</t>
  </si>
  <si>
    <t>21</t>
  </si>
  <si>
    <t>22</t>
  </si>
  <si>
    <t>23</t>
  </si>
  <si>
    <t>Реконструкция Нижегородской станции аэрации (СМР и ПНР)</t>
  </si>
  <si>
    <t xml:space="preserve">  Федеральный бюджет</t>
  </si>
  <si>
    <t xml:space="preserve">  Бюджет субъекта РФ</t>
  </si>
  <si>
    <t xml:space="preserve">  Бюджет муниципального образования</t>
  </si>
  <si>
    <t>Строительство канализационных очистных сооружений в  п. Берёзовая пойма</t>
  </si>
  <si>
    <t>Строительство лаборатории сточных вод промышленных предприятий по адресу: г. Н.Новгород, Сормовский район, ул. Коминтерна, д. 41Г</t>
  </si>
  <si>
    <t>2025</t>
  </si>
  <si>
    <t>Строительство объекта «Напорный коллектор от КНС «Береговая» до камеры переключения на Нижне-Волжской набережной в районе д.21»</t>
  </si>
  <si>
    <t>Строительство объекта «Самотечный коллектор от ул. Заломова до ул. Рождественская в районе д. 46»</t>
  </si>
  <si>
    <t>Реконструкция канализационного самотечного коллектора D=2000мм на участках Мещерский бульвар 10 – Мещерский бульвар 5, Мещерский бульвар 3 корп. 3 – Мещерский бульвар 3А</t>
  </si>
  <si>
    <t>Выполнение мероприятий по обеспечению безопасности на объектах ВО (ул. Коминтерна. 41Г, ул.НВолжская наб.,д1 к)</t>
  </si>
  <si>
    <t xml:space="preserve"> Строительство сетей водоотведения Д=160 мм, общей протяженностью 15 м (ГНБ, в футляре) от канализационной линии Д=150 мм, идущей по ул.Б.Перекрестная, до границ земельного участка.  </t>
  </si>
  <si>
    <t>25</t>
  </si>
  <si>
    <t xml:space="preserve">Строительство сетей водоотведения 2Д=160 мм, общей протяженностью 31,5 м (ГНБ, в футляре) от проектируемого канализационного колодца в районе дома № 1 по ул. Большая Покровская, до точек на границе земельного участка.  </t>
  </si>
  <si>
    <t>26</t>
  </si>
  <si>
    <t xml:space="preserve">Строительство сетей водоотведения Д=160 мм, общей протяженностью 7 м от существующего канализационного колодца на существующей канализационной линии Д=150 мм, идущей от дома №266 по Московскому шоссе, до точки на границе земельного участка. </t>
  </si>
  <si>
    <t>27</t>
  </si>
  <si>
    <t xml:space="preserve">Строительство сетей водоотведения Д=160 мм, общей протяженностью 75 м от канализационной линии Д=150-200, идущей от жилого дома №16 по ул. Композиторской до границ земельного участка. </t>
  </si>
  <si>
    <t>28</t>
  </si>
  <si>
    <t xml:space="preserve">Строительство сетей водоотведения от существующей канализационной линии Д=250 мм, проходящей в районе дома №11 по ул.Цветочной, до точки на границе земельного участка объекта.                </t>
  </si>
  <si>
    <t>29</t>
  </si>
  <si>
    <t xml:space="preserve"> Строительство сетей водоотведения Д=225 мм, общей протяженностью 120 м от канализационной линии Д=2000 мм, идущей по ул.Бурнаковская, до  границы земельного участка. </t>
  </si>
  <si>
    <t>30</t>
  </si>
  <si>
    <t xml:space="preserve">Строительство сетей водоотведения Д=160 мм, общей протяженностью 15 м от существующей канализационной линии Д=400 мм, проходящей в районе участка, отводимого под строительство, до точки на границе земельного участка по ул.Космическая.  </t>
  </si>
  <si>
    <t>31</t>
  </si>
  <si>
    <t xml:space="preserve">Строительство сетей водоотведения Д=160мм, общей протяженностью 16м от  канализационной линии Д=150 мм, идущей по ул. Б. Перекрестная, до границы земельного участка объекта.    </t>
  </si>
  <si>
    <t>32</t>
  </si>
  <si>
    <t xml:space="preserve">Строительство сетей водоотведения Д=160мм, общей протяженностью 150м от канализационной линии Д=600 мм, идущей по Похвалинскому съезду, до границы земельного участка объекта.     </t>
  </si>
  <si>
    <t>33</t>
  </si>
  <si>
    <t>Прокладка канализационной линии. (Прокладка канализационной линии от точки врезки на границе земельного участка (кадастровый № земельного участка 52:18:0030260:190) до канализационной линии Д=500-600 мм, идущей по ул. Вязниковская (точка присоединения на сетях АО «Нижегородский водоканал»))»</t>
  </si>
  <si>
    <t>34</t>
  </si>
  <si>
    <t>Реконструкция канализационной линии d500мм по ул. Вязниковская (Реконструкция канализационной линии Д=500-600 мм, идущей по ул. Вязниковская.), (Сооружение передающих устройств - Самотечный канализационный коллектор d=500-600мм по ул.Вязниковская от колодца-гасителя до КНС "Частокольная" (от КК-1 до КНС) (Самотечный канализационный коллектор d=500-600мм по ул.Вязниковская от колодца-гасителя до КНС "Частокольная" (от КК-1 до КНС), Протяженность: 590,80 п.м,инвентарный номер 22:401:900:000460320, литер: 1. Адрес (местоположение) объекта: город Нижний Новгород, улица Вязниковская. Инв. №343429)</t>
  </si>
  <si>
    <t>35</t>
  </si>
  <si>
    <t xml:space="preserve">Прокладка канализационной линии Д=225 мм, общей протяженностью 260 м от границ земельного участка  до канализационной линии Д=400-600мм, идущей по Похвалинскому съезду. </t>
  </si>
  <si>
    <t>36</t>
  </si>
  <si>
    <t xml:space="preserve">Прокладка канализационной линии Д=315 мм, общей протяженностью 17,5 м от границ земельного участка подключаемого объекта до канализационной линии Д=300мм, идущей по ул. Дальняя. </t>
  </si>
  <si>
    <t>37</t>
  </si>
  <si>
    <t xml:space="preserve">Прокладка канализационной линии Д=225 мм – 42,0 м, Д=315 мм – 337,0 м, Д=400 мм – 34,0 м, общей протяженностью 413 м от границ земельного участка подключаемого объекта до канализационной линии Д=600мм, идущей по пр. Гагарина. </t>
  </si>
  <si>
    <t>38</t>
  </si>
  <si>
    <t>39</t>
  </si>
  <si>
    <t>40</t>
  </si>
  <si>
    <t>Строительство сетей канализации от домов по ул. Глеба Успенского, ул. Паскаля с ликвидацией открытых выпусков в р. Борзовку в Ленинском р-не г. Н. Новгорода</t>
  </si>
  <si>
    <t>41</t>
  </si>
  <si>
    <t>42</t>
  </si>
  <si>
    <t>Приобретение спецтехники и оборудования</t>
  </si>
  <si>
    <t>43</t>
  </si>
  <si>
    <t xml:space="preserve">Строительство сооружений для ликвидации сброса промывных вод, сбору и перекачке осадка в городскую канализацию Ново-Сормовской водопроводной станции
</t>
  </si>
  <si>
    <t>Модернизация объекта «КНС «Береговая» инв. №090543623»</t>
  </si>
  <si>
    <t>Прокладка  сетей водоотведения Д=160 мм от канализационной линии Д=315 мм, идущей от жилого дома № 48 по ул. Украинская, до границы земельного участка.</t>
  </si>
  <si>
    <t>Реконструкция системы водоотведения Сормовского района с ликвидацией КНС 1.</t>
  </si>
  <si>
    <t>Реконструкция канализационного самотечного коллектора по адресу: ул. Юлиуса Фучика, 31 Д=150 мм, Д=300 мм.</t>
  </si>
  <si>
    <t>Реконструкция канализационного коллектора от  ул.Кащенко,4а до ул.Шапошникова,13а.</t>
  </si>
  <si>
    <t>Реконструкция самотечного канализационного коллектора ул. Дуденевская 5б, путем увеличения протяженности.</t>
  </si>
  <si>
    <t>Реконструкция самотечного канализационного коллектора по ул. Раевского 3б, путем увеличения протяженности.</t>
  </si>
  <si>
    <t>Реконструкция участка трубопровода канализационного напорного коллектора D=800мм, ул. Московское шоссе 144-122, общей протяжённостью 886,4м.</t>
  </si>
  <si>
    <t>Реконструкция участка Московского напорного коллектора Д=1000мм на участке Московское шоссе, 17а – Стрелка 1 (санация ЦПП)</t>
  </si>
  <si>
    <t>Реконструкция канализационного напорного коллектора от КНС 14 ул. Самочкина 39в до врезки в коллектор 1200мм ул. Чонгарская.</t>
  </si>
  <si>
    <t>2029</t>
  </si>
  <si>
    <t>Реконструкция канализационного коллектора D600, ул. Никиты Рыбакова - бульвар Юбилейный - Коминтерна.</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</si>
  <si>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</si>
  <si>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</si>
  <si>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</si>
  <si>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</si>
  <si>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</si>
  <si>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</si>
  <si>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</si>
  <si>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</si>
  <si>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</si>
  <si>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</si>
  <si>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</si>
  <si>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</si>
  <si>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</si>
  <si>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</si>
  <si>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</si>
  <si>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</si>
  <si>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</si>
  <si>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</si>
  <si>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</si>
  <si>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</si>
  <si>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</si>
  <si>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</si>
  <si>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</si>
  <si>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</si>
  <si>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</si>
  <si>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</si>
  <si>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</si>
  <si>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</si>
  <si>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</si>
  <si>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</si>
  <si>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</si>
  <si>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</si>
  <si>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</si>
  <si>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</si>
  <si>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</si>
  <si>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</si>
  <si>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</si>
  <si>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</si>
  <si>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</si>
  <si>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</si>
  <si>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</si>
  <si>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</si>
  <si>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</si>
  <si>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</si>
  <si>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</si>
  <si>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</si>
  <si>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</si>
  <si>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</si>
  <si>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</si>
  <si>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</si>
  <si>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</si>
  <si>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</si>
  <si>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</si>
  <si>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</si>
  <si>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</si>
  <si>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</si>
  <si>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</si>
  <si>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</si>
  <si>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</si>
  <si>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</si>
  <si>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</si>
  <si>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</si>
  <si>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</si>
  <si>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</si>
  <si>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</si>
  <si>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</si>
  <si>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</si>
  <si>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</si>
  <si>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</si>
  <si>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</si>
  <si>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</si>
  <si>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</si>
  <si>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</si>
  <si>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</si>
  <si>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</si>
  <si>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</si>
  <si>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</si>
  <si>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</si>
  <si>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</si>
  <si>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</si>
  <si>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</si>
  <si>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</si>
  <si>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</si>
  <si>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</si>
  <si>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</si>
  <si>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</si>
  <si>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</si>
  <si>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</si>
  <si>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</si>
  <si>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</si>
  <si>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</si>
  <si>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</si>
  <si>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</si>
  <si>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</si>
  <si>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</si>
  <si>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</si>
  <si>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</si>
  <si>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</si>
  <si>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</si>
  <si>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</si>
  <si>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</si>
  <si>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по организации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</si>
  <si>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</si>
  <si>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</si>
  <si>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</si>
  <si>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</si>
  <si>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</si>
  <si>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</si>
  <si>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</si>
  <si>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</si>
  <si>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</si>
  <si>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</si>
  <si>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</si>
  <si>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</si>
  <si>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</si>
  <si>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</si>
  <si>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</si>
  <si>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</si>
  <si>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</si>
  <si>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</si>
  <si>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</si>
  <si>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</si>
  <si>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</si>
  <si>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</si>
  <si>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</si>
  <si>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</si>
  <si>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</si>
  <si>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</si>
  <si>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</si>
  <si>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</si>
  <si>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</si>
  <si>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</si>
  <si>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</si>
  <si>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</si>
  <si>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</si>
  <si>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</si>
  <si>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</si>
  <si>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</si>
  <si>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</si>
  <si>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</si>
  <si>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</si>
  <si>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</si>
  <si>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</si>
  <si>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</si>
  <si>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</si>
  <si>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</si>
  <si>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</si>
  <si>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</si>
  <si>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</si>
  <si>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</si>
  <si>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</si>
  <si>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</si>
  <si>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</si>
  <si>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</si>
  <si>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</si>
  <si>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</si>
  <si>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</si>
  <si>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</si>
  <si>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</si>
  <si>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</si>
  <si>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</si>
  <si>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</si>
  <si>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</si>
  <si>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</si>
  <si>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</si>
  <si>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</si>
  <si>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</si>
  <si>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</si>
  <si>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</si>
  <si>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</si>
  <si>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</si>
  <si>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</si>
  <si>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</si>
  <si>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</si>
  <si>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</si>
  <si>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</si>
  <si>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</si>
  <si>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</si>
  <si>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</si>
  <si>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</si>
  <si>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</si>
  <si>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</si>
  <si>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</si>
  <si>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</si>
  <si>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</si>
  <si>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</si>
  <si>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</si>
  <si>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</si>
  <si>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</si>
  <si>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</si>
  <si>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</si>
  <si>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</si>
  <si>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</si>
  <si>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</si>
  <si>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</si>
  <si>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</si>
  <si>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</si>
  <si>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</si>
  <si>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</si>
  <si>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</si>
  <si>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</si>
  <si>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</si>
  <si>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</si>
  <si>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</si>
  <si>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</si>
  <si>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</si>
  <si>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</si>
  <si>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</si>
  <si>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</si>
  <si>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</si>
  <si>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</si>
  <si>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</si>
  <si>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</si>
  <si>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</si>
  <si>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</si>
  <si>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</si>
  <si>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</si>
  <si>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</si>
  <si>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</si>
  <si>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</si>
  <si>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</si>
  <si>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</si>
  <si>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</si>
  <si>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</si>
  <si>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</si>
  <si>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</si>
  <si>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</si>
  <si>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</si>
  <si>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</si>
  <si>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</si>
  <si>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</si>
  <si>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</si>
  <si>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</si>
  <si>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</si>
  <si>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</si>
  <si>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</si>
  <si>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</si>
  <si>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</si>
  <si>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</si>
  <si>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</si>
  <si>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</si>
  <si>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</si>
  <si>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</si>
  <si>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</si>
  <si>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</si>
  <si>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</si>
  <si>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</si>
  <si>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</si>
  <si>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</si>
  <si>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</si>
  <si>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</si>
  <si>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</si>
  <si>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</si>
  <si>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</si>
  <si>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</si>
  <si>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</si>
  <si>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</si>
  <si>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</si>
  <si>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</si>
  <si>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</si>
  <si>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</si>
  <si>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</si>
  <si>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</si>
  <si>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</si>
  <si>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</si>
  <si>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</si>
  <si>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</si>
  <si>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</si>
  <si>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</si>
  <si>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</si>
  <si>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</si>
  <si>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</si>
  <si>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</si>
  <si>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</si>
  <si>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</si>
  <si>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</si>
  <si>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</si>
  <si>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</si>
  <si>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</si>
  <si>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</si>
  <si>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</si>
  <si>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</si>
  <si>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</si>
  <si>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</si>
  <si>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</si>
  <si>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</si>
  <si>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</si>
  <si>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</si>
  <si>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</si>
  <si>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</si>
  <si>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</si>
  <si>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</si>
  <si>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</si>
  <si>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</si>
  <si>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</si>
  <si>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</si>
  <si>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</si>
  <si>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</si>
  <si>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</si>
  <si>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</si>
  <si>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</si>
  <si>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</si>
  <si>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</si>
  <si>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</si>
  <si>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</si>
  <si>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</si>
  <si>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</si>
  <si>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</si>
  <si>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</si>
  <si>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</si>
  <si>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</si>
  <si>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</si>
  <si>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</si>
  <si>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</si>
  <si>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</si>
  <si>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</si>
  <si>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</si>
  <si>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</si>
  <si>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</si>
  <si>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</si>
  <si>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</si>
  <si>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</si>
  <si>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</si>
  <si>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</si>
  <si>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</si>
  <si>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</si>
  <si>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</si>
  <si>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</si>
  <si>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</si>
  <si>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</si>
  <si>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</si>
  <si>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</si>
  <si>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</si>
  <si>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</si>
  <si>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</si>
  <si>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</si>
  <si>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</si>
  <si>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</si>
  <si>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</si>
  <si>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</si>
  <si>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</si>
  <si>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</si>
  <si>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</si>
  <si>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</si>
  <si>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</si>
  <si>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</si>
  <si>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</si>
  <si>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</si>
  <si>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</si>
  <si>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</si>
  <si>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</si>
  <si>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</si>
  <si>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</si>
  <si>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</si>
  <si>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</si>
  <si>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</si>
  <si>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</si>
  <si>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</si>
  <si>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</si>
  <si>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</si>
  <si>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</si>
  <si>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</si>
  <si>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</si>
  <si>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</si>
  <si>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</si>
  <si>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</si>
  <si>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</si>
  <si>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</si>
  <si>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</si>
  <si>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</si>
  <si>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</si>
  <si>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</si>
  <si>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</si>
  <si>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</si>
  <si>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</si>
  <si>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</si>
  <si>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</si>
  <si>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</si>
  <si>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</si>
  <si>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</si>
  <si>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</si>
  <si>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</si>
  <si>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</si>
  <si>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</si>
  <si>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</si>
  <si>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</si>
  <si>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</si>
  <si>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</si>
  <si>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</si>
  <si>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</si>
  <si>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</si>
  <si>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</si>
  <si>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</si>
  <si>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</si>
  <si>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</si>
  <si>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</si>
  <si>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</si>
  <si>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</si>
  <si>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</si>
  <si>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</si>
  <si>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</si>
  <si>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</si>
  <si>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</si>
  <si>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</si>
  <si>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</si>
  <si>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</si>
  <si>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</si>
  <si>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</si>
  <si>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</si>
  <si>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</si>
  <si>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</si>
  <si>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</si>
  <si>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</si>
  <si>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</si>
  <si>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</si>
  <si>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</si>
  <si>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</si>
  <si>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</si>
  <si>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</si>
  <si>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</si>
  <si>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</si>
  <si>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</si>
  <si>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</si>
  <si>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</si>
  <si>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</si>
  <si>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</si>
  <si>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</si>
  <si>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</si>
  <si>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</si>
  <si>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</si>
  <si>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</si>
  <si>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</si>
  <si>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</si>
  <si>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</si>
  <si>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</si>
  <si>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</si>
  <si>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</si>
  <si>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</si>
  <si>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</si>
  <si>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</si>
  <si>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</si>
  <si>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</si>
  <si>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</si>
  <si>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</si>
  <si>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</si>
  <si>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</si>
  <si>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</si>
  <si>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</si>
  <si>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</si>
  <si>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</si>
  <si>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</si>
  <si>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</si>
  <si>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</si>
  <si>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</si>
  <si>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</si>
  <si>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</si>
  <si>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</si>
  <si>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</si>
  <si>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</si>
  <si>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</si>
  <si>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</si>
  <si>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</si>
  <si>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</si>
  <si>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</si>
  <si>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</si>
  <si>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</si>
  <si>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</si>
  <si>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</si>
  <si>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</si>
  <si>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</si>
  <si>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</si>
  <si>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</si>
  <si>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</si>
  <si>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</si>
  <si>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</si>
  <si>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</si>
  <si>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</si>
  <si>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</si>
  <si>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</si>
  <si>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</si>
  <si>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</si>
  <si>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</si>
  <si>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</si>
  <si>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</si>
  <si>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</si>
  <si>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</si>
  <si>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</si>
  <si>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</si>
  <si>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</si>
  <si>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</si>
  <si>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</si>
  <si>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</si>
  <si>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</si>
  <si>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</si>
  <si>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</si>
  <si>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</si>
  <si>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</si>
  <si>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</si>
  <si>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</si>
  <si>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</si>
  <si>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</si>
  <si>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</si>
  <si>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</si>
  <si>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</si>
  <si>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</si>
  <si>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</si>
  <si>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</si>
  <si>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</si>
  <si>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</si>
  <si>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</si>
  <si>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</si>
  <si>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</si>
  <si>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</si>
  <si>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</si>
  <si>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</si>
  <si>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</si>
  <si>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</si>
  <si>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</si>
  <si>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</si>
  <si>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</si>
  <si>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</si>
  <si>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</si>
  <si>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</si>
  <si>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</si>
  <si>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</si>
  <si>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</si>
  <si>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</si>
  <si>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</si>
  <si>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</si>
  <si>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</si>
  <si>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</si>
  <si>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</si>
  <si>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</si>
  <si>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</si>
  <si>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</si>
  <si>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</si>
  <si>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</si>
  <si>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</si>
  <si>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</si>
  <si>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</si>
  <si>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</si>
  <si>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</si>
  <si>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</si>
  <si>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</si>
  <si>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</si>
  <si>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</si>
  <si>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</si>
  <si>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</si>
  <si>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</si>
  <si>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</si>
  <si>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</si>
  <si>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</si>
  <si>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</si>
  <si>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</si>
  <si>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</si>
  <si>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</si>
  <si>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</si>
  <si>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</si>
  <si>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</si>
  <si>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</si>
  <si>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</si>
  <si>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</si>
  <si>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</si>
  <si>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</si>
  <si>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</si>
  <si>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</si>
  <si>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</si>
  <si>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</si>
  <si>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</si>
  <si>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</si>
  <si>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</si>
  <si>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</si>
  <si>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</si>
  <si>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</si>
  <si>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</si>
  <si>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</si>
  <si>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</si>
  <si>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</si>
  <si>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</si>
  <si>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</si>
  <si>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</si>
  <si>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</si>
  <si>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</si>
  <si>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</si>
  <si>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</si>
  <si>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</si>
  <si>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</si>
  <si>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</si>
  <si>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</si>
  <si>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</si>
  <si>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</si>
  <si>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</si>
  <si>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</si>
  <si>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</si>
  <si>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</si>
  <si>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</si>
  <si>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</si>
  <si>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</si>
  <si>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</si>
  <si>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</si>
  <si>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</si>
  <si>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</si>
  <si>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</si>
  <si>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</si>
  <si>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</si>
  <si>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</si>
  <si>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</si>
  <si>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</si>
  <si>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</si>
  <si>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</si>
  <si>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</si>
  <si>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</si>
  <si>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</si>
  <si>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</si>
  <si>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</si>
  <si>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</si>
  <si>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</si>
  <si>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</si>
  <si>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</si>
  <si>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</si>
  <si>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</si>
  <si>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</si>
  <si>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</si>
  <si>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</si>
  <si>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</si>
  <si>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</si>
  <si>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</si>
  <si>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</si>
  <si>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</si>
  <si>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</si>
  <si>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</si>
  <si>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</si>
  <si>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</si>
  <si>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</si>
  <si>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</si>
  <si>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</si>
  <si>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</si>
  <si>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</si>
  <si>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</si>
  <si>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</si>
  <si>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</si>
  <si>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</si>
  <si>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</si>
  <si>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</si>
  <si>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</si>
  <si>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</si>
  <si>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</si>
  <si>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</si>
  <si>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</si>
  <si>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</si>
  <si>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</si>
  <si>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</si>
  <si>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</si>
  <si>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</si>
  <si>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</si>
  <si>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</si>
  <si>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</si>
  <si>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</si>
  <si>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</si>
  <si>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</si>
  <si>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</si>
  <si>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</si>
  <si>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</si>
  <si>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</si>
  <si>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</si>
  <si>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</si>
  <si>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</si>
  <si>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</si>
  <si>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</si>
  <si>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</si>
  <si>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</si>
  <si>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</si>
  <si>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</si>
  <si>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</si>
  <si>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</si>
  <si>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</si>
  <si>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</si>
  <si>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</si>
  <si>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</si>
  <si>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</si>
  <si>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</si>
  <si>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</si>
  <si>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</si>
  <si>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</si>
  <si>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</si>
  <si>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</si>
  <si>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</si>
  <si>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</si>
  <si>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</si>
  <si>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</si>
  <si>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</si>
  <si>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</si>
  <si>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</si>
  <si>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</si>
  <si>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</si>
  <si>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</si>
  <si>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</si>
  <si>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</si>
  <si>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</si>
  <si>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</si>
  <si>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</si>
  <si>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</si>
  <si>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</si>
  <si>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</si>
  <si>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</si>
  <si>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</si>
  <si>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</si>
  <si>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</si>
  <si>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</si>
  <si>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</si>
  <si>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</si>
  <si>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</si>
  <si>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</si>
  <si>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</si>
  <si>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</si>
  <si>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</si>
  <si>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</si>
  <si>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</si>
  <si>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</si>
  <si>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</si>
  <si>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</si>
  <si>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</si>
  <si>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</si>
  <si>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</si>
  <si>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</si>
  <si>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</si>
  <si>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</si>
  <si>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</si>
  <si>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</si>
  <si>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</si>
  <si>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</si>
  <si>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</si>
  <si>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</si>
  <si>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</si>
  <si>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</si>
  <si>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</si>
  <si>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</si>
  <si>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</si>
  <si>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</si>
  <si>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</si>
  <si>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</si>
  <si>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</si>
  <si>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</si>
  <si>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</si>
  <si>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</si>
  <si>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</si>
  <si>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</si>
  <si>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</si>
  <si>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</si>
  <si>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</si>
  <si>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</si>
  <si>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</si>
  <si>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</si>
  <si>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</si>
  <si>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</si>
  <si>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</si>
  <si>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</si>
  <si>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</si>
  <si>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</si>
  <si>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</si>
  <si>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</si>
  <si>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</si>
  <si>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</si>
  <si>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</si>
  <si>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</si>
  <si>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</si>
  <si>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</si>
  <si>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</si>
  <si>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</si>
  <si>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</si>
  <si>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</si>
  <si>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</si>
  <si>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</si>
  <si>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</si>
  <si>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</si>
  <si>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</si>
  <si>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</si>
  <si>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</si>
  <si>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</si>
  <si>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</si>
  <si>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</si>
  <si>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</si>
  <si>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</si>
  <si>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</si>
  <si>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</si>
  <si>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</si>
  <si>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</si>
  <si>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</si>
  <si>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</si>
  <si>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</si>
  <si>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</si>
  <si>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</si>
  <si>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</si>
  <si>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</si>
  <si>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</si>
  <si>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</si>
  <si>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</si>
  <si>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</si>
  <si>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</si>
  <si>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</si>
  <si>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</si>
  <si>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</si>
  <si>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</si>
  <si>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</si>
  <si>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</si>
  <si>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</si>
  <si>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</si>
  <si>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</si>
  <si>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</si>
  <si>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</si>
  <si>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</si>
  <si>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</si>
  <si>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</si>
  <si>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</si>
  <si>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</si>
  <si>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</si>
  <si>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</si>
  <si>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</si>
  <si>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</si>
  <si>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</si>
  <si>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</si>
  <si>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</si>
  <si>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</si>
  <si>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</si>
  <si>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</si>
  <si>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</si>
  <si>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</si>
  <si>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</si>
  <si>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</si>
  <si>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</si>
  <si>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</si>
  <si>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</si>
  <si>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</si>
  <si>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</si>
  <si>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</si>
  <si>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"Показатели КНЭ" в пункте 6 "Средняя продолжительность рассмотрения заявлений о подключении" указан срок подготовки договора о подключении в рабочих днях, установленный законодательством РФ.</t>
  </si>
  <si>
    <t>На листе "Показатели ФХД" по Водоотведению.Территория 2 (КМО) прочие доходы/прочие расходы составляют 3 554,95 тыс.руб</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</si>
  <si>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</si>
  <si>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</si>
  <si>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</si>
  <si>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</si>
  <si>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</si>
  <si>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</si>
  <si>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</si>
  <si>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</si>
  <si>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</si>
  <si>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</si>
  <si>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</si>
  <si>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</si>
  <si>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</si>
  <si>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</si>
  <si>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</si>
  <si>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</si>
  <si>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</si>
  <si>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</si>
  <si>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</si>
  <si>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</si>
  <si>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</si>
  <si>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</si>
  <si>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</si>
  <si>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</si>
  <si>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</si>
  <si>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</si>
  <si>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</si>
  <si>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</si>
  <si>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</si>
  <si>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</si>
  <si>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</si>
  <si>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</si>
  <si>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</si>
  <si>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</si>
  <si>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</si>
  <si>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</si>
  <si>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</si>
  <si>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</si>
  <si>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</si>
  <si>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</si>
  <si>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</si>
  <si>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</si>
  <si>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</si>
  <si>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</si>
  <si>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</si>
  <si>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</si>
  <si>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</si>
  <si>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</si>
  <si>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</si>
  <si>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</si>
  <si>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</si>
  <si>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</si>
  <si>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</si>
  <si>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</si>
  <si>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</si>
  <si>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</si>
  <si>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</si>
  <si>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</si>
  <si>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</si>
  <si>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</si>
  <si>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</si>
  <si>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</si>
  <si>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</si>
  <si>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</si>
  <si>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</si>
  <si>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</si>
  <si>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</si>
  <si>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</si>
  <si>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</si>
  <si>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</si>
  <si>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</si>
  <si>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</si>
  <si>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</si>
  <si>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</si>
  <si>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</si>
  <si>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</si>
  <si>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</si>
  <si>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</si>
  <si>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</si>
  <si>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</si>
  <si>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</si>
  <si>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</si>
  <si>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</si>
  <si>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</si>
  <si>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</si>
  <si>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</si>
  <si>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</si>
  <si>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</si>
  <si>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</si>
  <si>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</si>
  <si>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</si>
  <si>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</si>
  <si>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</si>
  <si>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</si>
  <si>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</si>
  <si>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</si>
  <si>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</si>
  <si>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</si>
  <si>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</si>
  <si>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</si>
  <si>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</si>
  <si>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</si>
  <si>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</si>
  <si>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</si>
  <si>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</si>
  <si>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</si>
  <si>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</si>
  <si>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</si>
  <si>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</si>
  <si>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</si>
  <si>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</si>
  <si>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</si>
  <si>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</si>
  <si>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</si>
  <si>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</si>
  <si>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</si>
  <si>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</si>
  <si>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</si>
  <si>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</si>
  <si>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</si>
  <si>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</si>
  <si>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</si>
  <si>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</si>
  <si>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</si>
  <si>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</si>
  <si>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</si>
  <si>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</si>
  <si>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</si>
  <si>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</si>
  <si>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</si>
  <si>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</si>
  <si>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</si>
  <si>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</si>
  <si>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</si>
  <si>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</si>
  <si>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</si>
  <si>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</si>
  <si>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</si>
  <si>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</si>
  <si>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</si>
  <si>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</si>
  <si>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</si>
  <si>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</si>
  <si>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</si>
  <si>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</si>
  <si>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</si>
  <si>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</si>
  <si>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</si>
  <si>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</si>
  <si>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</si>
  <si>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</si>
  <si>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</si>
  <si>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</si>
  <si>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</si>
  <si>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</si>
  <si>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</si>
  <si>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</si>
  <si>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</si>
  <si>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</si>
  <si>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</si>
  <si>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</si>
  <si>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</si>
  <si>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</si>
  <si>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</si>
  <si>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</si>
  <si>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</si>
  <si>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</si>
  <si>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</si>
  <si>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</si>
  <si>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</si>
  <si>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</si>
  <si>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</si>
  <si>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</si>
  <si>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</si>
  <si>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</si>
  <si>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</si>
  <si>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</si>
  <si>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</si>
  <si>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</si>
  <si>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</si>
  <si>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</si>
  <si>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</si>
  <si>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</si>
  <si>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</si>
  <si>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</si>
  <si>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</si>
  <si>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</si>
  <si>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</si>
  <si>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</si>
  <si>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</si>
  <si>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</si>
  <si>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</si>
  <si>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</si>
  <si>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</si>
  <si>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</si>
  <si>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</si>
  <si>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</si>
  <si>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</si>
  <si>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</si>
  <si>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</si>
  <si>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</si>
  <si>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</si>
  <si>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</si>
  <si>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</si>
  <si>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</si>
  <si>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</si>
  <si>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</si>
  <si>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</si>
  <si>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</si>
  <si>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</si>
  <si>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</si>
  <si>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</si>
  <si>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</si>
  <si>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</si>
  <si>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</si>
  <si>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</si>
  <si>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</si>
  <si>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</si>
  <si>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</si>
  <si>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</si>
  <si>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</si>
  <si>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</si>
  <si>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</si>
  <si>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</si>
  <si>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</si>
  <si>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</si>
  <si>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</si>
  <si>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</si>
  <si>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</si>
  <si>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</si>
  <si>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</si>
  <si>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</si>
  <si>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</si>
  <si>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</si>
  <si>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</si>
  <si>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</si>
  <si>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</si>
  <si>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</si>
  <si>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</si>
  <si>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</si>
  <si>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</si>
  <si>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</si>
  <si>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</si>
  <si>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</si>
  <si>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</si>
  <si>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</si>
  <si>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</si>
  <si>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</si>
  <si>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</si>
  <si>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</si>
  <si>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</si>
  <si>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</si>
  <si>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</si>
  <si>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</si>
  <si>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</si>
  <si>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</si>
  <si>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</si>
  <si>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</si>
  <si>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</si>
  <si>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</si>
  <si>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</si>
  <si>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</si>
  <si>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</si>
  <si>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</si>
  <si>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</si>
  <si>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</si>
  <si>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</si>
  <si>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</si>
  <si>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</si>
  <si>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</si>
  <si>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</si>
  <si>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</si>
  <si>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</si>
  <si>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</si>
  <si>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</si>
  <si>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</si>
  <si>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</si>
  <si>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</si>
  <si>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</si>
  <si>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</si>
  <si>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</si>
  <si>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</si>
  <si>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</si>
  <si>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</si>
  <si>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</si>
  <si>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</si>
  <si>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</si>
  <si>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</si>
  <si>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</si>
  <si>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</si>
  <si>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</si>
  <si>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</si>
  <si>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</si>
  <si>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</si>
  <si>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</si>
  <si>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</si>
  <si>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</si>
  <si>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</si>
  <si>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</si>
  <si>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</si>
  <si>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</si>
  <si>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</si>
  <si>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</si>
  <si>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</si>
  <si>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</si>
  <si>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</si>
  <si>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</si>
  <si>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</si>
  <si>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</si>
  <si>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</si>
  <si>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</si>
  <si>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</si>
  <si>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</si>
  <si>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</si>
  <si>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</si>
  <si>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</si>
  <si>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</si>
  <si>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</si>
  <si>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</si>
  <si>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</si>
  <si>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</si>
  <si>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</si>
  <si>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</si>
  <si>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</si>
  <si>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</si>
  <si>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</si>
  <si>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</si>
  <si>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</si>
  <si>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</si>
  <si>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</si>
  <si>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</si>
  <si>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</si>
  <si>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</si>
  <si>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</si>
  <si>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</si>
  <si>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</si>
  <si>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</si>
  <si>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</si>
  <si>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</si>
  <si>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</si>
  <si>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</si>
  <si>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</si>
  <si>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</si>
  <si>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</si>
  <si>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</si>
  <si>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</si>
  <si>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</si>
  <si>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</si>
  <si>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</si>
  <si>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</si>
  <si>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</si>
  <si>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</si>
  <si>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</si>
  <si>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</si>
  <si>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</si>
  <si>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</si>
  <si>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</si>
  <si>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</si>
  <si>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</si>
  <si>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</si>
  <si>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</si>
  <si>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</si>
  <si>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</si>
  <si>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</si>
  <si>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</si>
  <si>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</si>
  <si>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</si>
  <si>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</si>
  <si>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</si>
  <si>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</si>
  <si>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</si>
  <si>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</si>
  <si>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</si>
  <si>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</si>
  <si>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</si>
  <si>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</si>
  <si>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</si>
  <si>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</si>
  <si>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</si>
  <si>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</si>
  <si>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</si>
  <si>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</si>
  <si>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</si>
  <si>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</si>
  <si>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</si>
  <si>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</si>
  <si>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</si>
  <si>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</si>
  <si>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</si>
  <si>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</si>
  <si>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</si>
  <si>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</si>
  <si>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</si>
  <si>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</si>
  <si>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</si>
  <si>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</si>
  <si>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</si>
  <si>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</si>
  <si>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</si>
  <si>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</si>
  <si>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</si>
  <si>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</si>
  <si>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</si>
  <si>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</si>
  <si>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</si>
  <si>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</si>
  <si>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</si>
  <si>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</si>
  <si>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</si>
  <si>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</si>
  <si>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</si>
  <si>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</si>
  <si>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</si>
  <si>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</si>
  <si>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</si>
  <si>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</si>
  <si>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</si>
  <si>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</si>
  <si>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</si>
  <si>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</si>
  <si>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</si>
  <si>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</si>
  <si>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</si>
  <si>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</si>
  <si>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</si>
  <si>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</si>
  <si>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</si>
  <si>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</si>
  <si>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</si>
  <si>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</si>
  <si>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</si>
  <si>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</si>
  <si>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</si>
  <si>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</si>
  <si>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</si>
  <si>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</si>
  <si>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</si>
  <si>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</si>
  <si>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</si>
  <si>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</si>
  <si>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</si>
  <si>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</si>
  <si>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</si>
  <si>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</si>
  <si>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</si>
  <si>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</si>
  <si>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</si>
  <si>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</si>
  <si>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</si>
  <si>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</si>
  <si>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</si>
  <si>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</si>
  <si>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</si>
  <si>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</si>
  <si>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</si>
  <si>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</si>
  <si>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</si>
  <si>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</si>
  <si>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</si>
  <si>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</si>
  <si>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</si>
  <si>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</si>
  <si>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</si>
  <si>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</si>
  <si>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</si>
  <si>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</si>
  <si>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</si>
  <si>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</si>
  <si>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</si>
  <si>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</si>
  <si>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</si>
  <si>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</si>
  <si>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</si>
  <si>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</si>
  <si>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</si>
  <si>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</si>
  <si>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</si>
  <si>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</si>
  <si>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</si>
  <si>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</si>
  <si>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</si>
  <si>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</si>
  <si>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</si>
  <si>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</si>
  <si>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</si>
  <si>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</si>
  <si>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</si>
  <si>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</si>
  <si>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</si>
  <si>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</si>
  <si>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</si>
  <si>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</si>
  <si>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</si>
  <si>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</si>
  <si>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</si>
  <si>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</si>
  <si>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</si>
  <si>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</si>
  <si>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</si>
  <si>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</si>
  <si>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</si>
  <si>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</si>
  <si>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</si>
  <si>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</si>
  <si>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</si>
  <si>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</si>
  <si>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</si>
  <si>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</si>
  <si>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</si>
  <si>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</si>
  <si>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</si>
  <si>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</si>
  <si>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</si>
  <si>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</si>
  <si>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</si>
  <si>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</si>
  <si>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</si>
  <si>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</si>
  <si>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</si>
  <si>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</si>
  <si>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</si>
  <si>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</si>
  <si>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</si>
  <si>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</si>
  <si>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</si>
  <si>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</si>
  <si>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</si>
  <si>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</si>
  <si>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</si>
  <si>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</si>
  <si>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</si>
  <si>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</si>
  <si>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</si>
  <si>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</si>
  <si>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</si>
  <si>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</si>
  <si>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</si>
  <si>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</si>
  <si>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</si>
  <si>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</si>
  <si>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</si>
  <si>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</si>
  <si>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</si>
  <si>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</si>
  <si>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</si>
  <si>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</si>
  <si>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</si>
  <si>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</si>
  <si>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</si>
  <si>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</si>
  <si>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</si>
  <si>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</si>
  <si>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</si>
  <si>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</si>
  <si>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</si>
  <si>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</si>
  <si>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</si>
  <si>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</si>
  <si>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</si>
  <si>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</si>
  <si>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</si>
  <si>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</si>
  <si>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</si>
  <si>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</si>
  <si>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</si>
  <si>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</si>
  <si>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</si>
  <si>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</si>
  <si>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</si>
  <si>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</si>
  <si>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</si>
  <si>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</si>
  <si>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</si>
  <si>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</si>
  <si>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</si>
  <si>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</si>
  <si>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</si>
  <si>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</si>
  <si>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</si>
  <si>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</si>
  <si>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</si>
  <si>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</si>
  <si>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</si>
  <si>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</si>
  <si>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</si>
  <si>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</si>
  <si>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</si>
  <si>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</si>
  <si>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</si>
  <si>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</si>
  <si>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</si>
  <si>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</si>
  <si>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</si>
  <si>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</si>
  <si>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</si>
  <si>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</si>
  <si>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</si>
  <si>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</si>
  <si>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</si>
  <si>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</si>
  <si>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</si>
  <si>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</si>
  <si>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</si>
  <si>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</si>
  <si>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</si>
  <si>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</si>
  <si>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</si>
  <si>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</si>
  <si>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</si>
  <si>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</si>
  <si>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</si>
  <si>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</si>
  <si>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</si>
  <si>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</si>
  <si>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</si>
  <si>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</si>
  <si>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</si>
  <si>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</si>
  <si>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</si>
  <si>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</si>
  <si>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</si>
  <si>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</si>
  <si>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</si>
  <si>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</si>
  <si>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</si>
  <si>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</si>
  <si>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</si>
  <si>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</si>
  <si>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</si>
  <si>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</si>
  <si>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</si>
  <si>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</si>
  <si>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</si>
  <si>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</si>
  <si>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</si>
  <si>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</si>
  <si>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</si>
  <si>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</si>
  <si>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</si>
  <si>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</si>
  <si>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</si>
  <si>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</si>
  <si>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</si>
  <si>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</si>
  <si>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</si>
  <si>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</si>
  <si>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</si>
  <si>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</si>
  <si>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</si>
  <si>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</si>
  <si>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</si>
  <si>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</si>
  <si>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</si>
  <si>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</si>
  <si>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</si>
  <si>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</si>
  <si>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</si>
  <si>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</si>
  <si>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</si>
  <si>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</si>
  <si>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</si>
  <si>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</si>
  <si>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</si>
  <si>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</si>
  <si>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</si>
  <si>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</si>
  <si>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</si>
  <si>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</si>
  <si>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</si>
  <si>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</si>
  <si>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</si>
  <si>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</si>
  <si>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</si>
  <si>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</si>
  <si>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</si>
  <si>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</si>
  <si>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</si>
  <si>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</si>
  <si>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</si>
  <si>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</si>
  <si>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</si>
  <si>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</si>
  <si>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</si>
  <si>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</si>
  <si>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</si>
  <si>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</si>
  <si>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</si>
  <si>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</si>
  <si>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</si>
  <si>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</si>
  <si>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</si>
  <si>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</si>
  <si>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</si>
  <si>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</si>
  <si>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</si>
  <si>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</si>
  <si>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</si>
  <si>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</si>
  <si>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</si>
  <si>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</si>
  <si>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</si>
  <si>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</si>
  <si>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</si>
  <si>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</si>
  <si>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</si>
  <si>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</si>
  <si>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</si>
  <si>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</si>
  <si>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</si>
  <si>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</si>
  <si>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</si>
  <si>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</si>
  <si>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</si>
  <si>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</si>
  <si>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</si>
  <si>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</si>
  <si>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</si>
  <si>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</si>
  <si>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</si>
  <si>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</si>
  <si>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</si>
  <si>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</si>
  <si>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</si>
  <si>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</si>
  <si>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</si>
  <si>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</si>
  <si>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</si>
  <si>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</si>
  <si>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</si>
  <si>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</si>
  <si>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</si>
  <si>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</si>
  <si>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</si>
  <si>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</si>
  <si>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</si>
  <si>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</si>
  <si>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</si>
  <si>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</si>
  <si>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</si>
  <si>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</si>
  <si>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</si>
  <si>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</si>
  <si>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</si>
  <si>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</si>
  <si>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</si>
  <si>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</si>
  <si>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</si>
  <si>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</si>
  <si>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</si>
  <si>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</si>
  <si>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</si>
  <si>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</si>
  <si>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</si>
  <si>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</si>
  <si>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</si>
  <si>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</si>
  <si>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</si>
  <si>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</si>
  <si>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</si>
  <si>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</si>
  <si>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</si>
  <si>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</si>
  <si>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</si>
  <si>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</si>
  <si>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</si>
  <si>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</si>
  <si>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</si>
  <si>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</si>
  <si>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</si>
  <si>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</si>
  <si>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</si>
  <si>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</si>
  <si>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</si>
  <si>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</si>
  <si>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</si>
  <si>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</si>
  <si>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</si>
  <si>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</si>
  <si>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</si>
  <si>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</si>
  <si>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</si>
  <si>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</si>
  <si>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</si>
  <si>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</si>
  <si>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</si>
  <si>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</si>
  <si>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</si>
  <si>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</si>
  <si>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</si>
  <si>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</si>
  <si>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</si>
  <si>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</si>
  <si>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</si>
  <si>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</si>
  <si>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</si>
  <si>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</si>
  <si>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</si>
  <si>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</si>
  <si>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</si>
  <si>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</si>
  <si>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</si>
  <si>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</si>
  <si>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</si>
  <si>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</si>
  <si>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</si>
  <si>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</si>
  <si>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</si>
  <si>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</si>
  <si>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</si>
  <si>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</si>
  <si>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</si>
  <si>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</si>
  <si>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</si>
  <si>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</si>
  <si>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</si>
  <si>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</si>
  <si>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</si>
  <si>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</si>
  <si>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</si>
  <si>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</si>
  <si>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</si>
  <si>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</si>
  <si>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</si>
  <si>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</si>
  <si>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</si>
  <si>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</si>
  <si>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</si>
  <si>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</si>
  <si>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</si>
  <si>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</si>
  <si>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</si>
  <si>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</si>
  <si>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</si>
  <si>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</si>
  <si>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</si>
  <si>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</si>
  <si>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</si>
  <si>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</si>
  <si>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</si>
  <si>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</si>
  <si>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</si>
  <si>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</si>
  <si>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</si>
  <si>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</si>
  <si>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</si>
  <si>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</si>
  <si>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</si>
  <si>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</si>
  <si>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</si>
  <si>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</si>
  <si>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</si>
  <si>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</si>
  <si>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</si>
  <si>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</si>
  <si>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</si>
  <si>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</si>
  <si>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</si>
  <si>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</si>
  <si>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</si>
  <si>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</si>
  <si>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</si>
  <si>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</si>
  <si>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</si>
  <si>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</si>
  <si>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</si>
  <si>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</si>
  <si>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</si>
  <si>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</si>
  <si>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</si>
  <si>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</si>
  <si>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</si>
  <si>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</si>
  <si>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</si>
  <si>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</si>
  <si>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</si>
  <si>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</si>
  <si>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</si>
  <si>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</si>
  <si>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</si>
  <si>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</si>
  <si>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</si>
  <si>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</si>
  <si>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</si>
  <si>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</si>
  <si>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</si>
  <si>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</si>
  <si>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</si>
  <si>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</si>
  <si>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</si>
  <si>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</si>
  <si>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</si>
  <si>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</si>
  <si>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</si>
  <si>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</si>
  <si>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</si>
  <si>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</si>
  <si>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</si>
  <si>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</si>
  <si>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</si>
  <si>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</si>
  <si>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</si>
  <si>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</si>
  <si>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</si>
  <si>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</si>
  <si>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</si>
  <si>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</si>
  <si>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</si>
  <si>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</si>
  <si>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</si>
  <si>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</si>
  <si>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</si>
  <si>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</si>
  <si>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</si>
  <si>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</si>
  <si>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</si>
  <si>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</si>
  <si>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</si>
  <si>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</si>
  <si>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</si>
  <si>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</si>
  <si>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</si>
  <si>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</si>
  <si>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</si>
  <si>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</si>
  <si>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</si>
  <si>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</si>
  <si>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</si>
  <si>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</si>
  <si>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</si>
  <si>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</si>
  <si>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</si>
  <si>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</si>
  <si>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</si>
  <si>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</si>
  <si>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</si>
  <si>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</si>
  <si>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</si>
  <si>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</si>
  <si>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</si>
  <si>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</si>
  <si>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</si>
  <si>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</si>
  <si>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</si>
  <si>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</si>
  <si>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</si>
  <si>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</si>
  <si>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</si>
  <si>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</si>
  <si>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</si>
  <si>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</si>
  <si>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</si>
  <si>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</si>
  <si>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</si>
  <si>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</si>
  <si>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</si>
  <si>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</si>
  <si>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</si>
  <si>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</si>
  <si>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</si>
  <si>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</si>
  <si>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</si>
  <si>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</si>
  <si>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</si>
  <si>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</si>
  <si>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</si>
  <si>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</si>
  <si>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</si>
  <si>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</si>
  <si>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</si>
  <si>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</si>
  <si>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</si>
  <si>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</si>
  <si>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</si>
  <si>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</si>
  <si>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</si>
  <si>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</si>
  <si>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</si>
  <si>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</si>
  <si>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</si>
  <si>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</si>
  <si>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</si>
  <si>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</si>
  <si>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</si>
  <si>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</si>
  <si>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</si>
  <si>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</si>
  <si>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</si>
  <si>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</si>
  <si>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</si>
  <si>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</si>
  <si>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</si>
  <si>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</si>
  <si>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</si>
  <si>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</si>
  <si>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</si>
  <si>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</si>
  <si>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</si>
  <si>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</si>
  <si>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</si>
  <si>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</si>
  <si>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</si>
  <si>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</si>
  <si>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</si>
  <si>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</si>
  <si>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</si>
  <si>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</si>
  <si>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</si>
  <si>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</si>
  <si>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</si>
  <si>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</si>
  <si>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</si>
  <si>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</si>
  <si>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</si>
  <si>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</si>
  <si>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</si>
  <si>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</si>
  <si>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</si>
  <si>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</si>
  <si>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</si>
  <si>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</si>
  <si>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</si>
  <si>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</si>
  <si>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</si>
  <si>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</si>
  <si>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</si>
  <si>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</si>
  <si>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</si>
  <si>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</si>
  <si>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</si>
  <si>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</si>
  <si>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</si>
  <si>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</si>
  <si>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</si>
  <si>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</si>
  <si>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</si>
  <si>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</si>
  <si>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</si>
  <si>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</si>
  <si>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</si>
  <si>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</si>
  <si>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</si>
  <si>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</si>
  <si>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</si>
  <si>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</si>
  <si>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</si>
  <si>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</si>
  <si>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</si>
  <si>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</si>
  <si>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</si>
  <si>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</si>
  <si>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</si>
  <si>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</si>
  <si>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</si>
  <si>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</si>
  <si>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</si>
  <si>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</si>
  <si>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</si>
  <si>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</si>
  <si>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</si>
  <si>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</si>
  <si>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</si>
  <si>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</si>
  <si>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</si>
  <si>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</si>
  <si>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</si>
  <si>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</si>
  <si>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</si>
  <si>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</si>
  <si>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</si>
  <si>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</si>
  <si>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</si>
  <si>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</si>
  <si>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</si>
  <si>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</si>
  <si>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</si>
  <si>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</si>
  <si>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</si>
  <si>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</si>
  <si>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</si>
  <si>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</si>
  <si>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</si>
  <si>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</si>
  <si>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</si>
  <si>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</si>
  <si>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</si>
  <si>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</si>
  <si>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</si>
  <si>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</si>
  <si>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</si>
  <si>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</si>
  <si>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</si>
  <si>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</si>
  <si>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</si>
  <si>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</si>
  <si>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</si>
  <si>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</si>
  <si>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</si>
  <si>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</si>
  <si>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</si>
  <si>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</si>
  <si>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</si>
  <si>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</si>
  <si>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</si>
  <si>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</si>
  <si>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</si>
  <si>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</si>
  <si>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</si>
  <si>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</si>
  <si>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</si>
  <si>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</si>
  <si>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</si>
  <si>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</si>
  <si>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</si>
  <si>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</si>
  <si>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</si>
  <si>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</si>
  <si>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</si>
  <si>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</si>
  <si>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</si>
  <si>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</si>
  <si>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</si>
  <si>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</si>
  <si>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</si>
  <si>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</si>
  <si>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</si>
  <si>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</si>
  <si>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</si>
  <si>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</si>
  <si>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</si>
  <si>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</si>
  <si>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</si>
  <si>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</si>
  <si>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</si>
  <si>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</si>
  <si>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</si>
  <si>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</si>
  <si>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</si>
  <si>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</si>
  <si>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</si>
  <si>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</si>
  <si>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</si>
  <si>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</si>
  <si>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</si>
  <si>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</si>
  <si>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</si>
  <si>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</si>
  <si>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</si>
  <si>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</si>
  <si>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</si>
  <si>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</si>
  <si>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</si>
  <si>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</si>
  <si>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</si>
  <si>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</si>
  <si>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</si>
  <si>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</si>
  <si>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</si>
  <si>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</si>
  <si>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</si>
  <si>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</si>
  <si>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</si>
  <si>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</si>
  <si>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</si>
  <si>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</si>
  <si>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</si>
  <si>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</si>
  <si>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</si>
  <si>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</si>
  <si>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</si>
  <si>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</si>
  <si>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</si>
  <si>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</si>
  <si>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</si>
  <si>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</si>
  <si>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</si>
  <si>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</si>
  <si>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</si>
  <si>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</si>
  <si>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</si>
  <si>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</si>
  <si>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</si>
  <si>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</si>
  <si>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</si>
  <si>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</si>
  <si>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</si>
  <si>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</si>
  <si>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</si>
  <si>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</si>
  <si>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</si>
  <si>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</si>
  <si>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</si>
  <si>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</si>
  <si>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</si>
  <si>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</si>
  <si>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</si>
  <si>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</si>
  <si>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</si>
  <si>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</si>
  <si>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</si>
  <si>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</si>
  <si>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</si>
  <si>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</si>
  <si>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</si>
  <si>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</si>
  <si>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</si>
  <si>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</si>
  <si>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</si>
  <si>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</si>
  <si>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</si>
  <si>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</si>
  <si>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</si>
  <si>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</si>
  <si>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</si>
  <si>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</si>
  <si>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</si>
  <si>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</si>
  <si>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</si>
  <si>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</si>
  <si>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</si>
  <si>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</si>
  <si>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</si>
  <si>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</si>
  <si>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</si>
  <si>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</si>
  <si>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</si>
  <si>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</si>
  <si>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</si>
  <si>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</si>
  <si>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</si>
  <si>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</si>
  <si>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</si>
  <si>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</si>
  <si>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</si>
  <si>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</si>
  <si>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</si>
  <si>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</si>
  <si>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</si>
  <si>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</si>
  <si>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</si>
  <si>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</si>
  <si>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</si>
  <si>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</si>
  <si>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</si>
  <si>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</si>
  <si>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</si>
  <si>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</si>
  <si>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</si>
  <si>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</si>
  <si>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</si>
  <si>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</si>
  <si>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</si>
  <si>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</si>
  <si>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</si>
  <si>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</si>
  <si>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</si>
  <si>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</si>
  <si>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</si>
  <si>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</si>
  <si>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</si>
  <si>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</si>
  <si>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</si>
  <si>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</si>
  <si>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</si>
  <si>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</si>
  <si>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</si>
  <si>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</si>
  <si>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</si>
  <si>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</si>
  <si>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</si>
  <si>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</si>
  <si>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</si>
  <si>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</si>
  <si>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</si>
  <si>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</si>
  <si>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</si>
  <si>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</si>
  <si>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</si>
  <si>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</si>
  <si>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</si>
  <si>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</si>
  <si>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</si>
  <si>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</si>
  <si>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</si>
  <si>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</si>
  <si>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</si>
  <si>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</si>
  <si>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</si>
  <si>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</si>
  <si>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</si>
  <si>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</si>
  <si>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</si>
  <si>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</si>
  <si>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</si>
  <si>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</si>
  <si>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</si>
  <si>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</si>
  <si>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</si>
  <si>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</si>
  <si>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</si>
  <si>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</si>
  <si>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</si>
  <si>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</si>
  <si>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</si>
  <si>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</si>
  <si>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</si>
  <si>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</si>
  <si>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</si>
  <si>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</si>
  <si>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</si>
  <si>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</si>
  <si>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</si>
  <si>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</si>
  <si>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</si>
  <si>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</si>
  <si>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</si>
  <si>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</si>
  <si>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</si>
  <si>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</si>
  <si>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</si>
  <si>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</si>
  <si>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</si>
  <si>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</si>
  <si>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</si>
  <si>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</si>
  <si>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</si>
  <si>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</si>
  <si>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</si>
  <si>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</si>
  <si>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</si>
  <si>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</si>
  <si>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</si>
  <si>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</si>
  <si>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</si>
  <si>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</si>
  <si>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</si>
  <si>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</si>
  <si>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</si>
  <si>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</si>
  <si>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</si>
  <si>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</si>
  <si>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</si>
  <si>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</si>
  <si>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</si>
  <si>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</si>
  <si>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</si>
  <si>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</si>
  <si>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</si>
  <si>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</si>
  <si>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</si>
  <si>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</si>
  <si>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</si>
  <si>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</si>
  <si>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</si>
  <si>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</si>
  <si>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</si>
  <si>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</si>
  <si>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</si>
  <si>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</si>
  <si>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</si>
  <si>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</si>
  <si>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</si>
  <si>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</si>
  <si>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</si>
  <si>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</si>
  <si>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</si>
  <si>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</si>
  <si>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</si>
  <si>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</si>
  <si>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</si>
  <si>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</si>
  <si>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</si>
  <si>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</si>
  <si>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</si>
  <si>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</si>
  <si>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</si>
  <si>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</si>
  <si>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</si>
  <si>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</si>
  <si>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</si>
  <si>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</si>
  <si>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</si>
  <si>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</si>
  <si>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</si>
  <si>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</si>
  <si>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</si>
  <si>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</si>
  <si>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</si>
  <si>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</si>
  <si>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</si>
  <si>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</si>
  <si>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</si>
  <si>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</si>
  <si>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</si>
  <si>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</si>
  <si>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</si>
  <si>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</si>
  <si>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</si>
  <si>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</si>
  <si>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</si>
  <si>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</si>
  <si>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</si>
  <si>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</si>
  <si>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</si>
  <si>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</si>
  <si>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</si>
  <si>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</si>
  <si>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</si>
  <si>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</si>
  <si>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</si>
  <si>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</si>
  <si>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</si>
  <si>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</si>
  <si>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</si>
  <si>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</si>
  <si>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</si>
  <si>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</si>
  <si>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</si>
  <si>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</si>
  <si>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</si>
  <si>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</si>
  <si>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</si>
  <si>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</si>
  <si>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</si>
  <si>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</si>
  <si>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</si>
  <si>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</si>
  <si>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</si>
  <si>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</si>
  <si>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</si>
  <si>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</si>
  <si>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</si>
  <si>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</si>
  <si>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</si>
  <si>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</si>
  <si>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</si>
  <si>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</si>
  <si>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</si>
  <si>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</si>
  <si>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</si>
  <si>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</si>
  <si>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</si>
  <si>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</si>
  <si>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</si>
  <si>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</si>
  <si>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</si>
  <si>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</si>
  <si>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</si>
  <si>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</si>
  <si>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</si>
  <si>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</si>
  <si>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</si>
  <si>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</si>
  <si>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</si>
  <si>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</si>
  <si>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</si>
  <si>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</si>
  <si>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</si>
  <si>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</si>
  <si>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</si>
  <si>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</si>
  <si>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</si>
  <si>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</si>
  <si>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</si>
  <si>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</si>
  <si>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</si>
  <si>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</si>
  <si>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</si>
  <si>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</si>
  <si>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</si>
  <si>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</si>
  <si>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</si>
  <si>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</si>
  <si>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</si>
  <si>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</si>
  <si>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</si>
  <si>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</si>
  <si>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</si>
  <si>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</si>
  <si>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</si>
  <si>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</si>
  <si>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</si>
  <si>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</si>
  <si>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</si>
  <si>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</si>
  <si>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</si>
  <si>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</si>
  <si>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</si>
  <si>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</si>
  <si>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</si>
  <si>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</si>
  <si>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</si>
  <si>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</si>
  <si>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</si>
  <si>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</si>
  <si>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</si>
  <si>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</si>
  <si>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</si>
  <si>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</si>
  <si>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</si>
  <si>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</si>
  <si>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</si>
  <si>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</si>
  <si>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</si>
  <si>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</si>
  <si>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</si>
  <si>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</si>
  <si>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</si>
  <si>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</si>
  <si>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</si>
  <si>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</si>
  <si>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</si>
  <si>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</si>
  <si>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</si>
  <si>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</si>
  <si>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</si>
  <si>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</si>
  <si>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</si>
  <si>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</si>
  <si>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</si>
  <si>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</si>
  <si>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</si>
  <si>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</si>
  <si>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</si>
  <si>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</si>
  <si>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</si>
  <si>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</si>
  <si>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</si>
  <si>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</si>
  <si>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</si>
  <si>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</si>
  <si>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</si>
  <si>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</si>
  <si>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</si>
  <si>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</si>
  <si>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</si>
  <si>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</si>
  <si>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</si>
  <si>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</si>
  <si>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</si>
  <si>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</si>
  <si>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</si>
  <si>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</si>
  <si>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</si>
  <si>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</si>
  <si>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</si>
  <si>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</si>
  <si>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</si>
  <si>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</si>
  <si>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</si>
  <si>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</si>
  <si>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</si>
  <si>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</si>
  <si>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</si>
  <si>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</si>
  <si>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</si>
  <si>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</si>
  <si>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</si>
  <si>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</si>
  <si>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</si>
  <si>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</si>
  <si>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</si>
  <si>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</si>
  <si>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</si>
  <si>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</si>
  <si>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</si>
  <si>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</si>
  <si>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</si>
  <si>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</si>
  <si>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</si>
  <si>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</si>
  <si>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</si>
  <si>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</si>
  <si>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</si>
  <si>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</si>
  <si>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</si>
  <si>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</si>
  <si>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</si>
  <si>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</si>
  <si>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</si>
  <si>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</si>
  <si>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</si>
  <si>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</si>
  <si>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</si>
  <si>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</si>
  <si>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</si>
  <si>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</si>
  <si>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</si>
  <si>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</si>
  <si>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</si>
  <si>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</si>
  <si>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</si>
  <si>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</si>
  <si>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</si>
  <si>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</si>
  <si>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</si>
  <si>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</si>
  <si>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</si>
  <si>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</si>
  <si>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</si>
  <si>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</si>
  <si>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</si>
  <si>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</si>
  <si>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</si>
  <si>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</si>
  <si>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</si>
  <si>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</si>
  <si>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</si>
  <si>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</si>
  <si>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</si>
  <si>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</si>
  <si>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</si>
  <si>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</si>
  <si>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</si>
  <si>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</si>
  <si>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</si>
  <si>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</si>
  <si>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</si>
  <si>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</si>
  <si>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</si>
  <si>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</si>
  <si>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</si>
  <si>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</si>
  <si>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</si>
  <si>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</si>
  <si>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</si>
  <si>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</si>
  <si>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</si>
  <si>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</si>
  <si>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</si>
  <si>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</si>
  <si>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</si>
  <si>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</si>
  <si>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</si>
  <si>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</si>
  <si>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</si>
  <si>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</si>
  <si>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</si>
  <si>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</si>
  <si>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</si>
  <si>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</si>
  <si>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</si>
  <si>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</si>
  <si>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</si>
  <si>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</si>
  <si>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</si>
  <si>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</si>
  <si>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</si>
  <si>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</si>
  <si>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</si>
  <si>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</si>
  <si>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</si>
  <si>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</si>
  <si>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</si>
  <si>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</si>
  <si>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</si>
  <si>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</si>
  <si>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</si>
  <si>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</si>
  <si>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</si>
  <si>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</si>
  <si>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</si>
  <si>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</si>
  <si>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</si>
  <si>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</si>
  <si>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</si>
  <si>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</si>
  <si>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</si>
  <si>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</si>
  <si>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</si>
  <si>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</si>
  <si>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</si>
  <si>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</si>
  <si>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</si>
  <si>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</si>
  <si>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</si>
  <si>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</si>
  <si>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</si>
  <si>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</si>
  <si>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</si>
  <si>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</si>
  <si>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</si>
  <si>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</si>
  <si>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</si>
  <si>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</si>
  <si>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</si>
  <si>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</si>
  <si>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</si>
  <si>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</si>
  <si>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</si>
  <si>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</si>
  <si>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</si>
  <si>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</si>
  <si>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</si>
  <si>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</si>
  <si>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</si>
  <si>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</si>
  <si>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</si>
  <si>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</si>
  <si>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</si>
  <si>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</si>
  <si>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</si>
  <si>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</si>
  <si>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</si>
  <si>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</si>
  <si>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</si>
  <si>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</si>
  <si>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</si>
  <si>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</si>
  <si>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</si>
  <si>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</si>
  <si>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</si>
  <si>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</si>
  <si>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</si>
  <si>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</si>
  <si>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</si>
  <si>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</si>
  <si>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</si>
  <si>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</si>
  <si>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</si>
  <si>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</si>
  <si>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</si>
  <si>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</si>
  <si>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</si>
  <si>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</si>
  <si>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</si>
  <si>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</si>
  <si>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</si>
  <si>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</si>
  <si>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</si>
  <si>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</si>
  <si>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</si>
  <si>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</si>
  <si>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</si>
  <si>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</si>
  <si>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</si>
  <si>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</si>
  <si>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</si>
  <si>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</si>
  <si>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</si>
  <si>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</si>
  <si>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</si>
  <si>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</si>
  <si>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</si>
  <si>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</si>
  <si>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</si>
  <si>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</si>
  <si>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</si>
  <si>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</si>
  <si>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</si>
  <si>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</si>
  <si>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</si>
  <si>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</si>
  <si>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</si>
  <si>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</si>
  <si>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</si>
  <si>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</si>
  <si>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</si>
  <si>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</si>
  <si>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</si>
  <si>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</si>
  <si>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</si>
  <si>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</si>
  <si>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</si>
  <si>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</si>
  <si>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</si>
  <si>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</si>
  <si>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</si>
  <si>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</si>
  <si>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</si>
  <si>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</si>
  <si>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</si>
  <si>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</si>
  <si>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</si>
  <si>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</si>
  <si>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</si>
  <si>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</si>
  <si>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</si>
  <si>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</si>
  <si>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</si>
  <si>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</si>
  <si>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</si>
  <si>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</si>
  <si>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</si>
  <si>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</si>
  <si>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</si>
  <si>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</si>
  <si>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</si>
  <si>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</si>
  <si>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</si>
  <si>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</si>
  <si>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</si>
  <si>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</si>
  <si>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</si>
  <si>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</si>
  <si>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</si>
  <si>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</si>
  <si>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</si>
  <si>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</si>
  <si>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</si>
  <si>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</si>
  <si>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</si>
  <si>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</si>
  <si>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</si>
  <si>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</si>
  <si>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</si>
  <si>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</si>
  <si>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</si>
  <si>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</si>
  <si>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</si>
  <si>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</si>
  <si>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</si>
  <si>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</si>
  <si>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</si>
  <si>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</si>
  <si>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</si>
  <si>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</si>
  <si>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</si>
  <si>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</si>
  <si>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</si>
  <si>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</si>
  <si>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</si>
  <si>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</si>
  <si>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</si>
  <si>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</si>
  <si>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</si>
  <si>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</si>
  <si>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</si>
  <si>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</si>
  <si>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</si>
  <si>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</si>
  <si>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</si>
  <si>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</si>
  <si>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</si>
  <si>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</si>
  <si>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</si>
  <si>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</si>
  <si>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</si>
  <si>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</si>
  <si>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</si>
  <si>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</si>
  <si>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</si>
  <si>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</si>
  <si>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</si>
  <si>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</si>
  <si>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</si>
  <si>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</si>
  <si>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</si>
  <si>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</si>
  <si>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</si>
  <si>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</si>
  <si>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</si>
  <si>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</si>
  <si>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</si>
  <si>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</si>
  <si>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</si>
  <si>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</si>
  <si>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</si>
  <si>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</si>
  <si>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</si>
  <si>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</si>
  <si>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</si>
  <si>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</si>
  <si>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</si>
  <si>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</si>
  <si>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</si>
  <si>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</si>
  <si>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</si>
  <si>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</si>
  <si>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</si>
  <si>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</si>
  <si>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</si>
  <si>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</si>
  <si>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</si>
  <si>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</si>
  <si>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</si>
  <si>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</si>
  <si>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</si>
  <si>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</si>
  <si>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</si>
  <si>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</si>
  <si>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</si>
  <si>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</si>
  <si>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</si>
  <si>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</si>
  <si>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</si>
  <si>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</si>
  <si>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</si>
  <si>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</si>
  <si>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</si>
  <si>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</si>
  <si>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</si>
  <si>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</si>
  <si>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</si>
  <si>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</si>
  <si>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</si>
  <si>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</si>
  <si>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</si>
  <si>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</si>
  <si>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</si>
  <si>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</si>
  <si>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</si>
  <si>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</si>
  <si>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</si>
  <si>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</si>
  <si>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</si>
  <si>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</si>
  <si>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</si>
  <si>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</si>
  <si>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</si>
  <si>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</si>
  <si>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</si>
  <si>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</si>
  <si>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</si>
  <si>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</si>
  <si>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</si>
  <si>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</si>
  <si>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</si>
  <si>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</si>
  <si>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</si>
  <si>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</si>
  <si>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</si>
  <si>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</si>
  <si>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</si>
  <si>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</si>
  <si>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</si>
  <si>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</si>
  <si>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</si>
  <si>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</si>
  <si>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</si>
  <si>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</si>
  <si>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</si>
  <si>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</si>
  <si>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</si>
  <si>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</si>
  <si>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</si>
  <si>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</si>
  <si>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</si>
  <si>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</si>
  <si>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</si>
  <si>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</si>
  <si>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</si>
  <si>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</si>
  <si>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</si>
  <si>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</si>
  <si>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</si>
  <si>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</si>
  <si>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</si>
  <si>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</si>
  <si>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</si>
  <si>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</si>
  <si>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</si>
  <si>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</si>
  <si>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</si>
  <si>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</si>
  <si>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</si>
  <si>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</si>
  <si>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</si>
  <si>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</si>
  <si>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</si>
  <si>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</si>
  <si>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</si>
  <si>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</si>
  <si>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</si>
  <si>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</si>
  <si>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</si>
  <si>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</si>
  <si>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</si>
  <si>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</si>
  <si>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</si>
  <si>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</si>
  <si>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</si>
  <si>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</si>
  <si>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</si>
  <si>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</si>
  <si>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</si>
  <si>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</si>
  <si>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</si>
  <si>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</si>
  <si>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</si>
  <si>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</si>
  <si>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</si>
  <si>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</si>
  <si>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</si>
  <si>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</si>
  <si>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</si>
  <si>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</si>
  <si>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</si>
  <si>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</si>
  <si>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</si>
  <si>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</si>
  <si>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</si>
  <si>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</si>
  <si>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</si>
  <si>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</si>
  <si>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</si>
  <si>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</si>
  <si>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</si>
  <si>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</si>
  <si>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</si>
  <si>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</si>
  <si>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</si>
  <si>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</si>
  <si>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</si>
  <si>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</si>
  <si>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</si>
  <si>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</si>
  <si>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</si>
  <si>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</si>
  <si>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</si>
  <si>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</si>
  <si>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</si>
  <si>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</si>
  <si>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</si>
  <si>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</si>
  <si>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</si>
  <si>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</si>
  <si>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</si>
  <si>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</si>
  <si>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</si>
  <si>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</si>
  <si>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</si>
  <si>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</si>
  <si>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</si>
  <si>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</si>
  <si>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</si>
  <si>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</si>
  <si>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</si>
  <si>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</si>
  <si>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</si>
  <si>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</si>
  <si>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</si>
  <si>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</si>
  <si>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</si>
  <si>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</si>
  <si>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</si>
  <si>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</si>
  <si>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</si>
  <si>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</si>
  <si>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</si>
  <si>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</si>
  <si>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</si>
  <si>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</si>
  <si>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</si>
  <si>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</si>
  <si>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</si>
  <si>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</si>
  <si>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</si>
  <si>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</si>
  <si>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</si>
  <si>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</si>
  <si>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</si>
  <si>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</si>
  <si>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</si>
  <si>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</si>
  <si>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</si>
  <si>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</si>
  <si>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</si>
  <si>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</si>
  <si>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</si>
  <si>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</si>
  <si>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</si>
  <si>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</si>
  <si>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</si>
  <si>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</si>
  <si>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</si>
  <si>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</si>
  <si>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</si>
  <si>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</si>
  <si>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</si>
  <si>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</si>
  <si>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</si>
  <si>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</si>
  <si>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</si>
  <si>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</si>
  <si>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</si>
  <si>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</si>
  <si>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</si>
  <si>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</si>
  <si>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</si>
  <si>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</si>
  <si>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</si>
  <si>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</si>
  <si>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</si>
  <si>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</si>
  <si>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</si>
  <si>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</si>
  <si>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</si>
  <si>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</si>
  <si>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</si>
  <si>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</si>
  <si>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</si>
  <si>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</si>
  <si>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</si>
  <si>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</si>
  <si>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</si>
  <si>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</si>
  <si>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</si>
  <si>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</si>
  <si>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</si>
  <si>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</si>
  <si>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</si>
  <si>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</si>
  <si>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</si>
  <si>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</si>
  <si>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</si>
  <si>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</si>
  <si>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</si>
  <si>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</si>
  <si>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</si>
  <si>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</si>
  <si>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</si>
  <si>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</si>
  <si>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</si>
  <si>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</si>
  <si>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</si>
  <si>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</si>
  <si>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</si>
  <si>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</si>
  <si>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</si>
  <si>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</si>
  <si>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</si>
  <si>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</si>
  <si>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</si>
  <si>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</si>
  <si>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</si>
  <si>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</si>
  <si>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</si>
  <si>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</si>
  <si>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</si>
  <si>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</si>
  <si>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</si>
  <si>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</si>
  <si>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</si>
  <si>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</si>
  <si>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</si>
  <si>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</si>
  <si>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</si>
  <si>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</si>
  <si>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</si>
  <si>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</si>
  <si>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</si>
  <si>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</si>
  <si>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</si>
  <si>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</si>
  <si>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</si>
  <si>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</si>
  <si>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</si>
  <si>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</si>
  <si>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</si>
  <si>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</si>
  <si>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</si>
  <si>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</si>
  <si>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</si>
  <si>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</si>
  <si>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</si>
  <si>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</si>
  <si>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</si>
  <si>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</si>
  <si>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</si>
  <si>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</si>
  <si>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</si>
  <si>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</si>
  <si>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</si>
  <si>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</si>
  <si>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</si>
  <si>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</si>
  <si>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</si>
  <si>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</si>
  <si>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</si>
  <si>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</si>
  <si>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</si>
  <si>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</si>
  <si>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</si>
  <si>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</si>
  <si>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</si>
  <si>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</si>
  <si>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</si>
  <si>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</si>
  <si>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</si>
  <si>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</si>
  <si>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</si>
  <si>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</si>
  <si>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</si>
  <si>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</si>
  <si>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</si>
  <si>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</si>
  <si>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</si>
  <si>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</si>
  <si>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</si>
  <si>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</si>
  <si>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</si>
  <si>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</si>
  <si>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</si>
  <si>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</si>
  <si>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</si>
  <si>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</si>
  <si>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</si>
  <si>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</si>
  <si>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</si>
  <si>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</si>
  <si>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</si>
  <si>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</si>
  <si>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</si>
  <si>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</si>
  <si>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</si>
  <si>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</si>
  <si>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</si>
  <si>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</si>
  <si>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</si>
  <si>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</si>
  <si>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</si>
  <si>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</si>
  <si>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</si>
  <si>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</si>
  <si>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</si>
  <si>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</si>
  <si>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</si>
  <si>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</si>
  <si>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</si>
  <si>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</si>
  <si>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</si>
  <si>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</si>
  <si>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</si>
  <si>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</si>
  <si>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</si>
  <si>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</si>
  <si>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</si>
  <si>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</si>
  <si>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</si>
  <si>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</si>
  <si>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</si>
  <si>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</si>
  <si>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</si>
  <si>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</si>
  <si>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</si>
  <si>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</si>
  <si>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</si>
  <si>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</si>
  <si>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</si>
  <si>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</si>
  <si>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</si>
  <si>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</si>
  <si>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</si>
  <si>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</si>
  <si>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</si>
  <si>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</si>
  <si>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</si>
  <si>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</si>
  <si>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</si>
  <si>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</si>
  <si>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</si>
  <si>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</si>
  <si>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</si>
  <si>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</si>
  <si>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</si>
  <si>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</si>
  <si>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</si>
  <si>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</si>
  <si>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</si>
  <si>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</si>
  <si>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</si>
  <si>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</si>
  <si>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</si>
  <si>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</si>
  <si>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</si>
  <si>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</si>
  <si>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</si>
  <si>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</si>
  <si>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</si>
  <si>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</si>
  <si>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</si>
  <si>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</si>
  <si>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</si>
  <si>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</si>
  <si>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</si>
  <si>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</si>
  <si>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</si>
  <si>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</si>
  <si>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</si>
  <si>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</si>
  <si>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</si>
  <si>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</si>
  <si>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</si>
  <si>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</si>
  <si>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</si>
  <si>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</si>
  <si>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</si>
  <si>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</si>
  <si>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</si>
  <si>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</si>
  <si>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</si>
  <si>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</si>
  <si>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</si>
  <si>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</si>
  <si>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</si>
  <si>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</si>
  <si>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</si>
  <si>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</si>
  <si>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</si>
  <si>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</si>
  <si>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</si>
  <si>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</si>
  <si>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</si>
  <si>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</si>
  <si>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</si>
  <si>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</si>
  <si>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</si>
  <si>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</si>
  <si>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</si>
  <si>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</si>
  <si>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</si>
  <si>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</si>
  <si>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</si>
  <si>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</si>
  <si>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</si>
  <si>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</si>
  <si>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</si>
  <si>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</si>
  <si>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</si>
  <si>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</si>
  <si>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</si>
  <si>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</si>
  <si>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</si>
  <si>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</si>
  <si>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</si>
  <si>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</si>
  <si>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</si>
  <si>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</si>
  <si>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</si>
  <si>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</si>
  <si>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</si>
  <si>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</si>
  <si>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</si>
  <si>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</si>
  <si>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</si>
  <si>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</si>
  <si>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</si>
  <si>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</si>
  <si>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</si>
  <si>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</si>
  <si>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</si>
  <si>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</si>
  <si>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</si>
  <si>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</si>
  <si>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</si>
  <si>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</si>
  <si>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</si>
  <si>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</si>
  <si>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</si>
  <si>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</si>
  <si>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</si>
  <si>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</si>
  <si>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</si>
  <si>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</si>
  <si>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</si>
  <si>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</si>
  <si>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</si>
  <si>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</si>
  <si>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</si>
  <si>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</si>
  <si>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</si>
  <si>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</si>
  <si>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</si>
  <si>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</si>
  <si>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</si>
  <si>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</si>
  <si>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</si>
  <si>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</si>
  <si>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</si>
  <si>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</si>
  <si>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</si>
  <si>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</si>
  <si>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</si>
  <si>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</si>
  <si>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</si>
  <si>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</si>
  <si>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</si>
  <si>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</si>
  <si>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</si>
  <si>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</si>
  <si>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</si>
  <si>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</si>
  <si>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</si>
  <si>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</si>
  <si>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</si>
  <si>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</si>
  <si>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7525366482</t>
  </si>
  <si>
    <t>Скорректированная  инвестиционная программа "Модернизация " 2014-2030 гг. АО "Нижегородский водоканал"</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</si>
  <si>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</si>
  <si>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</si>
  <si>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</si>
  <si>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</si>
  <si>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</si>
  <si>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</si>
  <si>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</si>
  <si>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</si>
  <si>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</si>
  <si>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</si>
  <si>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</si>
  <si>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</si>
  <si>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</si>
  <si>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</si>
  <si>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</si>
  <si>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</si>
  <si>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</si>
  <si>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</si>
  <si>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</si>
  <si>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</si>
  <si>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</si>
  <si>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</si>
  <si>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</si>
  <si>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</si>
  <si>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</si>
  <si>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</si>
  <si>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</si>
  <si>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</si>
  <si>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</si>
  <si>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</si>
  <si>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</si>
  <si>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Аэротенок (емкость 2 шт.) в составе очистных сооружений)</t>
  </si>
  <si>
    <t>с Чернуха</t>
  </si>
  <si>
    <t>22537000621</t>
  </si>
  <si>
    <t>Чернухинский с/с, с. Чернуха</t>
  </si>
  <si>
    <t>14 | Муниципальная собственность</t>
  </si>
  <si>
    <t>концессионное соглашение</t>
  </si>
  <si>
    <t>https://portal.eias.ru/Portal/DownloadPage.aspx?type=12&amp;guid=5071a8c5-4548-4dd8-ba4a-f923b6db7a36</t>
  </si>
  <si>
    <t>эксплуатируется</t>
  </si>
  <si>
    <t>соглашение</t>
  </si>
  <si>
    <t>19.12.2019</t>
  </si>
  <si>
    <t>Аэротенок -емкость для биохимической очистки сточной воды</t>
  </si>
  <si>
    <t>с Безводное</t>
  </si>
  <si>
    <t>22537000136</t>
  </si>
  <si>
    <t>Безводнинский с/с, с. Безводное</t>
  </si>
  <si>
    <t>не эксплуатируется</t>
  </si>
  <si>
    <t>Город Нижний Новгород</t>
  </si>
  <si>
    <t>https://portal.eias.ru/Portal/DownloadPage.aspx?type=12&amp;guid=99bf1072-94bc-45d2-9eda-024b836c50cb</t>
  </si>
  <si>
    <t>14.06.2013</t>
  </si>
  <si>
    <t>24000</t>
  </si>
  <si>
    <t>12000</t>
  </si>
  <si>
    <t>Емкость под КНС 400 куб.</t>
  </si>
  <si>
    <t>п Дружный</t>
  </si>
  <si>
    <t>22537000176</t>
  </si>
  <si>
    <t>Ближнеборисовский с/с, п. Дружный</t>
  </si>
  <si>
    <t>Здание компрессорной + бытовые (в составе очистных сооружений)</t>
  </si>
  <si>
    <t>Здание насосной</t>
  </si>
  <si>
    <t>ул. Менделеева</t>
  </si>
  <si>
    <t>26в</t>
  </si>
  <si>
    <t>ул. Интернациональная</t>
  </si>
  <si>
    <t>96к</t>
  </si>
  <si>
    <t>5440</t>
  </si>
  <si>
    <t>2000</t>
  </si>
  <si>
    <t>ул. Металлистов</t>
  </si>
  <si>
    <t>3в</t>
  </si>
  <si>
    <t>900</t>
  </si>
  <si>
    <t>450</t>
  </si>
  <si>
    <t>ул. Гаугеля</t>
  </si>
  <si>
    <t>5а</t>
  </si>
  <si>
    <t>660</t>
  </si>
  <si>
    <t>250</t>
  </si>
  <si>
    <t>ул. Полесская</t>
  </si>
  <si>
    <t>11а</t>
  </si>
  <si>
    <t>100</t>
  </si>
  <si>
    <t>24а</t>
  </si>
  <si>
    <t>410</t>
  </si>
  <si>
    <t>125</t>
  </si>
  <si>
    <t>ул. Стрелковая</t>
  </si>
  <si>
    <t>79а</t>
  </si>
  <si>
    <t>200</t>
  </si>
  <si>
    <t>ул. Баренца</t>
  </si>
  <si>
    <t>23а</t>
  </si>
  <si>
    <t>ул. Левинка</t>
  </si>
  <si>
    <t>39г</t>
  </si>
  <si>
    <t>ул. Зайцева</t>
  </si>
  <si>
    <t>17а</t>
  </si>
  <si>
    <t>1260</t>
  </si>
  <si>
    <t>530</t>
  </si>
  <si>
    <t>ул. Коминтерна</t>
  </si>
  <si>
    <t>1700</t>
  </si>
  <si>
    <t>400</t>
  </si>
  <si>
    <t>ул. Озерная 2-я</t>
  </si>
  <si>
    <t>ул. Березовская</t>
  </si>
  <si>
    <t>102в</t>
  </si>
  <si>
    <t>ул. Куйбышева</t>
  </si>
  <si>
    <t>51а</t>
  </si>
  <si>
    <t>260</t>
  </si>
  <si>
    <t>130</t>
  </si>
  <si>
    <t>ул. Удмуртская</t>
  </si>
  <si>
    <t>37/1</t>
  </si>
  <si>
    <t>пр-кт. Ленина</t>
  </si>
  <si>
    <t>79в</t>
  </si>
  <si>
    <t>ул. Тропинина</t>
  </si>
  <si>
    <t>13в</t>
  </si>
  <si>
    <t>5б</t>
  </si>
  <si>
    <t>480</t>
  </si>
  <si>
    <t>160</t>
  </si>
  <si>
    <t>ул. Студгородок ГСХИ</t>
  </si>
  <si>
    <t>380</t>
  </si>
  <si>
    <t>120</t>
  </si>
  <si>
    <t>к.п.Зеленый город, Дом отдыха Кудьма</t>
  </si>
  <si>
    <t>1а</t>
  </si>
  <si>
    <t>510</t>
  </si>
  <si>
    <t>пр-кт. Молодежный</t>
  </si>
  <si>
    <t>31а</t>
  </si>
  <si>
    <t>аренда</t>
  </si>
  <si>
    <t>https://portal.eias.ru/Portal/DownloadPage.aspx?type=12&amp;guid=3bcd5d20-cdc0-41ae-858b-e60b77e725e0</t>
  </si>
  <si>
    <t>договор</t>
  </si>
  <si>
    <t>№ 104-01-04.022.А</t>
  </si>
  <si>
    <t>16.11.2007</t>
  </si>
  <si>
    <t>520</t>
  </si>
  <si>
    <t>ул. Родионова</t>
  </si>
  <si>
    <t>165д</t>
  </si>
  <si>
    <t>ул. Лесной городок</t>
  </si>
  <si>
    <t>6к</t>
  </si>
  <si>
    <t>375</t>
  </si>
  <si>
    <t>ул. Брикетная</t>
  </si>
  <si>
    <t>104-01-04.022.А</t>
  </si>
  <si>
    <t>ул. Красных Партизан</t>
  </si>
  <si>
    <t>2в</t>
  </si>
  <si>
    <t>220</t>
  </si>
  <si>
    <t>140</t>
  </si>
  <si>
    <t>ул. Спутника</t>
  </si>
  <si>
    <t>ул. Композиторская</t>
  </si>
  <si>
    <t>180</t>
  </si>
  <si>
    <t>тер. Набережной Гребного канала</t>
  </si>
  <si>
    <t>6а</t>
  </si>
  <si>
    <t>бесхозное имущество</t>
  </si>
  <si>
    <t>Отсутствует</t>
  </si>
  <si>
    <t>акт приёма-передачи</t>
  </si>
  <si>
    <t>бесхозяйный объект</t>
  </si>
  <si>
    <t>01.09.2021</t>
  </si>
  <si>
    <t>https://portal.eias.ru/Portal/DownloadPage.aspx?type=12&amp;guid=0ec89d6b-9928-4ccd-9e7d-e8d242f3f916</t>
  </si>
  <si>
    <t>ул. Коммуны</t>
  </si>
  <si>
    <t>37а</t>
  </si>
  <si>
    <t>274</t>
  </si>
  <si>
    <t>137</t>
  </si>
  <si>
    <t>ул.Айвазовского</t>
  </si>
  <si>
    <t>ул.Юлиуса Фучика</t>
  </si>
  <si>
    <t>130а</t>
  </si>
  <si>
    <t>80</t>
  </si>
  <si>
    <t>ул.Июльских дней</t>
  </si>
  <si>
    <t>ул. Малоэтажная</t>
  </si>
  <si>
    <t>ул. Торфяная</t>
  </si>
  <si>
    <t>16 | Частная собственность</t>
  </si>
  <si>
    <t>https://portal.eias.ru/Portal/DownloadPage.aspx?type=12&amp;guid=2381dc27-c7fd-437e-8e7d-5194c84c1cef</t>
  </si>
  <si>
    <t>23-22-845</t>
  </si>
  <si>
    <t>01.09.2022</t>
  </si>
  <si>
    <t>1530</t>
  </si>
  <si>
    <t>бул.Королева</t>
  </si>
  <si>
    <t>между домами №4 и №2</t>
  </si>
  <si>
    <t>11.05.2022</t>
  </si>
  <si>
    <t>https://portal.eias.ru/Portal/DownloadPage.aspx?type=12&amp;guid=db3c673c-c5a9-4ae6-9cd6-24bc25e95a5f</t>
  </si>
  <si>
    <t>144</t>
  </si>
  <si>
    <t>1444</t>
  </si>
  <si>
    <t>ул. Ракетная</t>
  </si>
  <si>
    <t>17в</t>
  </si>
  <si>
    <t>Аэропорт</t>
  </si>
  <si>
    <t>https://portal.eias.ru/Portal/DownloadPage.aspx?type=12&amp;guid=be4bb51b-643f-46d2-8024-4b0e561c4414</t>
  </si>
  <si>
    <t>5943</t>
  </si>
  <si>
    <t>06.05.2015</t>
  </si>
  <si>
    <t>ул. Карла Маркса</t>
  </si>
  <si>
    <t>32к</t>
  </si>
  <si>
    <t>350</t>
  </si>
  <si>
    <t>ул. Зеленодольская</t>
  </si>
  <si>
    <t>110в</t>
  </si>
  <si>
    <t>360</t>
  </si>
  <si>
    <t>ул. Искры</t>
  </si>
  <si>
    <t>85</t>
  </si>
  <si>
    <t>42.5</t>
  </si>
  <si>
    <t>Совнаркомовская</t>
  </si>
  <si>
    <t>ул. Весенняя</t>
  </si>
  <si>
    <t>506</t>
  </si>
  <si>
    <t>ул. Фибролитовая</t>
  </si>
  <si>
    <t>ул. Конотопская</t>
  </si>
  <si>
    <t>14а</t>
  </si>
  <si>
    <t>420</t>
  </si>
  <si>
    <t>б-р. Юбилейный</t>
  </si>
  <si>
    <t>ул. Кима</t>
  </si>
  <si>
    <t>339а</t>
  </si>
  <si>
    <t>750</t>
  </si>
  <si>
    <t>ул. Гороховецкая</t>
  </si>
  <si>
    <t>40к</t>
  </si>
  <si>
    <t>ул. Мончегорская</t>
  </si>
  <si>
    <t>500</t>
  </si>
  <si>
    <t>ул.Бурнаковская</t>
  </si>
  <si>
    <t>57,77</t>
  </si>
  <si>
    <t>16.11.2022</t>
  </si>
  <si>
    <t>6в</t>
  </si>
  <si>
    <t>1800</t>
  </si>
  <si>
    <t>напротив дома №26</t>
  </si>
  <si>
    <t>60</t>
  </si>
  <si>
    <t>ул. Подворная</t>
  </si>
  <si>
    <t>7к</t>
  </si>
  <si>
    <t>2050</t>
  </si>
  <si>
    <t>800</t>
  </si>
  <si>
    <t>ш. Южное</t>
  </si>
  <si>
    <t>21г</t>
  </si>
  <si>
    <t>ул. Адмирала Нахимова</t>
  </si>
  <si>
    <t>10б</t>
  </si>
  <si>
    <t>705</t>
  </si>
  <si>
    <t>ул. Кутузова</t>
  </si>
  <si>
    <t>170</t>
  </si>
  <si>
    <t>Московское шоссе</t>
  </si>
  <si>
    <t>304к</t>
  </si>
  <si>
    <t>300</t>
  </si>
  <si>
    <t>ул. Снежная</t>
  </si>
  <si>
    <t>17б</t>
  </si>
  <si>
    <t>ул. Космонавта Комарова</t>
  </si>
  <si>
    <t>9б</t>
  </si>
  <si>
    <t>собственное имущество</t>
  </si>
  <si>
    <t>https://portal.eias.ru/Portal/DownloadPage.aspx?type=12&amp;guid=93c3da98-1fff-4c83-9b9a-d2e450843b6c</t>
  </si>
  <si>
    <t>собственность</t>
  </si>
  <si>
    <t>6-64/14</t>
  </si>
  <si>
    <t>06.11.2014</t>
  </si>
  <si>
    <t>1430</t>
  </si>
  <si>
    <t>ул. Красных Зорь</t>
  </si>
  <si>
    <t>13г</t>
  </si>
  <si>
    <t>ул. Шлиссельбургская</t>
  </si>
  <si>
    <t>ул. Днепропетровская</t>
  </si>
  <si>
    <t>600</t>
  </si>
  <si>
    <t>ул. Героя Самочкина</t>
  </si>
  <si>
    <t>29а</t>
  </si>
  <si>
    <t>3120</t>
  </si>
  <si>
    <t>1600</t>
  </si>
  <si>
    <t>наб. Нижне-Волжская</t>
  </si>
  <si>
    <t>21б</t>
  </si>
  <si>
    <t>1380</t>
  </si>
  <si>
    <t>ул.Чачиной</t>
  </si>
  <si>
    <t>ул. Лобачевского</t>
  </si>
  <si>
    <t>1 корп.1</t>
  </si>
  <si>
    <t>2130</t>
  </si>
  <si>
    <t>ул. Елецкая</t>
  </si>
  <si>
    <t>к.п.Зеленый город, Дом-интернат</t>
  </si>
  <si>
    <t>к.п.Зеленый город, Дом-интернат для престарелых и инвалидов</t>
  </si>
  <si>
    <t>ул. Рельсовая</t>
  </si>
  <si>
    <t>3г</t>
  </si>
  <si>
    <t>передаточный акт</t>
  </si>
  <si>
    <t>https://portal.eias.ru/Portal/DownloadPage.aspx?type=12&amp;guid=ad70c3c4-0607-41b5-b40e-65ad7e9e2e11</t>
  </si>
  <si>
    <t>безвозмездное пользование</t>
  </si>
  <si>
    <t>№ 02.005.Б</t>
  </si>
  <si>
    <t>15.05.2003</t>
  </si>
  <si>
    <t>ул. Янки Купалы</t>
  </si>
  <si>
    <t>28б</t>
  </si>
  <si>
    <t>23е</t>
  </si>
  <si>
    <t>ул. Федосеенко</t>
  </si>
  <si>
    <t>88г</t>
  </si>
  <si>
    <t>570</t>
  </si>
  <si>
    <t>ул. Веденяпина</t>
  </si>
  <si>
    <t>25в</t>
  </si>
  <si>
    <t>666</t>
  </si>
  <si>
    <t>ул. Чаадаева</t>
  </si>
  <si>
    <t>1г</t>
  </si>
  <si>
    <t>ул. Строкина</t>
  </si>
  <si>
    <t>16б</t>
  </si>
  <si>
    <t>1300</t>
  </si>
  <si>
    <t>12а</t>
  </si>
  <si>
    <t>п. Мостоотряд</t>
  </si>
  <si>
    <t>18в</t>
  </si>
  <si>
    <t>ул. Героя Советского Союза Бахтина</t>
  </si>
  <si>
    <t>10а</t>
  </si>
  <si>
    <t>ул. Октябрьской Революции</t>
  </si>
  <si>
    <t>25а</t>
  </si>
  <si>
    <t>288</t>
  </si>
  <si>
    <t>https://portal.eias.ru/Portal/DownloadPage.aspx?type=12&amp;guid=d182aaaf-fc7b-48bf-a053-f4c87d5aeb61</t>
  </si>
  <si>
    <t>6/08</t>
  </si>
  <si>
    <t>26.01.2017</t>
  </si>
  <si>
    <t>324</t>
  </si>
  <si>
    <t>162</t>
  </si>
  <si>
    <t>документов нет вообще</t>
  </si>
  <si>
    <t>03.01.2000</t>
  </si>
  <si>
    <t>ул. Мечникова</t>
  </si>
  <si>
    <t>73г</t>
  </si>
  <si>
    <t>ул. Береговая</t>
  </si>
  <si>
    <t>318в</t>
  </si>
  <si>
    <t>320</t>
  </si>
  <si>
    <t>110</t>
  </si>
  <si>
    <t>ул. Стрелка</t>
  </si>
  <si>
    <t>62.5</t>
  </si>
  <si>
    <t>д Новоликеево</t>
  </si>
  <si>
    <t>22537000361</t>
  </si>
  <si>
    <t>Новоликеевский с/с, д.Новоликеево</t>
  </si>
  <si>
    <t>70</t>
  </si>
  <si>
    <t>КНС
 (с. Федяково)</t>
  </si>
  <si>
    <t>д. Федяково, Большеельнинский сельсовет. Подключено к централизованной системе водоотведения города Нижнего Новгорода</t>
  </si>
  <si>
    <t>102-1-04.022.А</t>
  </si>
  <si>
    <t>КНС "Чусовая"</t>
  </si>
  <si>
    <t>ул. Ковпака</t>
  </si>
  <si>
    <t>1в</t>
  </si>
  <si>
    <t>10720</t>
  </si>
  <si>
    <t>4180</t>
  </si>
  <si>
    <t>КНС "Юго-Западная"</t>
  </si>
  <si>
    <t>8040</t>
  </si>
  <si>
    <t>4360</t>
  </si>
  <si>
    <t>КНС -3 
(д. Афонино)</t>
  </si>
  <si>
    <t>д. Афонино, ул.Магистральная. Подключено к централизованной системе водоотведения города Нижнего Новгорода</t>
  </si>
  <si>
    <t>https://portal.eias.ru/Portal/DownloadPage.aspx?type=12&amp;guid=9598a757-beee-466a-a276-2e46dd75566f</t>
  </si>
  <si>
    <t>03.08.2012</t>
  </si>
  <si>
    <t>КНС -4 
(д. Афонино)</t>
  </si>
  <si>
    <t>д. Афонино, ул.Зеленая. Подключено к централизованной системе водоотведения города Нижнего Новгорода</t>
  </si>
  <si>
    <t>237.2</t>
  </si>
  <si>
    <t>157.2</t>
  </si>
  <si>
    <t>КНС 29 кв.м</t>
  </si>
  <si>
    <t>с Большое Мокрое</t>
  </si>
  <si>
    <t>22537000241</t>
  </si>
  <si>
    <t>Болльшемокринский с/с, с. Большое Мокрое</t>
  </si>
  <si>
    <t>КНС № 10</t>
  </si>
  <si>
    <t>94б</t>
  </si>
  <si>
    <t>2400</t>
  </si>
  <si>
    <t>КНС № 10а</t>
  </si>
  <si>
    <t>ул. Юлиуса Фучика</t>
  </si>
  <si>
    <t>4б</t>
  </si>
  <si>
    <t>КНС № 11</t>
  </si>
  <si>
    <t>ул. Героя Советского Союза Прыгунова</t>
  </si>
  <si>
    <t>29б</t>
  </si>
  <si>
    <t>КНС № 12а</t>
  </si>
  <si>
    <t>4200</t>
  </si>
  <si>
    <t>1400</t>
  </si>
  <si>
    <t>КНС № 13</t>
  </si>
  <si>
    <t>ул. Раевского</t>
  </si>
  <si>
    <t>3б</t>
  </si>
  <si>
    <t>650</t>
  </si>
  <si>
    <t>КНС № 14</t>
  </si>
  <si>
    <t>ш. Анкудиновское</t>
  </si>
  <si>
    <t>КНС № 15</t>
  </si>
  <si>
    <t>ул. Переходникова</t>
  </si>
  <si>
    <t>950</t>
  </si>
  <si>
    <t>КНС № 15
 (д. Афонино)</t>
  </si>
  <si>
    <t>"Красная поляна", в районе д. Афонино, уч. 1.Подключено к централизованной системе водоотведения города Нижнего Новгорода</t>
  </si>
  <si>
    <t>https://portal.eias.ru/Portal/DownloadPage.aspx?type=12&amp;guid=54d42fad-9537-4197-9a5d-f2c2d82dfb77</t>
  </si>
  <si>
    <t>23-20-548</t>
  </si>
  <si>
    <t>13.07.2020</t>
  </si>
  <si>
    <t>КНС № 16</t>
  </si>
  <si>
    <t>мкр. 6-й</t>
  </si>
  <si>
    <t>17г</t>
  </si>
  <si>
    <t>1250</t>
  </si>
  <si>
    <t>проспект Кораблестроителей</t>
  </si>
  <si>
    <t>60а</t>
  </si>
  <si>
    <t>396</t>
  </si>
  <si>
    <t>198</t>
  </si>
  <si>
    <t>КНС № 19</t>
  </si>
  <si>
    <t>ул. Дворовая</t>
  </si>
  <si>
    <t>27б</t>
  </si>
  <si>
    <t>КНС № 2</t>
  </si>
  <si>
    <t>к.п.Зеленый город, Санаторий им.ВЦСПС</t>
  </si>
  <si>
    <t>пр-кт. Бусыгина</t>
  </si>
  <si>
    <t>36б</t>
  </si>
  <si>
    <t>509</t>
  </si>
  <si>
    <t>254.5</t>
  </si>
  <si>
    <t>КНС № 20</t>
  </si>
  <si>
    <t>5в</t>
  </si>
  <si>
    <t>КНС № 22</t>
  </si>
  <si>
    <t>ул. Космическая</t>
  </si>
  <si>
    <t>44б</t>
  </si>
  <si>
    <t>290</t>
  </si>
  <si>
    <t>105</t>
  </si>
  <si>
    <t>КНС № 23</t>
  </si>
  <si>
    <t>ул. Патриотов</t>
  </si>
  <si>
    <t>53б</t>
  </si>
  <si>
    <t>610</t>
  </si>
  <si>
    <t>205</t>
  </si>
  <si>
    <t>КНС № 24</t>
  </si>
  <si>
    <t>43б</t>
  </si>
  <si>
    <t>432</t>
  </si>
  <si>
    <t>216</t>
  </si>
  <si>
    <t>КНС № 26</t>
  </si>
  <si>
    <t>ул. Коломенская</t>
  </si>
  <si>
    <t>6б</t>
  </si>
  <si>
    <t>1150</t>
  </si>
  <si>
    <t>КНС № 27</t>
  </si>
  <si>
    <t>ул. Красноуральская</t>
  </si>
  <si>
    <t>КНС № 29</t>
  </si>
  <si>
    <t>30в</t>
  </si>
  <si>
    <t>576</t>
  </si>
  <si>
    <t>КНС № 3</t>
  </si>
  <si>
    <t>ул. Дружаева</t>
  </si>
  <si>
    <t>24б</t>
  </si>
  <si>
    <t>КНС № 4</t>
  </si>
  <si>
    <t>ул. Толбухина</t>
  </si>
  <si>
    <t>418</t>
  </si>
  <si>
    <t>209</t>
  </si>
  <si>
    <t>ул. Черняховского</t>
  </si>
  <si>
    <t>22г</t>
  </si>
  <si>
    <t>КНС № 5</t>
  </si>
  <si>
    <t>ул. Мокроусова</t>
  </si>
  <si>
    <t>7а</t>
  </si>
  <si>
    <t>18г</t>
  </si>
  <si>
    <t>КНС № 6</t>
  </si>
  <si>
    <t>КНС № 7</t>
  </si>
  <si>
    <t>21а</t>
  </si>
  <si>
    <t>КНС № 8</t>
  </si>
  <si>
    <t>ул. Александра Люкина</t>
  </si>
  <si>
    <t>5г</t>
  </si>
  <si>
    <t>1500</t>
  </si>
  <si>
    <t>КНС № 9</t>
  </si>
  <si>
    <t>14в</t>
  </si>
  <si>
    <t>759</t>
  </si>
  <si>
    <t>ул. Дуденевская</t>
  </si>
  <si>
    <t>КНС №1</t>
  </si>
  <si>
    <t>165</t>
  </si>
  <si>
    <t>п Ждановский</t>
  </si>
  <si>
    <t>22537000196</t>
  </si>
  <si>
    <t>Большеельнинский с/с, п. Ждановский</t>
  </si>
  <si>
    <t>КНС №2</t>
  </si>
  <si>
    <t>90</t>
  </si>
  <si>
    <t>КНС №3</t>
  </si>
  <si>
    <t>Богородский р-он, Кудьминская промышленная зона №1</t>
  </si>
  <si>
    <t>здание №86</t>
  </si>
  <si>
    <t>475</t>
  </si>
  <si>
    <t>КНС в составе оочистных сооружений с.Слободское</t>
  </si>
  <si>
    <t>с Слободское</t>
  </si>
  <si>
    <t>22537000541</t>
  </si>
  <si>
    <t>Слободской с/с, с. Слободское</t>
  </si>
  <si>
    <t>КНС п. Селекция, здание
(инв 90548575)</t>
  </si>
  <si>
    <t>п Селекционной станции</t>
  </si>
  <si>
    <t>22537000526</t>
  </si>
  <si>
    <t>Ройкинский с/с, п. Селекционной станции</t>
  </si>
  <si>
    <t>135</t>
  </si>
  <si>
    <t>КНС, здание кирпичн, с. Работки</t>
  </si>
  <si>
    <t>с Работки</t>
  </si>
  <si>
    <t>22537000481</t>
  </si>
  <si>
    <t>Работкинский с/с, с. Работки</t>
  </si>
  <si>
    <t>КНС, здание, д. Чернышиха</t>
  </si>
  <si>
    <t>с Чернышиха</t>
  </si>
  <si>
    <t>22537000706</t>
  </si>
  <si>
    <t>Чернышихинский с/с, с. Чернышиха</t>
  </si>
  <si>
    <t>КНС-2
 (д. Афонино)</t>
  </si>
  <si>
    <t>164.9</t>
  </si>
  <si>
    <t>84.9</t>
  </si>
  <si>
    <t>КНС-41</t>
  </si>
  <si>
    <t>Микрорайон "Юг"</t>
  </si>
  <si>
    <t>1224</t>
  </si>
  <si>
    <t>612</t>
  </si>
  <si>
    <t>Канализационная насосная станция д. Подлесово</t>
  </si>
  <si>
    <t>д Подлесово</t>
  </si>
  <si>
    <t>22537000536</t>
  </si>
  <si>
    <t>Слободской с/с, д Подлесово</t>
  </si>
  <si>
    <t>65</t>
  </si>
  <si>
    <t>Канализационная насосная станция с.Запрудное</t>
  </si>
  <si>
    <t>с Запрудное</t>
  </si>
  <si>
    <t>22537000311</t>
  </si>
  <si>
    <t>Запрудновский с/с, с. Запрудное</t>
  </si>
  <si>
    <t>8.33</t>
  </si>
  <si>
    <t>1.51</t>
  </si>
  <si>
    <t>Канализационные сети</t>
  </si>
  <si>
    <t>сеть</t>
  </si>
  <si>
    <t>Канализационные сети 135 м с.Б.Борисово</t>
  </si>
  <si>
    <t>с Ближнее Борисово</t>
  </si>
  <si>
    <t>22537000166</t>
  </si>
  <si>
    <t>Ближнеборисовский с/с, с.Б.Борисово</t>
  </si>
  <si>
    <t>Канализационные сети Кстово
 (д. Афонино)</t>
  </si>
  <si>
    <t>Кстовский район (д. Афонино). Подключено к централизованной системе водоотведения города Нижнего Новгорода</t>
  </si>
  <si>
    <t>https://portal.eias.ru/Portal/DownloadPage.aspx?type=12&amp;guid=ee2938bf-7980-49fa-ab66-a0c016f755c6</t>
  </si>
  <si>
    <t>336.48066</t>
  </si>
  <si>
    <t>186.1353</t>
  </si>
  <si>
    <t>Канализационные сети заречной части города</t>
  </si>
  <si>
    <t>заречная часть г. Нижнего Новгорода</t>
  </si>
  <si>
    <t>https://portal.eias.ru/Portal/DownloadPage.aspx?type=12&amp;guid=ade17c04-c745-4d3d-b8ad-bbc36920ac87</t>
  </si>
  <si>
    <t>31306.6267315612</t>
  </si>
  <si>
    <t>17318.2828308451</t>
  </si>
  <si>
    <t>Канализационные сети нагорной части города</t>
  </si>
  <si>
    <t>нагорная часть г. Нижнего Новгорода</t>
  </si>
  <si>
    <t>https://portal.eias.ru/Portal/DownloadPage.aspx?type=12&amp;guid=75224d24-2ef4-431b-8b02-22816a742214</t>
  </si>
  <si>
    <t>18356.8926084388</t>
  </si>
  <si>
    <t>10154.7145175567</t>
  </si>
  <si>
    <t>Канализационные сети с.Запрудное</t>
  </si>
  <si>
    <t>Запрудновский с/с, с.Запрудное</t>
  </si>
  <si>
    <t>https://portal.eias.ru/Portal/DownloadPage.aspx?type=12&amp;guid=1ad88544-8a78-4478-913b-d7e3b6958760</t>
  </si>
  <si>
    <t>08.11.2021</t>
  </si>
  <si>
    <t>Канализационые сети</t>
  </si>
  <si>
    <t>Канализация НИРФИ</t>
  </si>
  <si>
    <t>д Зименки</t>
  </si>
  <si>
    <t>22537000146</t>
  </si>
  <si>
    <t>Безводнинский с/с, д. Зименки</t>
  </si>
  <si>
    <t>Контактный резервуар-емкость для обеззараживания стоков</t>
  </si>
  <si>
    <t>Линейное сооружение (сети водоотведения) с.Игумново</t>
  </si>
  <si>
    <t>с Игумново</t>
  </si>
  <si>
    <t>22537000646</t>
  </si>
  <si>
    <t>Чернышихинский с/с, с.Игумново</t>
  </si>
  <si>
    <t>https://portal.eias.ru/Portal/DownloadPage.aspx?type=12&amp;guid=40fbb7b3-dc57-4f94-9b68-f2a0b2b7ce4a</t>
  </si>
  <si>
    <t>01.06.2022</t>
  </si>
  <si>
    <t>Наружные канализационные сети 176 м с.Б.Борисово</t>
  </si>
  <si>
    <t>Насос 1 Д 630-90 Б,2005 г. (090548881)</t>
  </si>
  <si>
    <t>504</t>
  </si>
  <si>
    <t>Насос №1 НФ 2-50-200 (090548730)</t>
  </si>
  <si>
    <t>Насос СД 160/45 37 кВт (1) (090548900)</t>
  </si>
  <si>
    <t>Насос СД 160/45 37 кВт (2) (090548637)</t>
  </si>
  <si>
    <t>Насос СД100х40, ФНС с. Шелокша (090548671)</t>
  </si>
  <si>
    <t>с Шелокша</t>
  </si>
  <si>
    <t>22537000626</t>
  </si>
  <si>
    <t>Чернухинский с/с, с. Шелокша</t>
  </si>
  <si>
    <t>Насос СМ 100-65 2001/09 с. Запрудное (090548748)</t>
  </si>
  <si>
    <t>Насос СМ 100-65-200 (090548746)</t>
  </si>
  <si>
    <t>Насос СМ 100-65-200 с. Подлесово 1 (090548700)</t>
  </si>
  <si>
    <t>Насос СМ 100-65-200 с. Подлесово 2 (090548704)</t>
  </si>
  <si>
    <t>Насос СМ 100-65-250 7,5 к Вт с.Б.Мокрое (090548472)</t>
  </si>
  <si>
    <t>Насос СМ 125-80-315/4 22 кВт (090548717)</t>
  </si>
  <si>
    <t>Насос СМ 125-80-315/4 22 кВт (1) (090548890)</t>
  </si>
  <si>
    <t>Большеельниский сельсовет, п. Ждановский</t>
  </si>
  <si>
    <t>Насос СМ 150-125-315 (090548410М)</t>
  </si>
  <si>
    <t>Насос СМ 150-125-315-4 (090548895)</t>
  </si>
  <si>
    <t>Насос СМ 80-50-200/2 18,5 кВт (090548693)</t>
  </si>
  <si>
    <t>Насос СМ-100-65-200/2 (1) (090548883)</t>
  </si>
  <si>
    <t>Большеельниский с/с, п. Ждановский</t>
  </si>
  <si>
    <t>Насос СМ-100-65-200/2 (2) (090548884)</t>
  </si>
  <si>
    <t>Насос СМ-100-65-200/2 (3) (090548886)</t>
  </si>
  <si>
    <t>Насос СМ-125-80-315/4 22 квт (2) (090548894)</t>
  </si>
  <si>
    <t>Насос СМ-125-80-315/4 22 квт (3) (090548892)</t>
  </si>
  <si>
    <t>Насосное оборудование</t>
  </si>
  <si>
    <t>роддом № 5 в московском районе</t>
  </si>
  <si>
    <t>50000</t>
  </si>
  <si>
    <t>24563</t>
  </si>
  <si>
    <t>Отстойник-емкость для отстаивания сточной воды</t>
  </si>
  <si>
    <t>Отстойники (в составе очистных сооружений)</t>
  </si>
  <si>
    <t>Очистные сооружения с. Б.Мокрое</t>
  </si>
  <si>
    <t>Большемокринский с/с, с. Большое Мокрое</t>
  </si>
  <si>
    <t>Очистные сооружения с. Работки</t>
  </si>
  <si>
    <t>Очистные сооружения с. Чернуха, здание</t>
  </si>
  <si>
    <t>Очистные сооружения с. Чернышиха</t>
  </si>
  <si>
    <t>Очистные сооружения с.Слободское объем 40 куб.м</t>
  </si>
  <si>
    <t>Приемная камера-емкость для первичного отстаивания сточных вод</t>
  </si>
  <si>
    <t>Сети водоотведения д.Козловка</t>
  </si>
  <si>
    <t>д Козловка / Входит в состав административно-территориального образования Прокошевский сельсовет</t>
  </si>
  <si>
    <t>22537000396</t>
  </si>
  <si>
    <t>Ройкинский с/с, д. Козловка, ул.Новая</t>
  </si>
  <si>
    <t>https://portal.eias.ru/Portal/DownloadPage.aspx?type=12&amp;guid=46fe387a-38d1-45a5-823e-1ff77fcc7628</t>
  </si>
  <si>
    <t>08.07.2021</t>
  </si>
  <si>
    <t>Сети канализации д. Подлесово</t>
  </si>
  <si>
    <t>Слободской с/с, д. Подлесово</t>
  </si>
  <si>
    <t>Сети канализации д. Прокошево</t>
  </si>
  <si>
    <t>д Прокошево</t>
  </si>
  <si>
    <t>22537000426</t>
  </si>
  <si>
    <t>Прокошевский с/с,  д. Прокошево</t>
  </si>
  <si>
    <t>Сети канализации п. Дружный</t>
  </si>
  <si>
    <t>Сети канализации п. Ждановский</t>
  </si>
  <si>
    <t>126</t>
  </si>
  <si>
    <t>Сети канализации п. Селекционная станция</t>
  </si>
  <si>
    <t>Ройкинский с/с, п. Селекционная станция</t>
  </si>
  <si>
    <t>Сети канализации с. Большое Мокрое</t>
  </si>
  <si>
    <t>Сети канализации с. Вязовка</t>
  </si>
  <si>
    <t>с Вязовка</t>
  </si>
  <si>
    <t>22537000171</t>
  </si>
  <si>
    <t>Большеборисовский с/с, с. Вязовка</t>
  </si>
  <si>
    <t>Сети канализации с. Запрудное</t>
  </si>
  <si>
    <t>Сети канализации с. Работки</t>
  </si>
  <si>
    <t>Сети канализации с. Слободское</t>
  </si>
  <si>
    <t>4.8</t>
  </si>
  <si>
    <t>Сети канализации с. Чернуха</t>
  </si>
  <si>
    <t>Сети канализации с. Чернышиха</t>
  </si>
  <si>
    <t>13.5</t>
  </si>
  <si>
    <t>Сети канализации с. Шава</t>
  </si>
  <si>
    <t>с Шава</t>
  </si>
  <si>
    <t>22537000341</t>
  </si>
  <si>
    <t>Запрудновский с/с, с. Шава</t>
  </si>
  <si>
    <t>Сети канализации с. Шелокша</t>
  </si>
  <si>
    <t>Станция перекачки №2</t>
  </si>
  <si>
    <t>в/ч 36026</t>
  </si>
  <si>
    <t>ФНС, Насосная станция</t>
  </si>
  <si>
    <t>Эл. Двигатель АИР315S 4 (090548887)</t>
  </si>
  <si>
    <t>TER_NAME</t>
  </si>
  <si>
    <t>Территория 1</t>
  </si>
  <si>
    <t>Территория 2</t>
  </si>
  <si>
    <t>ID_TARIFF_NAME</t>
  </si>
  <si>
    <t>TARIFF_NAME</t>
  </si>
  <si>
    <t>VED_NAME</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</si>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</sst>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8" formatCode="dd\.mm\.yyyy"/>
    <numFmt numFmtId="169" formatCode="000000"/>
    <numFmt numFmtId="170" formatCode="#,##0.000"/>
    <numFmt numFmtId="171" formatCode="#,##0.0000"/>
    <numFmt numFmtId="172" formatCode="h:mm;@"/>
  </numFmts>
  <fonts count="83">
    <font>
      <sz val="11"/>
      <color rgb="FF000000"/>
      <name val="Calibri"/>
    </font>
    <font>
      <sz val="11"/>
      <color rgb="FFFFFFFF"/>
      <name val="Tahoma"/>
      <family val="2"/>
      <charset val="204"/>
    </font>
    <font>
      <b/>
      <sz val="10"/>
      <name val="Tahoma"/>
      <family val="2"/>
      <charset val="204"/>
    </font>
    <font>
      <sz val="10"/>
      <name val="Tahoma"/>
      <family val="2"/>
      <charset val="204"/>
    </font>
    <font>
      <sz val="11"/>
      <color rgb="FF000000"/>
      <name val="Tahoma"/>
      <family val="2"/>
      <charset val="204"/>
    </font>
    <font>
      <sz val="9"/>
      <color rgb="FF000000"/>
      <name val="Tahoma"/>
      <family val="2"/>
      <charset val="204"/>
    </font>
    <font>
      <sz val="10"/>
      <color rgb="FF000000"/>
      <name val="Tahoma"/>
      <family val="2"/>
      <charset val="204"/>
    </font>
    <font>
      <b/>
      <sz val="10"/>
      <color rgb="FF000000"/>
      <name val="Tahoma"/>
      <family val="2"/>
      <charset val="204"/>
    </font>
    <font>
      <sz val="1"/>
      <color rgb="FFFFFFFF"/>
      <name val="Tahoma"/>
      <family val="2"/>
      <charset val="204"/>
    </font>
    <font>
      <sz val="9"/>
      <name val="Tahoma"/>
      <family val="2"/>
      <charset val="204"/>
    </font>
    <font>
      <sz val="9"/>
      <color rgb="FFFFFFFF"/>
      <name val="Tahoma"/>
      <family val="2"/>
      <charset val="204"/>
    </font>
    <font>
      <sz val="3"/>
      <name val="Tahoma"/>
      <family val="2"/>
      <charset val="204"/>
    </font>
    <font>
      <sz val="16"/>
      <name val="Tahoma"/>
      <family val="2"/>
      <charset val="204"/>
    </font>
    <font>
      <b/>
      <sz val="9"/>
      <name val="Tahoma"/>
      <family val="2"/>
      <charset val="204"/>
    </font>
    <font>
      <sz val="3"/>
      <color rgb="FF993300"/>
      <name val="Tahoma"/>
      <family val="2"/>
      <charset val="204"/>
    </font>
    <font>
      <sz val="7"/>
      <name val="Tahoma"/>
      <family val="2"/>
      <charset val="204"/>
    </font>
    <font>
      <sz val="3"/>
      <color rgb="FFFFFFFF"/>
      <name val="Tahoma"/>
      <family val="2"/>
      <charset val="204"/>
    </font>
    <font>
      <sz val="7"/>
      <color theme="0" tint="-0.499984740745262"/>
      <name val="Tahoma"/>
      <family val="2"/>
      <charset val="204"/>
    </font>
    <font>
      <u/>
      <sz val="9"/>
      <color rgb="FF333399"/>
      <name val="Tahoma"/>
      <family val="2"/>
      <charset val="204"/>
    </font>
    <font>
      <sz val="9"/>
      <color theme="0"/>
      <name val="Tahoma"/>
      <family val="2"/>
      <charset val="204"/>
    </font>
    <font>
      <b/>
      <sz val="9"/>
      <color theme="0"/>
      <name val="Tahoma"/>
      <family val="2"/>
      <charset val="204"/>
    </font>
    <font>
      <sz val="16"/>
      <color rgb="FFFFFFFF"/>
      <name val="Tahoma"/>
      <family val="2"/>
      <charset val="204"/>
    </font>
    <font>
      <sz val="3"/>
      <color rgb="FF000000"/>
      <name val="Tahoma"/>
      <family val="2"/>
      <charset val="204"/>
    </font>
    <font>
      <u/>
      <sz val="9"/>
      <color rgb="FF000080"/>
      <name val="Tahoma"/>
      <family val="2"/>
      <charset val="204"/>
    </font>
    <font>
      <sz val="9"/>
      <color rgb="FFCC0000"/>
      <name val="Tahoma"/>
      <family val="2"/>
      <charset val="204"/>
    </font>
    <font>
      <sz val="1"/>
      <color theme="0"/>
      <name val="Tahoma"/>
      <family val="2"/>
      <charset val="204"/>
    </font>
    <font>
      <sz val="11"/>
      <color theme="0"/>
      <name val="Wingdings 2"/>
      <family val="1"/>
      <charset val="2"/>
    </font>
    <font>
      <sz val="11"/>
      <name val="Wingdings 2"/>
      <family val="1"/>
      <charset val="2"/>
    </font>
    <font>
      <sz val="9"/>
      <color rgb="FFBCBCBC"/>
      <name val="Tahoma"/>
      <family val="2"/>
      <charset val="204"/>
    </font>
    <font>
      <sz val="9"/>
      <color rgb="FF000080"/>
      <name val="Tahoma"/>
      <family val="2"/>
      <charset val="204"/>
    </font>
    <font>
      <sz val="8"/>
      <name val="Tahoma"/>
      <family val="2"/>
      <charset val="204"/>
    </font>
    <font>
      <sz val="11"/>
      <color rgb="FFBCBCBC"/>
      <name val="Wingdings 2"/>
      <family val="1"/>
      <charset val="2"/>
    </font>
    <font>
      <sz val="5"/>
      <color rgb="FFFF0000"/>
      <name val="Tahoma"/>
      <family val="2"/>
      <charset val="204"/>
    </font>
    <font>
      <b/>
      <sz val="11"/>
      <color rgb="FF000000"/>
      <name val="Calibri"/>
      <family val="2"/>
      <charset val="204"/>
    </font>
    <font>
      <sz val="9"/>
      <color theme="1"/>
      <name val="Tahoma"/>
      <family val="2"/>
      <charset val="204"/>
    </font>
    <font>
      <sz val="12"/>
      <name val="Marlett"/>
      <charset val="2"/>
    </font>
    <font>
      <sz val="1"/>
      <name val="Tahoma"/>
      <family val="2"/>
      <charset val="204"/>
    </font>
    <font>
      <sz val="1"/>
      <color rgb="FF000000"/>
      <name val="Tahoma"/>
      <family val="2"/>
      <charset val="204"/>
    </font>
    <font>
      <b/>
      <sz val="9"/>
      <color rgb="FF000080"/>
      <name val="Tahoma"/>
      <family val="2"/>
      <charset val="204"/>
    </font>
    <font>
      <sz val="18"/>
      <color rgb="FF000000"/>
      <name val="Tahoma"/>
      <family val="2"/>
      <charset val="204"/>
    </font>
    <font>
      <sz val="12"/>
      <color rgb="FF000000"/>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theme="0"/>
      <name val="Tahoma"/>
      <family val="2"/>
      <charset val="204"/>
    </font>
    <font>
      <sz val="3"/>
      <color rgb="FFBCBCBC"/>
      <name val="Tahoma"/>
      <family val="2"/>
      <charset val="204"/>
    </font>
    <font>
      <sz val="1"/>
      <color rgb="FFBCBCBC"/>
      <name val="Tahoma"/>
      <family val="2"/>
      <charset val="204"/>
    </font>
    <font>
      <sz val="7"/>
      <color rgb="FF000000"/>
      <name val="Tahoma"/>
      <family val="2"/>
      <charset val="204"/>
    </font>
    <font>
      <sz val="9"/>
      <color rgb="FFFF0000"/>
      <name val="Tahoma"/>
      <family val="2"/>
      <charset val="204"/>
    </font>
    <font>
      <sz val="10"/>
      <color rgb="FF000000"/>
      <name val="Arial"/>
      <family val="2"/>
      <charset val="204"/>
    </font>
    <font>
      <sz val="9"/>
      <color rgb="FF333399"/>
      <name val="Tahoma"/>
      <family val="2"/>
      <charset val="204"/>
    </font>
    <font>
      <sz val="11"/>
      <name val="Webdings2"/>
    </font>
    <font>
      <b/>
      <sz val="9"/>
      <color rgb="FF000000"/>
      <name val="Tahoma"/>
      <family val="2"/>
      <charset val="204"/>
    </font>
    <font>
      <sz val="8"/>
      <color theme="0"/>
      <name val="Tahoma"/>
      <family val="2"/>
      <charset val="204"/>
    </font>
    <font>
      <b/>
      <sz val="8"/>
      <color theme="0"/>
      <name val="Wingdings 2"/>
      <family val="1"/>
      <charset val="2"/>
    </font>
    <font>
      <b/>
      <sz val="8"/>
      <color rgb="FFC0C0C0"/>
      <name val="Wingdings 2"/>
      <family val="1"/>
      <charset val="2"/>
    </font>
    <font>
      <sz val="8"/>
      <color rgb="FF000080"/>
      <name val="Tahoma"/>
      <family val="2"/>
      <charset val="204"/>
    </font>
    <font>
      <sz val="12"/>
      <color theme="0"/>
      <name val="Tahoma"/>
      <family val="2"/>
      <charset val="204"/>
    </font>
    <font>
      <sz val="11"/>
      <color theme="0"/>
      <name val="Tahoma"/>
      <family val="2"/>
      <charset val="204"/>
    </font>
    <font>
      <b/>
      <u/>
      <sz val="9"/>
      <color rgb="FF000080"/>
      <name val="Tahoma"/>
      <family val="2"/>
      <charset val="204"/>
    </font>
    <font>
      <u/>
      <sz val="1"/>
      <color rgb="FF333399"/>
      <name val="Tahoma"/>
      <family val="2"/>
      <charset val="204"/>
    </font>
    <font>
      <b/>
      <sz val="1"/>
      <color theme="0"/>
      <name val="Tahoma"/>
      <family val="2"/>
      <charset val="204"/>
    </font>
    <font>
      <sz val="1"/>
      <name val="Webdings2"/>
    </font>
    <font>
      <sz val="1"/>
      <color theme="0"/>
      <name val="Webdings2"/>
    </font>
    <font>
      <sz val="11"/>
      <color theme="0"/>
      <name val="Webdings2"/>
    </font>
    <font>
      <b/>
      <sz val="1"/>
      <color rgb="FF000080"/>
      <name val="Tahoma"/>
      <family val="2"/>
      <charset val="204"/>
    </font>
    <font>
      <sz val="1"/>
      <color rgb="FF000080"/>
      <name val="Tahoma"/>
      <family val="2"/>
      <charset val="204"/>
    </font>
    <font>
      <sz val="14"/>
      <color rgb="FFBCBCBC"/>
      <name val="Calibri"/>
      <family val="2"/>
      <charset val="204"/>
    </font>
    <font>
      <sz val="12"/>
      <name val="Tahoma"/>
      <family val="2"/>
      <charset val="204"/>
    </font>
    <font>
      <sz val="1"/>
      <color theme="0"/>
      <name val="Wingdings 2"/>
      <family val="1"/>
      <charset val="2"/>
    </font>
    <font>
      <sz val="15"/>
      <color theme="0"/>
      <name val="Tahoma"/>
      <family val="2"/>
      <charset val="204"/>
    </font>
    <font>
      <sz val="15"/>
      <name val="Tahoma"/>
      <family val="2"/>
      <charset val="204"/>
    </font>
    <font>
      <b/>
      <sz val="9"/>
      <color rgb="FFCC0000"/>
      <name val="Tahoma"/>
      <family val="2"/>
      <charset val="204"/>
    </font>
    <font>
      <sz val="8"/>
      <color rgb="FFFFFFFF"/>
      <name val="Tahoma"/>
      <family val="2"/>
      <charset val="204"/>
    </font>
    <font>
      <b/>
      <sz val="9"/>
      <color rgb="FFFFFFFF"/>
      <name val="Tahoma"/>
      <family val="2"/>
      <charset val="204"/>
    </font>
    <font>
      <sz val="15"/>
      <color rgb="FF000000"/>
      <name val="Tahoma"/>
      <family val="2"/>
      <charset val="204"/>
    </font>
    <font>
      <sz val="18"/>
      <color theme="0"/>
      <name val="Tahoma"/>
      <family val="2"/>
      <charset val="204"/>
    </font>
    <font>
      <u/>
      <sz val="9"/>
      <name val="Tahoma"/>
      <family val="2"/>
      <charset val="204"/>
    </font>
    <font>
      <b/>
      <u/>
      <sz val="9"/>
      <name val="Tahoma"/>
      <family val="2"/>
      <charset val="204"/>
    </font>
    <font>
      <u/>
      <sz val="9"/>
      <color theme="10"/>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BCBCBC"/>
      </patternFill>
    </fill>
    <fill>
      <patternFill patternType="solid">
        <fgColor theme="0" tint="-0.14999847407452621"/>
        <bgColor indexed="65"/>
      </patternFill>
    </fill>
    <fill>
      <patternFill patternType="solid">
        <fgColor rgb="FFFFFFC0"/>
      </patternFill>
    </fill>
    <fill>
      <patternFill patternType="solid">
        <fgColor rgb="FFD3DBDB"/>
      </patternFill>
    </fill>
    <fill>
      <patternFill patternType="solid">
        <fgColor rgb="FFD7EAD3"/>
      </patternFill>
    </fill>
    <fill>
      <patternFill patternType="solid">
        <fgColor rgb="FFE3FAFD"/>
      </patternFill>
    </fill>
    <fill>
      <patternFill patternType="solid">
        <fgColor rgb="FFFFFFFF"/>
      </patternFill>
    </fill>
    <fill>
      <patternFill patternType="solid">
        <fgColor rgb="FFB7E4FF"/>
      </patternFill>
    </fill>
    <fill>
      <patternFill patternType="lightDown">
        <fgColor rgb="FFC0C0C0"/>
      </patternFill>
    </fill>
    <fill>
      <patternFill patternType="solid">
        <fgColor theme="0"/>
      </patternFill>
    </fill>
    <fill>
      <patternFill patternType="solid">
        <fgColor rgb="FFC0C0C0"/>
      </patternFill>
    </fill>
    <fill>
      <patternFill patternType="solid">
        <fgColor rgb="FF0066CC"/>
      </patternFill>
    </fill>
    <fill>
      <patternFill patternType="solid">
        <fgColor rgb="FFFF9900"/>
      </patternFill>
    </fill>
    <fill>
      <patternFill patternType="solid">
        <fgColor rgb="FF808000"/>
      </patternFill>
    </fill>
    <fill>
      <patternFill patternType="solid">
        <fgColor rgb="FFCC99FF"/>
      </patternFill>
    </fill>
    <fill>
      <patternFill patternType="solid">
        <fgColor rgb="FFFFFF00"/>
      </patternFill>
    </fill>
    <fill>
      <patternFill patternType="solid">
        <fgColor rgb="FFCCCCFF"/>
      </patternFill>
    </fill>
    <fill>
      <patternFill patternType="solid">
        <fgColor rgb="FFFFB7B7"/>
      </patternFill>
    </fill>
    <fill>
      <patternFill patternType="lightDown">
        <fgColor rgb="FFB7E4FF"/>
        <bgColor rgb="FFFFFFFF"/>
      </patternFill>
    </fill>
    <fill>
      <patternFill patternType="solid">
        <fgColor rgb="FFEAEBEE"/>
      </patternFill>
    </fill>
    <fill>
      <patternFill patternType="solid">
        <fgColor rgb="FF00CCFF"/>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s>
  <borders count="66">
    <border>
      <left/>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BCBCBC"/>
      </left>
      <right/>
      <top/>
      <bottom/>
      <diagonal/>
    </border>
    <border>
      <left/>
      <right style="thin">
        <color rgb="FFBCBCBC"/>
      </right>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BCBCBC"/>
      </left>
      <right/>
      <top/>
      <bottom style="thin">
        <color rgb="FFBCBCBC"/>
      </bottom>
      <diagonal/>
    </border>
    <border>
      <left/>
      <right/>
      <top/>
      <bottom style="thin">
        <color rgb="FFBCBCBC"/>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hair">
        <color rgb="FFC0C0C0"/>
      </left>
      <right/>
      <top style="hair">
        <color rgb="FFC0C0C0"/>
      </top>
      <bottom style="hair">
        <color rgb="FFC0C0C0"/>
      </bottom>
      <diagonal/>
    </border>
    <border>
      <left style="thin">
        <color rgb="FFC0C0C0"/>
      </left>
      <right style="thin">
        <color rgb="FFC0C0C0"/>
      </right>
      <top style="thin">
        <color rgb="FFC0C0C0"/>
      </top>
      <bottom style="thin">
        <color rgb="FFC0C0C0"/>
      </bottom>
      <diagonal/>
    </border>
    <border>
      <left style="thin">
        <color rgb="FFBCBCBC"/>
      </left>
      <right style="thin">
        <color rgb="FFBCBCBC"/>
      </right>
      <top style="thin">
        <color rgb="FFBCBCBC"/>
      </top>
      <bottom style="thin">
        <color rgb="FFBCBCBC"/>
      </bottom>
      <diagonal/>
    </border>
    <border>
      <left/>
      <right/>
      <top style="thin">
        <color rgb="FFC0C0C0"/>
      </top>
      <bottom style="thin">
        <color rgb="FFC0C0C0"/>
      </bottom>
      <diagonal/>
    </border>
    <border>
      <left/>
      <right/>
      <top style="thin">
        <color rgb="FFC0C0C0"/>
      </top>
      <bottom/>
      <diagonal/>
    </border>
    <border>
      <left/>
      <right style="thin">
        <color rgb="FFC0C0C0"/>
      </right>
      <top style="thin">
        <color rgb="FFC0C0C0"/>
      </top>
      <bottom/>
      <diagonal/>
    </border>
    <border>
      <left style="thin">
        <color rgb="FFC0C0C0"/>
      </left>
      <right/>
      <top/>
      <bottom/>
      <diagonal/>
    </border>
    <border>
      <left/>
      <right style="thin">
        <color rgb="FFC0C0C0"/>
      </right>
      <top/>
      <bottom/>
      <diagonal/>
    </border>
    <border>
      <left style="thin">
        <color rgb="FFC0C0C0"/>
      </left>
      <right style="thin">
        <color rgb="FFC0C0C0"/>
      </right>
      <top/>
      <bottom style="thin">
        <color rgb="FFC0C0C0"/>
      </bottom>
      <diagonal/>
    </border>
    <border>
      <left/>
      <right/>
      <top style="thin">
        <color rgb="FFD3DBDB"/>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bottom style="thin">
        <color rgb="FFC0C0C0"/>
      </bottom>
      <diagonal/>
    </border>
    <border>
      <left style="thin">
        <color rgb="FFC0C0C0"/>
      </left>
      <right/>
      <top/>
      <bottom style="thin">
        <color rgb="FFC0C0C0"/>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C0C0C0"/>
      </left>
      <right style="thin">
        <color rgb="FFC0C0C0"/>
      </right>
      <top/>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rgb="FFD3DBDB"/>
      </left>
      <right style="thin">
        <color rgb="FFD3DBDB"/>
      </right>
      <top style="thin">
        <color rgb="FFD3DBDB"/>
      </top>
      <bottom style="thin">
        <color rgb="FFD3DBDB"/>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000000"/>
      </left>
      <right style="thin">
        <color rgb="FF000000"/>
      </right>
      <top style="thin">
        <color rgb="FF000000"/>
      </top>
      <bottom style="thin">
        <color rgb="FF00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rgb="FFBCBCBC"/>
      </left>
      <right/>
      <top style="medium">
        <color rgb="FFBCBCBC"/>
      </top>
      <bottom/>
      <diagonal/>
    </border>
    <border>
      <left/>
      <right/>
      <top style="medium">
        <color rgb="FFBCBCBC"/>
      </top>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style="thin">
        <color theme="0" tint="-0.249977111117893"/>
      </right>
      <top style="thin">
        <color rgb="FFC0C0C0"/>
      </top>
      <bottom style="thin">
        <color rgb="FFC0C0C0"/>
      </bottom>
      <diagonal/>
    </border>
    <border>
      <left style="thin">
        <color rgb="FFC0C0C0"/>
      </left>
      <right style="thin">
        <color rgb="FFC0C0C0"/>
      </right>
      <top style="thin">
        <color rgb="FFC0C0C0"/>
      </top>
      <bottom style="medium">
        <color rgb="FFC0C0C0"/>
      </bottom>
      <diagonal/>
    </border>
    <border>
      <left/>
      <right/>
      <top/>
      <bottom style="medium">
        <color rgb="FFC0C0C0"/>
      </bottom>
      <diagonal/>
    </border>
    <border>
      <left/>
      <right/>
      <top style="thin">
        <color rgb="FFC0C0C0"/>
      </top>
      <bottom style="medium">
        <color rgb="FFC0C0C0"/>
      </bottom>
      <diagonal/>
    </border>
    <border>
      <left style="thin">
        <color rgb="FFBCBCBC"/>
      </left>
      <right/>
      <top style="medium">
        <color rgb="FFBCBCBC"/>
      </top>
      <bottom style="thin">
        <color rgb="FFC0C0C0"/>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style="thin">
        <color rgb="FFC0C0C0"/>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theme="0" tint="-0.249977111117893"/>
      </left>
      <right style="thin">
        <color rgb="FFC0C0C0"/>
      </right>
      <top style="thin">
        <color rgb="FFC0C0C0"/>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thin">
        <color rgb="FFBCBCBC"/>
      </bottom>
      <diagonal/>
    </border>
    <border>
      <left/>
      <right/>
      <top style="dotted">
        <color rgb="FF000000"/>
      </top>
      <bottom style="dotted">
        <color rgb="FF000000"/>
      </bottom>
      <diagonal/>
    </border>
  </borders>
  <cellStyleXfs count="1250">
    <xf numFmtId="0" fontId="0" fillId="0" borderId="0" applyFill="0" applyBorder="0">
      <alignment vertical="top"/>
    </xf>
    <xf numFmtId="49" fontId="1" fillId="0" borderId="0" applyFill="0" applyBorder="0">
      <alignment wrapText="1"/>
    </xf>
    <xf numFmtId="0" fontId="2" fillId="0" borderId="0" applyFill="0" applyBorder="0">
      <alignment vertical="center" wrapText="1"/>
    </xf>
    <xf numFmtId="0" fontId="2" fillId="0" borderId="0" applyFill="0" applyBorder="0">
      <alignment vertical="center"/>
    </xf>
    <xf numFmtId="0" fontId="3" fillId="6" borderId="1">
      <alignment horizontal="center" vertical="center" wrapText="1"/>
    </xf>
    <xf numFmtId="0" fontId="3" fillId="6" borderId="2">
      <alignment horizontal="center" vertical="center" wrapText="1"/>
    </xf>
    <xf numFmtId="0" fontId="3" fillId="6" borderId="3">
      <alignment horizontal="center" vertical="center" wrapText="1"/>
    </xf>
    <xf numFmtId="0" fontId="3" fillId="7" borderId="4">
      <alignment horizontal="right" vertical="center" wrapText="1" indent="1"/>
    </xf>
    <xf numFmtId="0" fontId="3" fillId="7" borderId="5">
      <alignment horizontal="right" vertical="center" wrapText="1" indent="1"/>
    </xf>
    <xf numFmtId="0" fontId="4" fillId="0" borderId="4" applyFill="0">
      <alignment wrapText="1"/>
    </xf>
    <xf numFmtId="0" fontId="5" fillId="8" borderId="6">
      <alignment horizontal="center" vertical="center" wrapText="1"/>
    </xf>
    <xf numFmtId="0" fontId="6" fillId="0" borderId="4" applyFill="0">
      <alignment vertical="center" wrapText="1"/>
    </xf>
    <xf numFmtId="0" fontId="5" fillId="9" borderId="6">
      <alignment horizontal="center" vertical="center" wrapText="1"/>
    </xf>
    <xf numFmtId="0" fontId="6" fillId="0" borderId="4" applyFill="0">
      <alignment horizontal="left" vertical="center" wrapText="1"/>
    </xf>
    <xf numFmtId="0" fontId="5" fillId="10" borderId="6">
      <alignment horizontal="center" vertical="center" wrapText="1"/>
    </xf>
    <xf numFmtId="0" fontId="5" fillId="11" borderId="6">
      <alignment horizontal="center" vertical="center" wrapText="1"/>
    </xf>
    <xf numFmtId="0" fontId="3" fillId="7" borderId="0" applyBorder="0">
      <alignment horizontal="right" vertical="center" wrapText="1" indent="1"/>
    </xf>
    <xf numFmtId="0" fontId="7" fillId="0" borderId="4" applyFill="0">
      <alignment horizontal="left" vertical="center" wrapText="1"/>
    </xf>
    <xf numFmtId="0" fontId="7" fillId="0" borderId="7" applyFill="0">
      <alignment horizontal="left" vertical="center" wrapText="1"/>
    </xf>
    <xf numFmtId="0" fontId="3" fillId="7" borderId="6">
      <alignment horizontal="right" vertical="center" wrapText="1" indent="1"/>
    </xf>
    <xf numFmtId="0" fontId="3" fillId="7" borderId="8">
      <alignment horizontal="right" vertical="center" wrapText="1" indent="1"/>
    </xf>
    <xf numFmtId="0" fontId="6" fillId="0" borderId="4" applyFill="0">
      <alignment wrapText="1"/>
    </xf>
    <xf numFmtId="0" fontId="6" fillId="0" borderId="0" applyFill="0" applyBorder="0">
      <alignment vertical="center" wrapText="1"/>
    </xf>
    <xf numFmtId="0" fontId="6" fillId="0" borderId="0" applyFill="0" applyBorder="0">
      <alignment vertical="top" wrapText="1"/>
    </xf>
    <xf numFmtId="0" fontId="3" fillId="7" borderId="9">
      <alignment horizontal="right" vertical="center" wrapText="1" indent="1"/>
    </xf>
    <xf numFmtId="0" fontId="3" fillId="7" borderId="10">
      <alignment horizontal="right" vertical="center" wrapText="1" indent="1"/>
    </xf>
    <xf numFmtId="0" fontId="4" fillId="0" borderId="9" applyFill="0">
      <alignment wrapText="1"/>
    </xf>
    <xf numFmtId="0" fontId="4" fillId="0" borderId="10" applyFill="0">
      <alignment wrapText="1"/>
    </xf>
    <xf numFmtId="0" fontId="4" fillId="0" borderId="10" applyFill="0">
      <alignment vertical="center" wrapText="1"/>
    </xf>
    <xf numFmtId="0" fontId="8" fillId="0" borderId="0" applyFill="0" applyBorder="0">
      <alignment vertical="center" wrapText="1"/>
    </xf>
    <xf numFmtId="0" fontId="9" fillId="0" borderId="0" applyFill="0" applyBorder="0">
      <alignment horizontal="left" vertical="top" indent="1"/>
    </xf>
    <xf numFmtId="0" fontId="10" fillId="0" borderId="0" applyFill="0" applyBorder="0">
      <alignment vertical="center" wrapText="1"/>
    </xf>
    <xf numFmtId="0" fontId="5" fillId="0" borderId="0" applyFill="0" applyBorder="0">
      <alignment horizontal="left" vertical="center" indent="1"/>
    </xf>
    <xf numFmtId="0" fontId="9" fillId="0" borderId="0" applyFill="0" applyBorder="0">
      <alignment vertical="center" wrapText="1"/>
    </xf>
    <xf numFmtId="0" fontId="11" fillId="12" borderId="0" applyBorder="0">
      <alignment vertical="center" wrapText="1"/>
    </xf>
    <xf numFmtId="0" fontId="11" fillId="0" borderId="0" applyFill="0" applyBorder="0">
      <alignment vertical="center" wrapText="1"/>
    </xf>
    <xf numFmtId="0" fontId="12" fillId="12" borderId="0" applyBorder="0">
      <alignment vertical="center" wrapText="1"/>
    </xf>
    <xf numFmtId="0" fontId="9" fillId="0" borderId="11" applyFill="0">
      <alignment horizontal="center" vertical="center" wrapText="1"/>
    </xf>
    <xf numFmtId="0" fontId="9" fillId="0" borderId="12" applyFill="0">
      <alignment horizontal="center" vertical="center" wrapText="1"/>
    </xf>
    <xf numFmtId="0" fontId="13" fillId="12" borderId="0" applyBorder="0">
      <alignment vertical="center" wrapText="1"/>
    </xf>
    <xf numFmtId="0" fontId="11" fillId="12" borderId="0" applyBorder="0">
      <alignment horizontal="right" vertical="center" wrapText="1" indent="1"/>
    </xf>
    <xf numFmtId="0" fontId="14" fillId="12" borderId="0" applyBorder="0">
      <alignment horizontal="center" vertical="center" wrapText="1"/>
    </xf>
    <xf numFmtId="0" fontId="9" fillId="12" borderId="13">
      <alignment horizontal="right" vertical="center" wrapText="1" indent="1"/>
    </xf>
    <xf numFmtId="0" fontId="5" fillId="10" borderId="14">
      <alignment horizontal="left" vertical="center" wrapText="1" indent="1"/>
    </xf>
    <xf numFmtId="14" fontId="15" fillId="12" borderId="0" applyBorder="0">
      <alignment horizontal="left" vertical="center" wrapText="1"/>
    </xf>
    <xf numFmtId="0" fontId="16" fillId="12" borderId="0" applyBorder="0">
      <alignment horizontal="center" vertical="center" wrapText="1"/>
    </xf>
    <xf numFmtId="0" fontId="11" fillId="12" borderId="0" applyBorder="0">
      <alignment horizontal="left" vertical="center" wrapText="1" indent="1"/>
    </xf>
    <xf numFmtId="0" fontId="9" fillId="12" borderId="0" applyBorder="0">
      <alignment horizontal="center" vertical="center" wrapText="1"/>
    </xf>
    <xf numFmtId="0" fontId="9" fillId="11" borderId="14">
      <alignment horizontal="left" vertical="top" wrapText="1" indent="1"/>
      <protection locked="0"/>
    </xf>
    <xf numFmtId="0" fontId="9" fillId="0" borderId="0" applyFill="0" applyBorder="0">
      <alignment horizontal="left" vertical="center" wrapText="1"/>
    </xf>
    <xf numFmtId="49" fontId="9" fillId="13" borderId="14">
      <alignment horizontal="left" vertical="center" wrapText="1" indent="1"/>
    </xf>
    <xf numFmtId="14" fontId="17" fillId="0" borderId="14" applyFill="0">
      <alignment horizontal="center" vertical="center" wrapText="1"/>
    </xf>
    <xf numFmtId="168" fontId="5" fillId="11" borderId="14">
      <alignment horizontal="left" vertical="center" wrapText="1" indent="1"/>
      <protection locked="0"/>
    </xf>
    <xf numFmtId="0" fontId="18" fillId="0" borderId="0" applyFill="0" applyBorder="0">
      <alignment horizontal="left" vertical="center" indent="1"/>
    </xf>
    <xf numFmtId="0" fontId="19" fillId="0" borderId="0" applyFill="0" applyBorder="0">
      <alignment vertical="center" wrapText="1"/>
    </xf>
    <xf numFmtId="0" fontId="9" fillId="12" borderId="0" applyBorder="0">
      <alignment vertical="center" wrapText="1"/>
    </xf>
    <xf numFmtId="14" fontId="17" fillId="0" borderId="14" applyFill="0">
      <alignment horizontal="left" vertical="center" wrapText="1"/>
    </xf>
    <xf numFmtId="49" fontId="9" fillId="12" borderId="13">
      <alignment horizontal="right" vertical="center" wrapText="1" indent="1"/>
    </xf>
    <xf numFmtId="49" fontId="19" fillId="0" borderId="0" applyFill="0" applyBorder="0">
      <alignment vertical="center" wrapText="1"/>
    </xf>
    <xf numFmtId="0" fontId="5" fillId="11" borderId="14">
      <alignment horizontal="left" vertical="center" wrapText="1" indent="1"/>
      <protection locked="0"/>
    </xf>
    <xf numFmtId="49" fontId="9" fillId="11" borderId="14">
      <alignment horizontal="left" vertical="center" wrapText="1" indent="1"/>
      <protection locked="0"/>
    </xf>
    <xf numFmtId="168" fontId="5" fillId="0" borderId="14" applyFill="0">
      <alignment horizontal="left" vertical="center" wrapText="1" indent="1"/>
    </xf>
    <xf numFmtId="0" fontId="5" fillId="12" borderId="0" applyBorder="0">
      <alignment horizontal="right" vertical="center" wrapText="1" indent="1"/>
    </xf>
    <xf numFmtId="0" fontId="20" fillId="0" borderId="0" applyFill="0" applyBorder="0">
      <alignment horizontal="left" vertical="center" wrapText="1"/>
    </xf>
    <xf numFmtId="0" fontId="9" fillId="12" borderId="0" applyBorder="0">
      <alignment horizontal="right" vertical="center" wrapText="1" indent="1"/>
    </xf>
    <xf numFmtId="0" fontId="9" fillId="0" borderId="0" applyFill="0" applyBorder="0">
      <alignment horizontal="center" vertical="center" wrapText="1"/>
    </xf>
    <xf numFmtId="0" fontId="20" fillId="0" borderId="0" applyFill="0" applyBorder="0">
      <alignment vertical="center" wrapText="1"/>
    </xf>
    <xf numFmtId="0" fontId="5" fillId="12" borderId="0" applyBorder="0">
      <alignment horizontal="left" vertical="center" wrapText="1" indent="1"/>
    </xf>
    <xf numFmtId="49" fontId="9" fillId="0" borderId="14" applyFill="0">
      <alignment horizontal="left" vertical="center" wrapText="1" indent="1"/>
    </xf>
    <xf numFmtId="0" fontId="21" fillId="12" borderId="0" applyBorder="0">
      <alignment horizontal="center" vertical="center" wrapText="1"/>
    </xf>
    <xf numFmtId="49" fontId="9" fillId="10" borderId="14">
      <alignment horizontal="left" vertical="center" wrapText="1" indent="1"/>
    </xf>
    <xf numFmtId="14" fontId="9" fillId="12" borderId="0" applyBorder="0">
      <alignment horizontal="center" vertical="center" wrapText="1"/>
    </xf>
    <xf numFmtId="0" fontId="5" fillId="12" borderId="13">
      <alignment horizontal="right" vertical="center" wrapText="1" indent="1"/>
    </xf>
    <xf numFmtId="14" fontId="9" fillId="12" borderId="0" applyBorder="0">
      <alignment horizontal="left" vertical="center" wrapText="1"/>
    </xf>
    <xf numFmtId="0" fontId="9" fillId="11" borderId="14">
      <alignment horizontal="left" vertical="center" wrapText="1" indent="1"/>
      <protection locked="0"/>
    </xf>
    <xf numFmtId="0" fontId="22" fillId="12" borderId="0" applyBorder="0">
      <alignment horizontal="right" vertical="center" wrapText="1" indent="1"/>
    </xf>
    <xf numFmtId="0" fontId="22" fillId="12" borderId="0" applyBorder="0">
      <alignment horizontal="left" vertical="center" wrapText="1" indent="1"/>
    </xf>
    <xf numFmtId="49" fontId="23" fillId="0" borderId="14" applyFill="0">
      <alignment horizontal="left" vertical="center" wrapText="1" indent="1"/>
    </xf>
    <xf numFmtId="0" fontId="9" fillId="13" borderId="14">
      <alignment horizontal="left" vertical="center" wrapText="1" indent="1"/>
    </xf>
    <xf numFmtId="168" fontId="5" fillId="0" borderId="15" applyFill="0">
      <alignment horizontal="left" vertical="center" wrapText="1" indent="1"/>
    </xf>
    <xf numFmtId="49" fontId="12" fillId="12" borderId="0" applyBorder="0">
      <alignment horizontal="center" vertical="center" wrapText="1"/>
    </xf>
    <xf numFmtId="0" fontId="9" fillId="0" borderId="0" applyFill="0" applyBorder="0">
      <alignment horizontal="left" vertical="center" wrapText="1" indent="4"/>
    </xf>
    <xf numFmtId="49" fontId="9" fillId="12" borderId="0" applyBorder="0">
      <alignment horizontal="right" vertical="center" wrapText="1" indent="1"/>
    </xf>
    <xf numFmtId="49" fontId="5" fillId="12" borderId="0" applyBorder="0">
      <alignment horizontal="right" vertical="center" wrapText="1" indent="1"/>
    </xf>
    <xf numFmtId="0" fontId="15" fillId="0" borderId="0" applyFill="0" applyBorder="0">
      <alignment horizontal="left" vertical="center" wrapText="1"/>
    </xf>
    <xf numFmtId="0" fontId="10" fillId="0" borderId="0" applyFill="0" applyBorder="0">
      <alignment horizontal="left" vertical="center" wrapText="1"/>
    </xf>
    <xf numFmtId="0" fontId="24" fillId="0" borderId="0" applyFill="0" applyBorder="0">
      <alignment vertical="center" wrapText="1"/>
    </xf>
    <xf numFmtId="0" fontId="10" fillId="0" borderId="0" applyFill="0" applyBorder="0">
      <alignment horizontal="center" vertical="center" wrapText="1"/>
    </xf>
    <xf numFmtId="0" fontId="25" fillId="0" borderId="0" applyFill="0" applyBorder="0">
      <alignment horizontal="left" vertical="center" indent="1"/>
    </xf>
    <xf numFmtId="0" fontId="25" fillId="0" borderId="0" applyFill="0" applyBorder="0">
      <alignment horizontal="center" vertical="center" wrapText="1"/>
    </xf>
    <xf numFmtId="0" fontId="25" fillId="0" borderId="0" applyFill="0" applyBorder="0">
      <alignment horizontal="left" vertical="center" wrapText="1" indent="1"/>
    </xf>
    <xf numFmtId="0" fontId="25" fillId="0" borderId="0" applyFill="0" applyBorder="0">
      <alignment vertical="center" wrapText="1"/>
    </xf>
    <xf numFmtId="0" fontId="26" fillId="0" borderId="0" applyFill="0" applyBorder="0">
      <alignment vertical="center" wrapText="1"/>
    </xf>
    <xf numFmtId="0" fontId="27" fillId="0" borderId="0" applyFill="0" applyBorder="0">
      <alignment vertical="center" wrapText="1"/>
    </xf>
    <xf numFmtId="0" fontId="9" fillId="0" borderId="16" applyFill="0">
      <alignment horizontal="left" vertical="center" wrapText="1" indent="1"/>
    </xf>
    <xf numFmtId="0" fontId="9" fillId="0" borderId="16" applyFill="0">
      <alignment horizontal="center" vertical="center" wrapText="1"/>
    </xf>
    <xf numFmtId="4" fontId="9" fillId="0" borderId="14" applyFill="0">
      <alignment horizontal="center" vertical="center" wrapText="1"/>
    </xf>
    <xf numFmtId="169" fontId="9" fillId="0" borderId="12" applyFill="0">
      <alignment horizontal="center" vertical="center" wrapText="1"/>
    </xf>
    <xf numFmtId="169" fontId="9" fillId="0" borderId="14" applyFill="0">
      <alignment horizontal="center" vertical="center" wrapText="1"/>
    </xf>
    <xf numFmtId="49" fontId="28" fillId="0" borderId="16" applyFill="0">
      <alignment horizontal="center" vertical="center" wrapText="1"/>
    </xf>
    <xf numFmtId="49" fontId="9" fillId="14" borderId="17">
      <alignment horizontal="center" vertical="center" wrapText="1"/>
    </xf>
    <xf numFmtId="49" fontId="19" fillId="14" borderId="17">
      <alignment horizontal="left" vertical="center" wrapText="1"/>
    </xf>
    <xf numFmtId="49" fontId="19" fillId="14" borderId="18">
      <alignment horizontal="left" vertical="center" wrapText="1"/>
    </xf>
    <xf numFmtId="0" fontId="25" fillId="0" borderId="19" applyFill="0">
      <alignment vertical="center"/>
    </xf>
    <xf numFmtId="0" fontId="25" fillId="0" borderId="0" applyFill="0" applyBorder="0">
      <alignment vertical="center"/>
    </xf>
    <xf numFmtId="0" fontId="9" fillId="0" borderId="14" applyFill="0">
      <alignment horizontal="center" vertical="center" wrapText="1"/>
    </xf>
    <xf numFmtId="0" fontId="25" fillId="0" borderId="14" applyFill="0">
      <alignment horizontal="center" vertical="center" wrapText="1"/>
    </xf>
    <xf numFmtId="49" fontId="9" fillId="11" borderId="14">
      <alignment vertical="center" wrapText="1"/>
      <protection locked="0"/>
    </xf>
    <xf numFmtId="49" fontId="19" fillId="0" borderId="14" applyFill="0">
      <alignment horizontal="left" vertical="center" wrapText="1"/>
    </xf>
    <xf numFmtId="0" fontId="28" fillId="0" borderId="20" applyFill="0">
      <alignment vertical="top" wrapText="1"/>
    </xf>
    <xf numFmtId="0" fontId="9" fillId="0" borderId="21" applyFill="0">
      <alignment horizontal="center" vertical="center" wrapText="1"/>
    </xf>
    <xf numFmtId="0" fontId="25" fillId="0" borderId="21" applyFill="0">
      <alignment horizontal="center" vertical="center" wrapText="1"/>
    </xf>
    <xf numFmtId="14" fontId="9" fillId="13" borderId="21">
      <alignment horizontal="left" vertical="center" wrapText="1" indent="1"/>
    </xf>
    <xf numFmtId="49" fontId="9" fillId="10" borderId="21">
      <alignment horizontal="center" vertical="center" wrapText="1"/>
    </xf>
    <xf numFmtId="49" fontId="5" fillId="0" borderId="0" applyFill="0" applyBorder="0">
      <alignment vertical="top"/>
    </xf>
    <xf numFmtId="49" fontId="13" fillId="14" borderId="12">
      <alignment horizontal="right" vertical="center" wrapText="1"/>
    </xf>
    <xf numFmtId="49" fontId="13" fillId="14" borderId="16">
      <alignment horizontal="right" vertical="center" wrapText="1"/>
    </xf>
    <xf numFmtId="49" fontId="29" fillId="14" borderId="16">
      <alignment horizontal="left" vertical="center" indent="1"/>
    </xf>
    <xf numFmtId="49" fontId="5" fillId="14" borderId="16">
      <alignment horizontal="right" vertical="center" wrapText="1"/>
    </xf>
    <xf numFmtId="49" fontId="5" fillId="14" borderId="11">
      <alignment horizontal="right" vertical="center" wrapText="1"/>
    </xf>
    <xf numFmtId="49" fontId="9" fillId="14" borderId="12">
      <alignment horizontal="right" vertical="center" wrapText="1"/>
    </xf>
    <xf numFmtId="49" fontId="9" fillId="14" borderId="16">
      <alignment horizontal="right" vertical="center" wrapText="1"/>
    </xf>
    <xf numFmtId="49" fontId="29" fillId="14" borderId="16">
      <alignment horizontal="left" vertical="center"/>
    </xf>
    <xf numFmtId="49" fontId="9" fillId="14" borderId="11">
      <alignment horizontal="right" vertical="center" wrapText="1"/>
    </xf>
    <xf numFmtId="0" fontId="9" fillId="0" borderId="22" applyFill="0">
      <alignment vertical="center" wrapText="1"/>
    </xf>
    <xf numFmtId="0" fontId="30" fillId="0" borderId="0" applyFill="0" applyBorder="0">
      <alignment vertical="center" wrapText="1"/>
    </xf>
    <xf numFmtId="0" fontId="31" fillId="0" borderId="0" applyFill="0" applyBorder="0">
      <alignment horizontal="center" vertical="center" wrapText="1"/>
    </xf>
    <xf numFmtId="0" fontId="32" fillId="0" borderId="0" applyFill="0" applyBorder="0">
      <alignment vertical="center"/>
    </xf>
    <xf numFmtId="0" fontId="5" fillId="0" borderId="0" applyFill="0" applyBorder="0">
      <alignment vertical="center"/>
    </xf>
    <xf numFmtId="0" fontId="9" fillId="0" borderId="18" applyFill="0">
      <alignment horizontal="left" vertical="center" wrapText="1" indent="1"/>
    </xf>
    <xf numFmtId="0" fontId="9" fillId="0" borderId="23" applyFill="0">
      <alignment horizontal="left" vertical="center" wrapText="1" indent="1"/>
    </xf>
    <xf numFmtId="0" fontId="9" fillId="0" borderId="24" applyFill="0">
      <alignment horizontal="left" vertical="center" wrapText="1" indent="1"/>
    </xf>
    <xf numFmtId="0" fontId="9" fillId="0" borderId="25" applyFill="0">
      <alignment horizontal="left" vertical="center" indent="1"/>
    </xf>
    <xf numFmtId="0" fontId="9" fillId="0" borderId="21" applyFill="0">
      <alignment horizontal="left" vertical="center" indent="1"/>
    </xf>
    <xf numFmtId="0" fontId="9" fillId="0" borderId="26" applyFill="0">
      <alignment horizontal="left" vertical="center" indent="1"/>
    </xf>
    <xf numFmtId="0" fontId="33" fillId="0" borderId="0" applyFill="0" applyBorder="0">
      <alignment vertical="center"/>
    </xf>
    <xf numFmtId="0" fontId="5" fillId="0" borderId="0" applyFill="0" applyBorder="0">
      <alignment horizontal="left" vertical="center" wrapText="1" indent="2"/>
    </xf>
    <xf numFmtId="0" fontId="9" fillId="15" borderId="0" applyBorder="0">
      <alignment horizontal="center" vertical="center" wrapText="1"/>
    </xf>
    <xf numFmtId="0" fontId="34" fillId="0" borderId="24" applyFill="0">
      <alignment horizontal="center" vertical="center" wrapText="1"/>
    </xf>
    <xf numFmtId="0" fontId="34" fillId="0" borderId="17" applyFill="0">
      <alignment horizontal="center" vertical="center" wrapText="1"/>
    </xf>
    <xf numFmtId="0" fontId="34" fillId="0" borderId="14" applyFill="0">
      <alignment horizontal="center" vertical="center" wrapText="1"/>
    </xf>
    <xf numFmtId="0" fontId="9" fillId="0" borderId="27" applyFill="0">
      <alignment horizontal="center" vertical="center" wrapText="1"/>
    </xf>
    <xf numFmtId="0" fontId="9" fillId="0" borderId="28" applyFill="0">
      <alignment horizontal="center" vertical="center" wrapText="1"/>
    </xf>
    <xf numFmtId="0" fontId="19" fillId="0" borderId="19" applyFill="0">
      <alignment vertical="center"/>
    </xf>
    <xf numFmtId="49" fontId="28" fillId="0" borderId="14" applyFill="0">
      <alignment horizontal="center" vertical="center" wrapText="1"/>
    </xf>
    <xf numFmtId="49" fontId="28" fillId="0" borderId="29" applyFill="0">
      <alignment horizontal="center" vertical="center" wrapText="1"/>
    </xf>
    <xf numFmtId="49" fontId="28" fillId="0" borderId="30" applyFill="0">
      <alignment horizontal="center" vertical="center" wrapText="1"/>
    </xf>
    <xf numFmtId="49" fontId="28" fillId="0" borderId="12" applyFill="0">
      <alignment horizontal="center" vertical="center" wrapText="1"/>
    </xf>
    <xf numFmtId="49" fontId="28" fillId="0" borderId="11" applyFill="0">
      <alignment horizontal="center" vertical="center" wrapText="1"/>
    </xf>
    <xf numFmtId="0" fontId="9" fillId="14" borderId="12">
      <alignment horizontal="center" vertical="center" wrapText="1"/>
    </xf>
    <xf numFmtId="49" fontId="9" fillId="14" borderId="16">
      <alignment horizontal="center" vertical="center" wrapText="1"/>
    </xf>
    <xf numFmtId="49" fontId="9" fillId="14" borderId="31">
      <alignment horizontal="center" vertical="center" wrapText="1"/>
    </xf>
    <xf numFmtId="49" fontId="5" fillId="14" borderId="16">
      <alignment horizontal="left" vertical="center"/>
    </xf>
    <xf numFmtId="0" fontId="5" fillId="14" borderId="11">
      <alignment vertical="center"/>
    </xf>
    <xf numFmtId="49" fontId="9" fillId="0" borderId="14" applyFill="0">
      <alignment horizontal="center" vertical="center" wrapText="1"/>
    </xf>
    <xf numFmtId="0" fontId="9" fillId="13" borderId="23">
      <alignment horizontal="left" vertical="center" wrapText="1" indent="2"/>
    </xf>
    <xf numFmtId="49" fontId="9" fillId="13" borderId="21">
      <alignment horizontal="center" vertical="center" wrapText="1"/>
    </xf>
    <xf numFmtId="14" fontId="35" fillId="0" borderId="32" applyFill="0">
      <alignment horizontal="center" vertical="center" wrapText="1"/>
    </xf>
    <xf numFmtId="0" fontId="9" fillId="0" borderId="32" applyFill="0">
      <alignment horizontal="center" vertical="center" wrapText="1"/>
    </xf>
    <xf numFmtId="0" fontId="9" fillId="13" borderId="23">
      <alignment horizontal="left" vertical="center" wrapText="1" indent="1"/>
    </xf>
    <xf numFmtId="49" fontId="9" fillId="13" borderId="14">
      <alignment horizontal="center" vertical="center" wrapText="1"/>
    </xf>
    <xf numFmtId="49" fontId="9" fillId="0" borderId="23" applyFill="0">
      <alignment horizontal="center" vertical="center" wrapText="1"/>
    </xf>
    <xf numFmtId="49" fontId="34" fillId="0" borderId="14" applyFill="0">
      <alignment horizontal="left" vertical="center" wrapText="1" indent="1"/>
    </xf>
    <xf numFmtId="0" fontId="19" fillId="0" borderId="0" applyFill="0" applyBorder="0">
      <alignment vertical="center"/>
    </xf>
    <xf numFmtId="0" fontId="9" fillId="13" borderId="33">
      <alignment horizontal="left" vertical="center" wrapText="1" indent="2"/>
    </xf>
    <xf numFmtId="0" fontId="9" fillId="13" borderId="21">
      <alignment horizontal="left" vertical="center" wrapText="1" indent="1"/>
    </xf>
    <xf numFmtId="49" fontId="29" fillId="14" borderId="11">
      <alignment horizontal="left" vertical="center" indent="1"/>
    </xf>
    <xf numFmtId="0" fontId="9" fillId="13" borderId="21">
      <alignment horizontal="left" vertical="center" wrapText="1" indent="2"/>
    </xf>
    <xf numFmtId="49" fontId="13" fillId="14" borderId="34">
      <alignment horizontal="right" vertical="center" wrapText="1"/>
    </xf>
    <xf numFmtId="49" fontId="13" fillId="14" borderId="35">
      <alignment horizontal="right" vertical="center" wrapText="1"/>
    </xf>
    <xf numFmtId="49" fontId="13" fillId="14" borderId="11">
      <alignment horizontal="right" vertical="center" wrapText="1"/>
    </xf>
    <xf numFmtId="0" fontId="34" fillId="15" borderId="0" applyBorder="0">
      <alignment vertical="top"/>
    </xf>
    <xf numFmtId="49" fontId="29" fillId="14" borderId="16">
      <alignment horizontal="left" vertical="center" indent="2"/>
    </xf>
    <xf numFmtId="0" fontId="9" fillId="0" borderId="0" applyFill="0" applyBorder="0">
      <alignment vertical="center"/>
    </xf>
    <xf numFmtId="0" fontId="9" fillId="0" borderId="18" applyFill="0">
      <alignment horizontal="left" vertical="top" wrapText="1" indent="1"/>
    </xf>
    <xf numFmtId="0" fontId="9" fillId="0" borderId="23" applyFill="0">
      <alignment horizontal="left" vertical="top" wrapText="1" indent="1"/>
    </xf>
    <xf numFmtId="0" fontId="9" fillId="0" borderId="24" applyFill="0">
      <alignment horizontal="left" vertical="top" wrapText="1" indent="1"/>
    </xf>
    <xf numFmtId="0" fontId="9" fillId="0" borderId="36" applyFill="0">
      <alignment horizontal="left" vertical="center" indent="1"/>
    </xf>
    <xf numFmtId="0" fontId="36" fillId="0" borderId="20" applyFill="0">
      <alignment horizontal="left" vertical="center" wrapText="1" indent="1"/>
    </xf>
    <xf numFmtId="0" fontId="36" fillId="0" borderId="33" applyFill="0">
      <alignment horizontal="left" vertical="center" wrapText="1" indent="1"/>
    </xf>
    <xf numFmtId="0" fontId="36" fillId="0" borderId="19" applyFill="0">
      <alignment horizontal="left" vertical="center" wrapText="1" indent="1"/>
    </xf>
    <xf numFmtId="0" fontId="37" fillId="0" borderId="0" applyFill="0" applyBorder="0">
      <alignment vertical="center"/>
    </xf>
    <xf numFmtId="0" fontId="5" fillId="0" borderId="14" applyFill="0">
      <alignment horizontal="center" vertical="center" wrapText="1"/>
    </xf>
    <xf numFmtId="49" fontId="25" fillId="12" borderId="0" applyBorder="0">
      <alignment horizontal="center" vertical="center" wrapText="1"/>
    </xf>
    <xf numFmtId="49" fontId="25" fillId="12" borderId="36">
      <alignment horizontal="center" vertical="center" wrapText="1"/>
    </xf>
    <xf numFmtId="0" fontId="25" fillId="0" borderId="14" applyFill="0">
      <alignment horizontal="center" vertical="center"/>
    </xf>
    <xf numFmtId="0" fontId="5" fillId="0" borderId="14" applyFill="0">
      <alignment horizontal="center" vertical="center"/>
    </xf>
    <xf numFmtId="49" fontId="5" fillId="0" borderId="14" applyFill="0">
      <alignment horizontal="center" vertical="center"/>
    </xf>
    <xf numFmtId="49" fontId="5" fillId="0" borderId="14" applyFill="0">
      <alignment horizontal="left" vertical="center"/>
    </xf>
    <xf numFmtId="0" fontId="5" fillId="0" borderId="14" applyFill="0">
      <alignment horizontal="center" vertical="top"/>
    </xf>
    <xf numFmtId="0" fontId="9" fillId="0" borderId="14" applyFill="0">
      <alignment horizontal="left" vertical="top" wrapText="1"/>
    </xf>
    <xf numFmtId="0" fontId="9" fillId="13" borderId="23">
      <alignment horizontal="center" vertical="top" wrapText="1"/>
    </xf>
    <xf numFmtId="0" fontId="5" fillId="0" borderId="24" applyFill="0">
      <alignment horizontal="center" vertical="center"/>
    </xf>
    <xf numFmtId="0" fontId="5" fillId="0" borderId="17" applyFill="0">
      <alignment horizontal="center" vertical="center"/>
    </xf>
    <xf numFmtId="49" fontId="9" fillId="0" borderId="17" applyFill="0">
      <alignment horizontal="left" vertical="center" wrapText="1"/>
    </xf>
    <xf numFmtId="49" fontId="9" fillId="0" borderId="17" applyFill="0">
      <alignment horizontal="center" vertical="center" wrapText="1"/>
    </xf>
    <xf numFmtId="0" fontId="5" fillId="0" borderId="17" applyFill="0">
      <alignment horizontal="left" vertical="center" wrapText="1"/>
    </xf>
    <xf numFmtId="49" fontId="5" fillId="0" borderId="17" applyFill="0">
      <alignment horizontal="left" vertical="center" wrapText="1"/>
    </xf>
    <xf numFmtId="49" fontId="9" fillId="0" borderId="18" applyFill="0">
      <alignment horizontal="left" vertical="center" wrapText="1"/>
    </xf>
    <xf numFmtId="0" fontId="9" fillId="0" borderId="0" applyFill="0" applyBorder="0">
      <alignment horizontal="left" vertical="center" indent="1"/>
    </xf>
    <xf numFmtId="0" fontId="9" fillId="13" borderId="33">
      <alignment horizontal="center" vertical="top" wrapText="1"/>
    </xf>
    <xf numFmtId="0" fontId="5" fillId="0" borderId="19" applyFill="0">
      <alignment horizontal="center" vertical="center"/>
    </xf>
    <xf numFmtId="0" fontId="29" fillId="0" borderId="20" applyFill="0">
      <alignment horizontal="left" vertical="center"/>
    </xf>
    <xf numFmtId="49" fontId="5" fillId="0" borderId="14" applyFill="0">
      <alignment vertical="top"/>
    </xf>
    <xf numFmtId="49" fontId="5" fillId="0" borderId="14" applyFill="0">
      <alignment horizontal="left" vertical="top"/>
    </xf>
    <xf numFmtId="0" fontId="9" fillId="13" borderId="21">
      <alignment horizontal="center" vertical="top" wrapText="1"/>
    </xf>
    <xf numFmtId="0" fontId="29" fillId="0" borderId="26" applyFill="0">
      <alignment horizontal="left" vertical="center"/>
    </xf>
    <xf numFmtId="0" fontId="29" fillId="0" borderId="36" applyFill="0">
      <alignment horizontal="left" vertical="center"/>
    </xf>
    <xf numFmtId="0" fontId="5" fillId="0" borderId="36" applyFill="0">
      <alignment vertical="center"/>
    </xf>
    <xf numFmtId="0" fontId="29" fillId="0" borderId="25" applyFill="0">
      <alignment horizontal="left" vertical="center"/>
    </xf>
    <xf numFmtId="0" fontId="9" fillId="11" borderId="14">
      <alignment horizontal="left" vertical="top" wrapText="1"/>
      <protection locked="0"/>
    </xf>
    <xf numFmtId="49" fontId="9" fillId="0" borderId="0" applyFill="0" applyBorder="0">
      <alignment horizontal="left" vertical="center" indent="1"/>
    </xf>
    <xf numFmtId="0" fontId="5" fillId="11" borderId="14">
      <alignment horizontal="left" vertical="top"/>
      <protection locked="0"/>
    </xf>
    <xf numFmtId="0" fontId="5" fillId="0" borderId="23" applyFill="0">
      <alignment horizontal="center" vertical="top"/>
    </xf>
    <xf numFmtId="0" fontId="9" fillId="0" borderId="23" applyFill="0">
      <alignment horizontal="left" vertical="top" wrapText="1"/>
    </xf>
    <xf numFmtId="0" fontId="5" fillId="0" borderId="33" applyFill="0">
      <alignment horizontal="center" vertical="top"/>
    </xf>
    <xf numFmtId="0" fontId="9" fillId="0" borderId="33" applyFill="0">
      <alignment horizontal="left" vertical="top" wrapText="1"/>
    </xf>
    <xf numFmtId="0" fontId="5" fillId="0" borderId="21" applyFill="0">
      <alignment horizontal="center" vertical="top"/>
    </xf>
    <xf numFmtId="0" fontId="9" fillId="0" borderId="21" applyFill="0">
      <alignment horizontal="left" vertical="top" wrapText="1"/>
    </xf>
    <xf numFmtId="0" fontId="5" fillId="0" borderId="0" applyFill="0" applyBorder="0">
      <alignment horizontal="left" vertical="top" wrapText="1"/>
    </xf>
    <xf numFmtId="0" fontId="5" fillId="0" borderId="0" quotePrefix="1" applyFill="0" applyBorder="0">
      <alignment horizontal="left" vertical="top" wrapText="1" indent="1"/>
    </xf>
    <xf numFmtId="49" fontId="25" fillId="0" borderId="0" applyFill="0" applyBorder="0">
      <alignment vertical="top"/>
    </xf>
    <xf numFmtId="49" fontId="25" fillId="0" borderId="0" applyFill="0" applyBorder="0">
      <alignment horizontal="center" vertical="center"/>
    </xf>
    <xf numFmtId="49" fontId="37" fillId="0" borderId="0" applyFill="0" applyBorder="0">
      <alignment vertical="top"/>
    </xf>
    <xf numFmtId="0" fontId="9" fillId="0" borderId="17" applyFill="0">
      <alignment horizontal="left" vertical="center" wrapText="1" indent="1"/>
    </xf>
    <xf numFmtId="0" fontId="9" fillId="0" borderId="36" applyFill="0">
      <alignment horizontal="left" vertical="center" wrapText="1" indent="1"/>
    </xf>
    <xf numFmtId="0" fontId="9" fillId="0" borderId="24" applyFill="0">
      <alignment horizontal="center" vertical="center" wrapText="1"/>
    </xf>
    <xf numFmtId="0" fontId="9" fillId="0" borderId="18" applyFill="0">
      <alignment horizontal="center" vertical="center" wrapText="1"/>
    </xf>
    <xf numFmtId="0" fontId="9" fillId="0" borderId="33" applyFill="0">
      <alignment horizontal="center" vertical="center" wrapText="1"/>
    </xf>
    <xf numFmtId="0" fontId="9" fillId="0" borderId="23" applyFill="0">
      <alignment horizontal="center" vertical="center" wrapText="1"/>
    </xf>
    <xf numFmtId="0" fontId="9" fillId="0" borderId="19" applyFill="0">
      <alignment horizontal="center" vertical="center" wrapText="1"/>
    </xf>
    <xf numFmtId="0" fontId="9" fillId="0" borderId="20" applyFill="0">
      <alignment horizontal="center" vertical="center" wrapText="1"/>
    </xf>
    <xf numFmtId="0" fontId="9" fillId="0" borderId="26" applyFill="0">
      <alignment horizontal="center" vertical="center" wrapText="1"/>
    </xf>
    <xf numFmtId="0" fontId="9" fillId="0" borderId="25" applyFill="0">
      <alignment horizontal="center" vertical="center" wrapText="1"/>
    </xf>
    <xf numFmtId="49" fontId="9" fillId="0" borderId="0" applyFill="0" applyBorder="0">
      <alignment vertical="top"/>
    </xf>
    <xf numFmtId="49" fontId="9" fillId="0" borderId="14" applyFill="0">
      <alignment horizontal="center" vertical="center"/>
    </xf>
    <xf numFmtId="0" fontId="9" fillId="0" borderId="14" applyFill="0">
      <alignment horizontal="left" vertical="center" wrapText="1"/>
    </xf>
    <xf numFmtId="49" fontId="9" fillId="13" borderId="23">
      <alignment horizontal="center" vertical="center" wrapText="1"/>
    </xf>
    <xf numFmtId="49" fontId="9" fillId="0" borderId="24" applyFill="0">
      <alignment vertical="center" wrapText="1"/>
    </xf>
    <xf numFmtId="0" fontId="9" fillId="0" borderId="17" applyFill="0">
      <alignment horizontal="center" vertical="center"/>
    </xf>
    <xf numFmtId="49" fontId="9" fillId="0" borderId="17" applyFill="0">
      <alignment vertical="center" wrapText="1"/>
    </xf>
    <xf numFmtId="49" fontId="31" fillId="0" borderId="17" applyFill="0">
      <alignment vertical="center" wrapText="1"/>
    </xf>
    <xf numFmtId="0" fontId="9" fillId="0" borderId="17" applyFill="0">
      <alignment horizontal="left" vertical="center" wrapText="1"/>
    </xf>
    <xf numFmtId="49" fontId="9" fillId="13" borderId="33">
      <alignment horizontal="center" vertical="center" wrapText="1"/>
    </xf>
    <xf numFmtId="49" fontId="9" fillId="0" borderId="19" applyFill="0">
      <alignment vertical="center" wrapText="1"/>
    </xf>
    <xf numFmtId="0" fontId="29" fillId="0" borderId="19" applyFill="0">
      <alignment horizontal="left" vertical="center"/>
    </xf>
    <xf numFmtId="49" fontId="9" fillId="0" borderId="23" applyFill="0">
      <alignment horizontal="center" vertical="center"/>
    </xf>
    <xf numFmtId="0" fontId="9" fillId="0" borderId="23" applyFill="0">
      <alignment horizontal="left" vertical="center" wrapText="1"/>
    </xf>
    <xf numFmtId="0" fontId="9" fillId="0" borderId="24" applyFill="0">
      <alignment horizontal="left" vertical="center" wrapText="1"/>
    </xf>
    <xf numFmtId="49" fontId="37" fillId="0" borderId="26" applyFill="0">
      <alignment vertical="top"/>
    </xf>
    <xf numFmtId="49" fontId="37" fillId="0" borderId="36" applyFill="0">
      <alignment vertical="top"/>
    </xf>
    <xf numFmtId="49" fontId="10" fillId="0" borderId="0" applyFill="0" applyBorder="0">
      <alignment vertical="top"/>
    </xf>
    <xf numFmtId="0" fontId="9" fillId="0" borderId="12" applyFill="0">
      <alignment horizontal="left" vertical="center" wrapText="1"/>
    </xf>
    <xf numFmtId="0" fontId="9" fillId="12" borderId="0" applyBorder="0"/>
    <xf numFmtId="0" fontId="5" fillId="12" borderId="0" applyBorder="0"/>
    <xf numFmtId="0" fontId="25" fillId="12" borderId="0" applyBorder="0"/>
    <xf numFmtId="0" fontId="22" fillId="12" borderId="0" applyBorder="0">
      <alignment horizontal="center"/>
    </xf>
    <xf numFmtId="0" fontId="22" fillId="12" borderId="0" applyBorder="0"/>
    <xf numFmtId="0" fontId="38" fillId="12" borderId="0" applyBorder="0">
      <alignment horizontal="right" vertical="center"/>
    </xf>
    <xf numFmtId="0" fontId="25" fillId="12" borderId="0" applyBorder="0">
      <alignment vertical="center" wrapText="1"/>
    </xf>
    <xf numFmtId="0" fontId="17" fillId="12" borderId="0" applyBorder="0">
      <alignment horizontal="left" vertical="center" wrapText="1"/>
    </xf>
    <xf numFmtId="49" fontId="5" fillId="12" borderId="14">
      <alignment horizontal="center" vertical="center" wrapText="1"/>
    </xf>
    <xf numFmtId="49" fontId="9" fillId="12" borderId="14">
      <alignment horizontal="center" vertical="center" wrapText="1"/>
    </xf>
    <xf numFmtId="0" fontId="5" fillId="12" borderId="14">
      <alignment horizontal="center" vertical="center" wrapText="1"/>
    </xf>
    <xf numFmtId="0" fontId="9" fillId="12" borderId="14">
      <alignment horizontal="center" vertical="center" wrapText="1"/>
    </xf>
    <xf numFmtId="0" fontId="28" fillId="12" borderId="0" applyBorder="0">
      <alignment horizontal="center" vertical="center"/>
    </xf>
    <xf numFmtId="49" fontId="25" fillId="0" borderId="14" applyFill="0">
      <alignment horizontal="center" vertical="center"/>
    </xf>
    <xf numFmtId="0" fontId="25" fillId="0" borderId="14" applyFill="0">
      <alignment vertical="center" wrapText="1"/>
    </xf>
    <xf numFmtId="0" fontId="25" fillId="0" borderId="14" applyFill="0">
      <alignment horizontal="left" vertical="center" wrapText="1"/>
    </xf>
    <xf numFmtId="0" fontId="39" fillId="12" borderId="0" applyBorder="0"/>
    <xf numFmtId="49" fontId="5" fillId="12" borderId="14">
      <alignment horizontal="center" vertical="center"/>
    </xf>
    <xf numFmtId="0" fontId="5" fillId="12" borderId="14">
      <alignment vertical="center" wrapText="1"/>
    </xf>
    <xf numFmtId="0" fontId="9" fillId="12" borderId="14">
      <alignment vertical="center" wrapText="1"/>
    </xf>
    <xf numFmtId="0" fontId="5" fillId="12" borderId="14">
      <alignment horizontal="left" vertical="center" wrapText="1" indent="1"/>
    </xf>
    <xf numFmtId="49" fontId="5" fillId="11" borderId="14">
      <alignment horizontal="left" vertical="center" wrapText="1"/>
      <protection locked="0"/>
    </xf>
    <xf numFmtId="0" fontId="25" fillId="0" borderId="14" applyFill="0">
      <alignment horizontal="left" vertical="center" wrapText="1" indent="1"/>
    </xf>
    <xf numFmtId="49" fontId="9" fillId="12" borderId="0" applyBorder="0">
      <alignment horizontal="center" vertical="center" wrapText="1"/>
    </xf>
    <xf numFmtId="0" fontId="9" fillId="12" borderId="20">
      <alignment horizontal="center" vertical="center" wrapText="1"/>
    </xf>
    <xf numFmtId="0" fontId="5" fillId="12" borderId="14">
      <alignment horizontal="center" vertical="center"/>
    </xf>
    <xf numFmtId="0" fontId="5" fillId="12" borderId="14">
      <alignment horizontal="left" vertical="center" wrapText="1" indent="2"/>
    </xf>
    <xf numFmtId="49" fontId="5" fillId="0" borderId="14" applyFill="0">
      <alignment horizontal="left" vertical="center" wrapText="1"/>
    </xf>
    <xf numFmtId="49" fontId="9" fillId="12" borderId="0" applyBorder="0">
      <alignment vertical="center" wrapText="1"/>
    </xf>
    <xf numFmtId="0" fontId="9" fillId="12" borderId="20">
      <alignment vertical="center" wrapText="1"/>
    </xf>
    <xf numFmtId="0" fontId="9" fillId="14" borderId="12">
      <alignment horizontal="center"/>
    </xf>
    <xf numFmtId="0" fontId="38" fillId="14" borderId="16">
      <alignment horizontal="left" vertical="center"/>
    </xf>
    <xf numFmtId="0" fontId="38" fillId="14" borderId="11">
      <alignment horizontal="left" vertical="center"/>
    </xf>
    <xf numFmtId="49" fontId="25" fillId="12" borderId="14">
      <alignment horizontal="center" vertical="center"/>
    </xf>
    <xf numFmtId="0" fontId="25" fillId="12" borderId="14">
      <alignment vertical="center" wrapText="1"/>
    </xf>
    <xf numFmtId="0" fontId="25" fillId="12" borderId="14">
      <alignment horizontal="left" vertical="center" wrapText="1" indent="1"/>
    </xf>
    <xf numFmtId="0" fontId="25" fillId="12" borderId="14">
      <alignment horizontal="left" vertical="center" wrapText="1" indent="2"/>
    </xf>
    <xf numFmtId="49" fontId="25" fillId="0" borderId="14" applyFill="0">
      <alignment horizontal="left" vertical="center" wrapText="1"/>
    </xf>
    <xf numFmtId="0" fontId="5" fillId="12" borderId="14">
      <alignment horizontal="left" vertical="center" wrapText="1"/>
    </xf>
    <xf numFmtId="49" fontId="5" fillId="8" borderId="14">
      <alignment horizontal="left" vertical="center" wrapText="1"/>
      <protection locked="0"/>
    </xf>
    <xf numFmtId="0" fontId="5" fillId="12" borderId="23">
      <alignment horizontal="left" vertical="center" wrapText="1"/>
    </xf>
    <xf numFmtId="0" fontId="9" fillId="12" borderId="23">
      <alignment horizontal="left" vertical="top" wrapText="1"/>
    </xf>
    <xf numFmtId="49" fontId="5" fillId="0" borderId="14" applyFill="0">
      <alignment horizontal="left" vertical="center" wrapText="1" indent="1"/>
    </xf>
    <xf numFmtId="0" fontId="9" fillId="12" borderId="33">
      <alignment horizontal="left" vertical="top" wrapText="1"/>
    </xf>
    <xf numFmtId="0" fontId="31" fillId="12" borderId="0" applyBorder="0">
      <alignment horizontal="center" vertical="center" wrapText="1"/>
    </xf>
    <xf numFmtId="49" fontId="5" fillId="11" borderId="14">
      <alignment horizontal="left" vertical="center" wrapText="1" indent="1"/>
      <protection locked="0"/>
    </xf>
    <xf numFmtId="49" fontId="9" fillId="11" borderId="12">
      <alignment horizontal="left" vertical="center" wrapText="1"/>
      <protection locked="0"/>
    </xf>
    <xf numFmtId="0" fontId="9" fillId="12" borderId="21">
      <alignment horizontal="left" vertical="top" wrapText="1"/>
    </xf>
    <xf numFmtId="0" fontId="40" fillId="12" borderId="0" applyBorder="0"/>
    <xf numFmtId="49" fontId="9" fillId="11" borderId="14" quotePrefix="1">
      <alignment horizontal="left" vertical="center" wrapText="1"/>
      <protection locked="0"/>
    </xf>
    <xf numFmtId="49" fontId="9" fillId="8" borderId="14">
      <alignment horizontal="left" vertical="center" wrapText="1"/>
      <protection locked="0"/>
    </xf>
    <xf numFmtId="49" fontId="9" fillId="13" borderId="14">
      <alignment horizontal="left" vertical="center" wrapText="1"/>
    </xf>
    <xf numFmtId="0" fontId="5" fillId="12" borderId="12">
      <alignment horizontal="left" vertical="center" wrapText="1" indent="1"/>
    </xf>
    <xf numFmtId="49" fontId="9" fillId="13" borderId="12">
      <alignment horizontal="left" vertical="center" wrapText="1"/>
    </xf>
    <xf numFmtId="0" fontId="5" fillId="12" borderId="14">
      <alignment vertical="top" wrapText="1"/>
    </xf>
    <xf numFmtId="0" fontId="5" fillId="12" borderId="12">
      <alignment horizontal="left" vertical="center" wrapText="1"/>
    </xf>
    <xf numFmtId="0" fontId="5" fillId="12" borderId="21">
      <alignment vertical="center" wrapText="1"/>
    </xf>
    <xf numFmtId="0" fontId="30" fillId="0" borderId="0" applyFill="0" applyBorder="0">
      <alignment horizontal="left" vertical="top" wrapText="1" indent="1"/>
    </xf>
    <xf numFmtId="0" fontId="41" fillId="12" borderId="0" applyBorder="0"/>
    <xf numFmtId="0" fontId="34" fillId="12" borderId="0" applyBorder="0">
      <alignment horizontal="center"/>
    </xf>
    <xf numFmtId="0" fontId="34" fillId="12" borderId="0" applyBorder="0"/>
    <xf numFmtId="0" fontId="42" fillId="12" borderId="0" applyBorder="0">
      <alignment horizontal="right" vertical="center"/>
    </xf>
    <xf numFmtId="0" fontId="43" fillId="12" borderId="0" applyBorder="0">
      <alignment vertical="center"/>
    </xf>
    <xf numFmtId="0" fontId="42" fillId="12" borderId="0" applyBorder="0">
      <alignment horizontal="right" vertical="top"/>
    </xf>
    <xf numFmtId="0" fontId="43" fillId="12" borderId="0" applyBorder="0">
      <alignment vertical="center" wrapText="1"/>
    </xf>
    <xf numFmtId="0" fontId="5" fillId="12" borderId="0" applyBorder="0">
      <alignment horizontal="center"/>
    </xf>
    <xf numFmtId="0" fontId="19" fillId="0" borderId="0" applyFill="0" applyBorder="0">
      <alignment horizontal="center" vertical="center" wrapText="1"/>
    </xf>
    <xf numFmtId="0" fontId="44" fillId="12" borderId="0" applyBorder="0">
      <alignment horizontal="center" vertical="center" wrapText="1"/>
    </xf>
    <xf numFmtId="0" fontId="44" fillId="12" borderId="0" applyBorder="0">
      <alignment horizontal="right" vertical="center" wrapText="1"/>
    </xf>
    <xf numFmtId="0" fontId="44" fillId="0" borderId="0" applyFill="0" applyBorder="0">
      <alignment vertical="center" wrapText="1"/>
    </xf>
    <xf numFmtId="0" fontId="9" fillId="0" borderId="25" applyFill="0">
      <alignment horizontal="left" vertical="center" wrapText="1" indent="1"/>
    </xf>
    <xf numFmtId="0" fontId="9" fillId="0" borderId="21" applyFill="0">
      <alignment horizontal="left" vertical="center" wrapText="1" indent="1"/>
    </xf>
    <xf numFmtId="0" fontId="9" fillId="0" borderId="26" applyFill="0">
      <alignment horizontal="left" vertical="center" wrapText="1" indent="1"/>
    </xf>
    <xf numFmtId="0" fontId="45" fillId="12" borderId="0" applyBorder="0">
      <alignment horizontal="center" vertical="center" wrapText="1"/>
    </xf>
    <xf numFmtId="0" fontId="5" fillId="0" borderId="12" applyFill="0">
      <alignment horizontal="center" vertical="center" wrapText="1"/>
    </xf>
    <xf numFmtId="0" fontId="5" fillId="0" borderId="16" applyFill="0">
      <alignment horizontal="center" vertical="center" wrapText="1"/>
    </xf>
    <xf numFmtId="0" fontId="5" fillId="0" borderId="11" applyFill="0">
      <alignment horizontal="center" vertical="center" wrapText="1"/>
    </xf>
    <xf numFmtId="0" fontId="5" fillId="0" borderId="23" applyFill="0">
      <alignment horizontal="center" vertical="center" wrapText="1"/>
    </xf>
    <xf numFmtId="0" fontId="5" fillId="0" borderId="24" applyFill="0">
      <alignment horizontal="center" vertical="center" wrapText="1"/>
    </xf>
    <xf numFmtId="0" fontId="5" fillId="0" borderId="18" applyFill="0">
      <alignment horizontal="center" vertical="center" wrapText="1"/>
    </xf>
    <xf numFmtId="0" fontId="5" fillId="0" borderId="21" applyFill="0">
      <alignment horizontal="center" vertical="center" wrapText="1"/>
    </xf>
    <xf numFmtId="0" fontId="5" fillId="0" borderId="26" applyFill="0">
      <alignment horizontal="center" vertical="center" wrapText="1"/>
    </xf>
    <xf numFmtId="0" fontId="5" fillId="0" borderId="25" applyFill="0">
      <alignment horizontal="center" vertical="center" wrapText="1"/>
    </xf>
    <xf numFmtId="0" fontId="28" fillId="12" borderId="0" applyBorder="0">
      <alignment horizontal="center" vertical="center" wrapText="1"/>
    </xf>
    <xf numFmtId="49" fontId="28" fillId="12" borderId="0" applyBorder="0">
      <alignment horizontal="center" vertical="center" wrapText="1"/>
    </xf>
    <xf numFmtId="0" fontId="46" fillId="12" borderId="0" applyBorder="0">
      <alignment horizontal="center" vertical="center" wrapText="1"/>
    </xf>
    <xf numFmtId="49" fontId="36" fillId="0" borderId="23" applyFill="0">
      <alignment horizontal="left" vertical="center" wrapText="1"/>
    </xf>
    <xf numFmtId="49" fontId="36" fillId="0" borderId="14" applyFill="0">
      <alignment horizontal="left" vertical="center" wrapText="1"/>
    </xf>
    <xf numFmtId="49" fontId="5" fillId="0" borderId="14" applyFill="0">
      <alignment vertical="top" wrapText="1"/>
    </xf>
    <xf numFmtId="0" fontId="36" fillId="0" borderId="0" applyFill="0" applyBorder="0">
      <alignment vertical="center" wrapText="1"/>
    </xf>
    <xf numFmtId="49" fontId="5" fillId="0" borderId="14" applyFill="0">
      <alignment horizontal="center" vertical="center" wrapText="1"/>
    </xf>
    <xf numFmtId="0" fontId="9" fillId="13" borderId="12">
      <alignment horizontal="left" vertical="center" wrapText="1"/>
    </xf>
    <xf numFmtId="49" fontId="28" fillId="12" borderId="14">
      <alignment horizontal="center" vertical="center" wrapText="1"/>
    </xf>
    <xf numFmtId="4" fontId="5" fillId="11" borderId="14">
      <alignment horizontal="right" vertical="center" wrapText="1"/>
      <protection locked="0"/>
    </xf>
    <xf numFmtId="3" fontId="5" fillId="11" borderId="14">
      <alignment horizontal="right" vertical="center" wrapText="1"/>
      <protection locked="0"/>
    </xf>
    <xf numFmtId="4" fontId="5" fillId="11" borderId="11">
      <alignment horizontal="right" vertical="center" wrapText="1"/>
      <protection locked="0"/>
    </xf>
    <xf numFmtId="0" fontId="5" fillId="8" borderId="14">
      <alignment horizontal="right" vertical="center" wrapText="1"/>
      <protection locked="0"/>
    </xf>
    <xf numFmtId="3" fontId="5" fillId="0" borderId="11" applyFill="0">
      <alignment horizontal="right" vertical="center" wrapText="1"/>
    </xf>
    <xf numFmtId="0" fontId="5" fillId="0" borderId="23" applyFill="0">
      <alignment horizontal="left" vertical="top" wrapText="1"/>
    </xf>
    <xf numFmtId="49" fontId="13" fillId="14" borderId="12">
      <alignment horizontal="center" vertical="center"/>
    </xf>
    <xf numFmtId="0" fontId="29" fillId="14" borderId="16">
      <alignment vertical="center"/>
    </xf>
    <xf numFmtId="49" fontId="29" fillId="14" borderId="16">
      <alignment vertical="center"/>
    </xf>
    <xf numFmtId="49" fontId="38" fillId="14" borderId="16">
      <alignment vertical="center"/>
    </xf>
    <xf numFmtId="49" fontId="38" fillId="14" borderId="11">
      <alignment vertical="center"/>
    </xf>
    <xf numFmtId="0" fontId="5" fillId="0" borderId="21" applyFill="0">
      <alignment horizontal="left" vertical="top" wrapText="1"/>
    </xf>
    <xf numFmtId="49" fontId="5" fillId="0" borderId="24" applyFill="0">
      <alignment horizontal="center" vertical="center" wrapText="1"/>
    </xf>
    <xf numFmtId="0" fontId="9" fillId="13" borderId="17">
      <alignment horizontal="left" vertical="center" wrapText="1"/>
    </xf>
    <xf numFmtId="0" fontId="31" fillId="12" borderId="14">
      <alignment horizontal="center" vertical="center" wrapText="1"/>
    </xf>
    <xf numFmtId="49" fontId="9" fillId="11" borderId="14">
      <alignment horizontal="left" vertical="center" wrapText="1"/>
      <protection locked="0"/>
    </xf>
    <xf numFmtId="3" fontId="9" fillId="11" borderId="14">
      <alignment horizontal="right" vertical="center" wrapText="1"/>
      <protection locked="0"/>
    </xf>
    <xf numFmtId="49" fontId="5" fillId="0" borderId="26" applyFill="0">
      <alignment horizontal="center" vertical="center" wrapText="1"/>
    </xf>
    <xf numFmtId="0" fontId="9" fillId="13" borderId="36">
      <alignment horizontal="left" vertical="center" wrapText="1"/>
    </xf>
    <xf numFmtId="0" fontId="9" fillId="0" borderId="17" applyFill="0">
      <alignment horizontal="left" vertical="top" wrapText="1" indent="1"/>
    </xf>
    <xf numFmtId="0" fontId="11" fillId="12" borderId="0" applyBorder="0">
      <alignment horizontal="right" vertical="center"/>
    </xf>
    <xf numFmtId="0" fontId="11" fillId="12" borderId="0" applyBorder="0">
      <alignment horizontal="right" vertical="center" wrapText="1"/>
    </xf>
    <xf numFmtId="49" fontId="28" fillId="12" borderId="16">
      <alignment horizontal="center" vertical="center" wrapText="1"/>
    </xf>
    <xf numFmtId="49" fontId="9" fillId="0" borderId="14" applyFill="0">
      <alignment horizontal="left" vertical="center" wrapText="1"/>
    </xf>
    <xf numFmtId="0" fontId="31" fillId="12" borderId="20">
      <alignment vertical="top" wrapText="1"/>
    </xf>
    <xf numFmtId="14" fontId="9" fillId="14" borderId="16">
      <alignment horizontal="center" vertical="center" wrapText="1"/>
    </xf>
    <xf numFmtId="14" fontId="35" fillId="14" borderId="16">
      <alignment horizontal="center" vertical="center" wrapText="1"/>
    </xf>
    <xf numFmtId="49" fontId="18" fillId="14" borderId="11">
      <alignment horizontal="left" vertical="center" wrapText="1"/>
    </xf>
    <xf numFmtId="0" fontId="5" fillId="0" borderId="33" applyFill="0">
      <alignment horizontal="left" vertical="top" wrapText="1"/>
    </xf>
    <xf numFmtId="0" fontId="31" fillId="12" borderId="0" applyBorder="0">
      <alignment vertical="top" wrapText="1"/>
    </xf>
    <xf numFmtId="0" fontId="25" fillId="12" borderId="21">
      <alignment horizontal="center" vertical="center" wrapText="1"/>
    </xf>
    <xf numFmtId="14" fontId="9" fillId="13" borderId="21">
      <alignment horizontal="left" vertical="center" wrapText="1"/>
    </xf>
    <xf numFmtId="14" fontId="9" fillId="13" borderId="14">
      <alignment horizontal="center" vertical="center" wrapText="1"/>
    </xf>
    <xf numFmtId="49" fontId="18" fillId="11" borderId="14">
      <alignment horizontal="left" vertical="center" wrapText="1"/>
      <protection locked="0"/>
    </xf>
    <xf numFmtId="0" fontId="25" fillId="0" borderId="0" applyFill="0" applyBorder="0">
      <alignment horizontal="left" vertical="center" wrapText="1"/>
    </xf>
    <xf numFmtId="49" fontId="25" fillId="0" borderId="0" applyFill="0" applyBorder="0">
      <alignment horizontal="left" vertical="center" wrapText="1"/>
    </xf>
    <xf numFmtId="49" fontId="13" fillId="14" borderId="16">
      <alignment horizontal="center" vertical="center"/>
    </xf>
    <xf numFmtId="49" fontId="38" fillId="14" borderId="16">
      <alignment horizontal="left" vertical="center" indent="1"/>
    </xf>
    <xf numFmtId="49" fontId="38" fillId="14" borderId="11">
      <alignment horizontal="left" vertical="center" indent="1"/>
    </xf>
    <xf numFmtId="0" fontId="30" fillId="0" borderId="0" applyFill="0" applyBorder="0">
      <alignment vertical="top"/>
    </xf>
    <xf numFmtId="49" fontId="47" fillId="0" borderId="14" applyFill="0">
      <alignment vertical="top" wrapText="1"/>
    </xf>
    <xf numFmtId="49" fontId="15" fillId="0" borderId="14" applyFill="0">
      <alignment horizontal="center" vertical="top" wrapText="1"/>
    </xf>
    <xf numFmtId="49" fontId="15" fillId="16" borderId="14">
      <alignment horizontal="center" vertical="top"/>
    </xf>
    <xf numFmtId="49" fontId="15" fillId="0" borderId="14" applyFill="0">
      <alignment vertical="top" wrapText="1"/>
    </xf>
    <xf numFmtId="0" fontId="15" fillId="0" borderId="14" applyFill="0">
      <alignment vertical="top" wrapText="1"/>
    </xf>
    <xf numFmtId="49" fontId="15" fillId="0" borderId="14" applyFill="0">
      <alignment vertical="top"/>
    </xf>
    <xf numFmtId="49" fontId="47" fillId="0" borderId="14" applyFill="0">
      <alignment vertical="top"/>
    </xf>
    <xf numFmtId="0" fontId="47" fillId="0" borderId="14" applyFill="0">
      <alignment vertical="top" wrapText="1"/>
    </xf>
    <xf numFmtId="49" fontId="47" fillId="0" borderId="14" applyFill="0">
      <alignment horizontal="center" vertical="top" wrapText="1"/>
    </xf>
    <xf numFmtId="49" fontId="47" fillId="16" borderId="14">
      <alignment horizontal="center" vertical="top" wrapText="1"/>
    </xf>
    <xf numFmtId="49" fontId="15" fillId="16" borderId="14">
      <alignment horizontal="center" vertical="top" wrapText="1"/>
    </xf>
    <xf numFmtId="49" fontId="47" fillId="0" borderId="14" applyFill="0">
      <alignment horizontal="left" vertical="top" wrapText="1"/>
    </xf>
    <xf numFmtId="0" fontId="15" fillId="16" borderId="14">
      <alignment horizontal="center" vertical="top" wrapText="1"/>
    </xf>
    <xf numFmtId="0" fontId="47" fillId="16" borderId="14">
      <alignment horizontal="right" vertical="center" wrapText="1"/>
    </xf>
    <xf numFmtId="49" fontId="47" fillId="0" borderId="12" applyFill="0">
      <alignment horizontal="center" vertical="top" wrapText="1"/>
    </xf>
    <xf numFmtId="49" fontId="47" fillId="0" borderId="16" applyFill="0">
      <alignment horizontal="center" vertical="top" wrapText="1"/>
    </xf>
    <xf numFmtId="49" fontId="47" fillId="0" borderId="11" applyFill="0">
      <alignment horizontal="center" vertical="top" wrapText="1"/>
    </xf>
    <xf numFmtId="0" fontId="47" fillId="0" borderId="14" applyFill="0">
      <alignment horizontal="left" vertical="top" wrapText="1"/>
    </xf>
    <xf numFmtId="49" fontId="47" fillId="16" borderId="14">
      <alignment horizontal="left" vertical="top" wrapText="1"/>
    </xf>
    <xf numFmtId="0" fontId="47" fillId="16" borderId="14">
      <alignment horizontal="center" vertical="center" wrapText="1"/>
    </xf>
    <xf numFmtId="49" fontId="47" fillId="0" borderId="23" applyFill="0">
      <alignment horizontal="center" vertical="top" wrapText="1"/>
    </xf>
    <xf numFmtId="49" fontId="47" fillId="0" borderId="33" applyFill="0">
      <alignment horizontal="center" vertical="top" wrapText="1"/>
    </xf>
    <xf numFmtId="0" fontId="47" fillId="0" borderId="23" applyFill="0">
      <alignment horizontal="left" vertical="top" wrapText="1"/>
    </xf>
    <xf numFmtId="49" fontId="47" fillId="0" borderId="24" applyFill="0">
      <alignment horizontal="center" vertical="top" wrapText="1"/>
    </xf>
    <xf numFmtId="0" fontId="47" fillId="0" borderId="11" applyFill="0">
      <alignment horizontal="left" vertical="top" wrapText="1"/>
    </xf>
    <xf numFmtId="49" fontId="47" fillId="0" borderId="21" applyFill="0">
      <alignment horizontal="center" vertical="top" wrapText="1"/>
    </xf>
    <xf numFmtId="49" fontId="47" fillId="0" borderId="26" applyFill="0">
      <alignment horizontal="center" vertical="top" wrapText="1"/>
    </xf>
    <xf numFmtId="49" fontId="47" fillId="0" borderId="19" applyFill="0">
      <alignment horizontal="center" vertical="top" wrapText="1"/>
    </xf>
    <xf numFmtId="0" fontId="47" fillId="0" borderId="23" applyFill="0">
      <alignment vertical="top" wrapText="1"/>
    </xf>
    <xf numFmtId="49" fontId="15" fillId="0" borderId="14" applyFill="0">
      <alignment horizontal="left" vertical="top" wrapText="1"/>
    </xf>
    <xf numFmtId="0" fontId="15" fillId="0" borderId="12" applyFill="0">
      <alignment horizontal="center" vertical="center" wrapText="1"/>
    </xf>
    <xf numFmtId="0" fontId="15" fillId="0" borderId="12" applyFill="0">
      <alignment horizontal="center" vertical="center"/>
    </xf>
    <xf numFmtId="49" fontId="15" fillId="0" borderId="14" applyFill="0">
      <alignment horizontal="center" vertical="center" wrapText="1"/>
    </xf>
    <xf numFmtId="0" fontId="15" fillId="0" borderId="14" applyFill="0">
      <alignment vertical="center" wrapText="1"/>
    </xf>
    <xf numFmtId="49" fontId="47" fillId="0" borderId="12" applyFill="0">
      <alignment horizontal="left" vertical="top" wrapText="1"/>
    </xf>
    <xf numFmtId="0" fontId="15" fillId="0" borderId="14" applyFill="0">
      <alignment horizontal="center" vertical="center" wrapText="1"/>
    </xf>
    <xf numFmtId="0" fontId="15" fillId="0" borderId="23" applyFill="0">
      <alignment vertical="center" wrapText="1"/>
    </xf>
    <xf numFmtId="0" fontId="15" fillId="0" borderId="21" applyFill="0">
      <alignment vertical="center" wrapText="1"/>
    </xf>
    <xf numFmtId="49" fontId="47" fillId="0" borderId="26" applyFill="0">
      <alignment horizontal="left" vertical="top" wrapText="1"/>
    </xf>
    <xf numFmtId="49" fontId="47" fillId="0" borderId="11" applyFill="0">
      <alignment horizontal="left" vertical="top" wrapText="1"/>
    </xf>
    <xf numFmtId="49" fontId="15" fillId="0" borderId="23" applyFill="0">
      <alignment horizontal="center" vertical="center" wrapText="1"/>
    </xf>
    <xf numFmtId="49" fontId="15" fillId="0" borderId="21" applyFill="0">
      <alignment horizontal="center" vertical="center" wrapText="1"/>
    </xf>
    <xf numFmtId="0" fontId="15" fillId="0" borderId="23" applyFill="0">
      <alignment horizontal="center" vertical="center" wrapText="1"/>
    </xf>
    <xf numFmtId="49" fontId="47" fillId="0" borderId="33" applyFill="0">
      <alignment horizontal="left" vertical="top" wrapText="1"/>
    </xf>
    <xf numFmtId="0" fontId="47" fillId="0" borderId="33" applyFill="0">
      <alignment horizontal="left" vertical="top" wrapText="1"/>
    </xf>
    <xf numFmtId="49" fontId="10" fillId="17" borderId="0" applyBorder="0">
      <alignment horizontal="center" vertical="center"/>
    </xf>
    <xf numFmtId="49" fontId="9" fillId="0" borderId="14" applyFill="0">
      <alignment horizontal="center" vertical="top"/>
    </xf>
    <xf numFmtId="49" fontId="19" fillId="17" borderId="0" applyBorder="0">
      <alignment horizontal="center" vertical="center" wrapText="1"/>
    </xf>
    <xf numFmtId="0" fontId="5" fillId="18" borderId="14">
      <alignment horizontal="center" vertical="center"/>
    </xf>
    <xf numFmtId="49" fontId="19" fillId="17" borderId="14">
      <alignment horizontal="center" vertical="center"/>
    </xf>
    <xf numFmtId="49" fontId="19" fillId="19" borderId="14">
      <alignment horizontal="center" vertical="center"/>
    </xf>
    <xf numFmtId="49" fontId="5" fillId="20" borderId="14">
      <alignment horizontal="center" vertical="center"/>
    </xf>
    <xf numFmtId="0" fontId="9" fillId="0" borderId="14" applyFill="0">
      <alignment vertical="center"/>
    </xf>
    <xf numFmtId="0" fontId="5" fillId="0" borderId="14" applyFill="0">
      <alignment vertical="center"/>
    </xf>
    <xf numFmtId="0" fontId="5" fillId="0" borderId="12" applyFill="0">
      <alignment vertical="center"/>
    </xf>
    <xf numFmtId="0" fontId="9" fillId="0" borderId="12" applyFill="0">
      <alignment horizontal="left" vertical="center"/>
    </xf>
    <xf numFmtId="49" fontId="9" fillId="0" borderId="37" applyFill="0">
      <alignment vertical="center"/>
    </xf>
    <xf numFmtId="49" fontId="9" fillId="0" borderId="38" applyFill="0">
      <alignment vertical="top"/>
    </xf>
    <xf numFmtId="49" fontId="9" fillId="0" borderId="39" applyFill="0">
      <alignment vertical="top"/>
    </xf>
    <xf numFmtId="0" fontId="5" fillId="0" borderId="11" applyFill="0">
      <alignment vertical="center"/>
    </xf>
    <xf numFmtId="0" fontId="5" fillId="0" borderId="14" applyFill="0">
      <alignment horizontal="right" vertical="top"/>
    </xf>
    <xf numFmtId="0" fontId="5" fillId="0" borderId="14" applyFill="0">
      <alignment vertical="top"/>
    </xf>
    <xf numFmtId="0" fontId="9" fillId="0" borderId="11" applyFill="0">
      <alignment vertical="center"/>
    </xf>
    <xf numFmtId="49" fontId="9" fillId="0" borderId="14" applyFill="0">
      <alignment vertical="center"/>
    </xf>
    <xf numFmtId="0" fontId="5" fillId="0" borderId="0" applyFill="0" applyBorder="0">
      <alignment vertical="top"/>
    </xf>
    <xf numFmtId="0" fontId="9" fillId="0" borderId="14" applyFill="0">
      <alignment vertical="top"/>
    </xf>
    <xf numFmtId="0" fontId="5" fillId="21" borderId="0" applyBorder="0">
      <alignment horizontal="right" vertical="center"/>
    </xf>
    <xf numFmtId="0" fontId="5" fillId="21" borderId="0" applyBorder="0">
      <alignment horizontal="left" vertical="center"/>
    </xf>
    <xf numFmtId="0" fontId="5" fillId="0" borderId="0" applyFill="0" applyBorder="0">
      <alignment horizontal="right" vertical="top"/>
    </xf>
    <xf numFmtId="49" fontId="9" fillId="0" borderId="12" applyFill="0">
      <alignment vertical="top"/>
    </xf>
    <xf numFmtId="0" fontId="48" fillId="21" borderId="0" applyBorder="0">
      <alignment horizontal="left" vertical="center"/>
    </xf>
    <xf numFmtId="49" fontId="5" fillId="0" borderId="12" applyFill="0">
      <alignment vertical="top"/>
    </xf>
    <xf numFmtId="49" fontId="9" fillId="0" borderId="14" applyFill="0">
      <alignment horizontal="right" vertical="top"/>
    </xf>
    <xf numFmtId="0" fontId="5" fillId="0" borderId="12" applyFill="0">
      <alignment horizontal="left" vertical="center"/>
    </xf>
    <xf numFmtId="49" fontId="9" fillId="0" borderId="23" applyFill="0">
      <alignment horizontal="right" vertical="top"/>
    </xf>
    <xf numFmtId="0" fontId="5" fillId="0" borderId="23" applyFill="0">
      <alignment vertical="top"/>
    </xf>
    <xf numFmtId="0" fontId="9" fillId="0" borderId="23" applyFill="0">
      <alignment vertical="center"/>
    </xf>
    <xf numFmtId="49" fontId="9" fillId="0" borderId="40" applyFill="0">
      <alignment horizontal="center" vertical="center"/>
    </xf>
    <xf numFmtId="49" fontId="9" fillId="0" borderId="14" applyFill="0">
      <alignment horizontal="right" vertical="center"/>
    </xf>
    <xf numFmtId="49" fontId="9" fillId="0" borderId="14" applyFill="0">
      <alignment vertical="top"/>
    </xf>
    <xf numFmtId="0" fontId="9" fillId="21" borderId="0" applyBorder="0">
      <alignment horizontal="left" vertical="center"/>
    </xf>
    <xf numFmtId="0" fontId="5" fillId="21" borderId="41">
      <alignment horizontal="center"/>
    </xf>
    <xf numFmtId="49" fontId="49" fillId="0" borderId="39" applyFill="0">
      <alignment vertical="top"/>
    </xf>
    <xf numFmtId="49" fontId="30" fillId="22" borderId="0" applyBorder="0">
      <alignment vertical="center" wrapText="1"/>
    </xf>
    <xf numFmtId="0" fontId="5" fillId="0" borderId="41" applyFill="0">
      <alignment horizontal="center"/>
    </xf>
    <xf numFmtId="49" fontId="10" fillId="17" borderId="0" applyBorder="0">
      <alignment horizontal="center" vertical="center" wrapText="1"/>
    </xf>
    <xf numFmtId="49" fontId="9" fillId="21" borderId="0" applyBorder="0">
      <alignment horizontal="center" vertical="center"/>
    </xf>
    <xf numFmtId="0" fontId="28" fillId="0" borderId="0" applyFill="0" applyBorder="0">
      <alignment horizontal="center" vertical="center" wrapText="1"/>
    </xf>
    <xf numFmtId="49" fontId="5" fillId="8" borderId="40">
      <alignment horizontal="left" vertical="center"/>
      <protection locked="0"/>
    </xf>
    <xf numFmtId="49" fontId="5" fillId="0" borderId="40" applyFill="0">
      <alignment horizontal="right" vertical="center"/>
    </xf>
    <xf numFmtId="0" fontId="5" fillId="10" borderId="40">
      <alignment horizontal="center" vertical="center"/>
    </xf>
    <xf numFmtId="49" fontId="5" fillId="0" borderId="40" applyFill="0">
      <alignment horizontal="center" vertical="center"/>
    </xf>
    <xf numFmtId="0" fontId="2" fillId="0" borderId="42" applyFill="0">
      <alignment horizontal="center" vertical="center"/>
    </xf>
    <xf numFmtId="0" fontId="5" fillId="0" borderId="42" applyFill="0">
      <alignment horizontal="center" vertical="center"/>
    </xf>
    <xf numFmtId="49" fontId="10" fillId="17" borderId="14">
      <alignment horizontal="right" vertical="center"/>
    </xf>
    <xf numFmtId="49" fontId="9" fillId="8" borderId="24">
      <alignment vertical="top"/>
      <protection locked="0"/>
    </xf>
    <xf numFmtId="0" fontId="5" fillId="16" borderId="14">
      <alignment horizontal="right" vertical="center"/>
    </xf>
    <xf numFmtId="49" fontId="9" fillId="16" borderId="21">
      <alignment vertical="top"/>
    </xf>
    <xf numFmtId="49" fontId="9" fillId="16" borderId="14">
      <alignment vertical="top"/>
    </xf>
    <xf numFmtId="0" fontId="9" fillId="0" borderId="0" applyFill="0" applyBorder="0">
      <alignment vertical="top"/>
    </xf>
    <xf numFmtId="49" fontId="9" fillId="0" borderId="12" applyFill="0">
      <alignment horizontal="center" vertical="top"/>
    </xf>
    <xf numFmtId="49" fontId="9" fillId="0" borderId="11" applyFill="0">
      <alignment horizontal="center" vertical="top"/>
    </xf>
    <xf numFmtId="0" fontId="9" fillId="10" borderId="26">
      <alignment horizontal="center" vertical="top"/>
    </xf>
    <xf numFmtId="0" fontId="9" fillId="10" borderId="26">
      <alignment horizontal="left" vertical="top"/>
    </xf>
    <xf numFmtId="0" fontId="5" fillId="0" borderId="43" applyFill="0">
      <alignment horizontal="center" vertical="center"/>
    </xf>
    <xf numFmtId="0" fontId="5" fillId="0" borderId="44" applyFill="0">
      <alignment horizontal="center" vertical="center"/>
    </xf>
    <xf numFmtId="0" fontId="9" fillId="0" borderId="14" applyFill="0">
      <alignment horizontal="left" vertical="top"/>
    </xf>
    <xf numFmtId="0" fontId="5" fillId="0" borderId="45" applyFill="0">
      <alignment horizontal="center" vertical="center"/>
    </xf>
    <xf numFmtId="49" fontId="10" fillId="17" borderId="12">
      <alignment horizontal="right" vertical="center"/>
    </xf>
    <xf numFmtId="49" fontId="5" fillId="0" borderId="0" applyFill="0" applyBorder="0">
      <alignment vertical="center"/>
    </xf>
    <xf numFmtId="0" fontId="5" fillId="21" borderId="0" applyBorder="0">
      <alignment horizontal="right" vertical="top" wrapText="1"/>
    </xf>
    <xf numFmtId="0" fontId="9" fillId="0" borderId="0" applyFill="0" applyBorder="0">
      <alignment horizontal="left" vertical="top" wrapText="1"/>
    </xf>
    <xf numFmtId="49" fontId="5" fillId="23" borderId="0" applyBorder="0">
      <alignment vertical="top"/>
    </xf>
    <xf numFmtId="0" fontId="9" fillId="12" borderId="14">
      <alignment horizontal="center" vertical="center"/>
    </xf>
    <xf numFmtId="0" fontId="31" fillId="12" borderId="0" applyBorder="0">
      <alignment horizontal="center"/>
    </xf>
    <xf numFmtId="0" fontId="28" fillId="0" borderId="0" applyFill="0" applyBorder="0">
      <alignment vertical="top" wrapText="1"/>
    </xf>
    <xf numFmtId="0" fontId="19" fillId="0" borderId="21" applyFill="0">
      <alignment horizontal="center" vertical="center" wrapText="1"/>
    </xf>
    <xf numFmtId="0" fontId="19" fillId="0" borderId="14" applyFill="0">
      <alignment horizontal="center" vertical="center" wrapText="1"/>
    </xf>
    <xf numFmtId="14" fontId="9" fillId="13" borderId="14">
      <alignment horizontal="left" vertical="center" wrapText="1" indent="1"/>
    </xf>
    <xf numFmtId="49" fontId="9" fillId="10" borderId="14">
      <alignment horizontal="center" vertical="center" wrapText="1"/>
    </xf>
    <xf numFmtId="49" fontId="40" fillId="23" borderId="0" applyBorder="0">
      <alignment vertical="top"/>
    </xf>
    <xf numFmtId="0" fontId="28" fillId="0" borderId="20" applyFill="0">
      <alignment horizontal="center" vertical="center" wrapText="1"/>
    </xf>
    <xf numFmtId="14" fontId="35" fillId="0" borderId="23" applyFill="0">
      <alignment horizontal="center" vertical="center" wrapText="1"/>
    </xf>
    <xf numFmtId="0" fontId="34" fillId="0" borderId="14" applyFill="0">
      <alignment horizontal="left" vertical="center" wrapText="1" indent="1"/>
    </xf>
    <xf numFmtId="0" fontId="35" fillId="0" borderId="23" applyFill="0">
      <alignment horizontal="center" vertical="center" wrapText="1"/>
    </xf>
    <xf numFmtId="14" fontId="35" fillId="0" borderId="33" applyFill="0">
      <alignment horizontal="center" vertical="center" wrapText="1"/>
    </xf>
    <xf numFmtId="0" fontId="34" fillId="0" borderId="14" applyFill="0">
      <alignment horizontal="left" vertical="top" indent="1"/>
    </xf>
    <xf numFmtId="0" fontId="28" fillId="0" borderId="14" applyFill="0">
      <alignment horizontal="center" vertical="center" wrapText="1"/>
    </xf>
    <xf numFmtId="49" fontId="9" fillId="0" borderId="11" applyFill="0">
      <alignment horizontal="center" vertical="center" wrapText="1"/>
    </xf>
    <xf numFmtId="49" fontId="34" fillId="11" borderId="14">
      <alignment horizontal="left" vertical="center" wrapText="1" indent="1"/>
      <protection locked="0"/>
    </xf>
    <xf numFmtId="0" fontId="9" fillId="12" borderId="0" applyBorder="0">
      <alignment horizontal="center" vertical="top" wrapText="1"/>
    </xf>
    <xf numFmtId="0" fontId="9" fillId="12" borderId="12">
      <alignment horizontal="center" vertical="center" wrapText="1"/>
    </xf>
    <xf numFmtId="0" fontId="25" fillId="12" borderId="14">
      <alignment horizontal="center" vertical="center" wrapText="1"/>
    </xf>
    <xf numFmtId="14" fontId="9" fillId="13" borderId="25">
      <alignment horizontal="left" vertical="center" wrapText="1"/>
    </xf>
    <xf numFmtId="49" fontId="50" fillId="11" borderId="14">
      <alignment horizontal="left" vertical="center" wrapText="1"/>
      <protection locked="0"/>
    </xf>
    <xf numFmtId="49" fontId="19" fillId="0" borderId="0" applyFill="0" applyBorder="0">
      <alignment vertical="top"/>
    </xf>
    <xf numFmtId="168" fontId="5" fillId="11" borderId="14">
      <alignment horizontal="center" vertical="center" wrapText="1"/>
      <protection locked="0"/>
    </xf>
    <xf numFmtId="49" fontId="5" fillId="11" borderId="14">
      <alignment horizontal="center" vertical="center" wrapText="1"/>
      <protection locked="0"/>
    </xf>
    <xf numFmtId="0" fontId="51" fillId="12" borderId="0" applyBorder="0">
      <alignment vertical="center" wrapText="1"/>
    </xf>
    <xf numFmtId="0" fontId="5" fillId="11" borderId="12">
      <alignment horizontal="left" vertical="center" wrapText="1" indent="2"/>
      <protection locked="0"/>
    </xf>
    <xf numFmtId="0" fontId="31" fillId="0" borderId="20" applyFill="0">
      <alignment horizontal="center" vertical="center" wrapText="1"/>
    </xf>
    <xf numFmtId="49" fontId="9" fillId="0" borderId="14" applyFill="0">
      <alignment horizontal="center" vertical="top" wrapText="1"/>
    </xf>
    <xf numFmtId="0" fontId="5" fillId="10" borderId="14">
      <alignment horizontal="left" vertical="top" wrapText="1" indent="1"/>
    </xf>
    <xf numFmtId="49" fontId="9" fillId="13" borderId="23">
      <alignment horizontal="center" vertical="top" wrapText="1"/>
    </xf>
    <xf numFmtId="168" fontId="5" fillId="11" borderId="14">
      <alignment horizontal="center" vertical="top" wrapText="1"/>
      <protection locked="0"/>
    </xf>
    <xf numFmtId="168" fontId="5" fillId="8" borderId="14">
      <alignment horizontal="center" vertical="top" wrapText="1"/>
      <protection locked="0"/>
    </xf>
    <xf numFmtId="49" fontId="9" fillId="13" borderId="14">
      <alignment horizontal="left" vertical="top" wrapText="1"/>
    </xf>
    <xf numFmtId="49" fontId="9" fillId="11" borderId="14">
      <alignment horizontal="left" vertical="top" wrapText="1"/>
      <protection locked="0"/>
    </xf>
    <xf numFmtId="49" fontId="5" fillId="10" borderId="14">
      <alignment horizontal="center" vertical="top" wrapText="1"/>
    </xf>
    <xf numFmtId="0" fontId="9" fillId="10" borderId="14">
      <alignment horizontal="center" vertical="top" wrapText="1"/>
    </xf>
    <xf numFmtId="0" fontId="9" fillId="8" borderId="14">
      <alignment horizontal="left" vertical="top" wrapText="1"/>
      <protection locked="0"/>
    </xf>
    <xf numFmtId="49" fontId="9" fillId="13" borderId="14">
      <alignment horizontal="center" vertical="top" wrapText="1"/>
    </xf>
    <xf numFmtId="49" fontId="9" fillId="11" borderId="23">
      <alignment horizontal="left" vertical="center" wrapText="1" indent="1"/>
      <protection locked="0"/>
    </xf>
    <xf numFmtId="0" fontId="9" fillId="0" borderId="20" applyFill="0">
      <alignment vertical="top" wrapText="1"/>
    </xf>
    <xf numFmtId="49" fontId="9" fillId="13" borderId="21">
      <alignment horizontal="center" vertical="top" wrapText="1"/>
    </xf>
    <xf numFmtId="49" fontId="5" fillId="11" borderId="14">
      <alignment horizontal="center" vertical="top" wrapText="1"/>
      <protection locked="0"/>
    </xf>
    <xf numFmtId="49" fontId="5" fillId="8" borderId="14">
      <alignment horizontal="center" vertical="top" wrapText="1"/>
      <protection locked="0"/>
    </xf>
    <xf numFmtId="49" fontId="9" fillId="13" borderId="12">
      <alignment horizontal="center" vertical="top" wrapText="1"/>
    </xf>
    <xf numFmtId="0" fontId="9" fillId="14" borderId="12">
      <alignment vertical="center" wrapText="1"/>
    </xf>
    <xf numFmtId="0" fontId="9" fillId="14" borderId="16">
      <alignment vertical="center" wrapText="1"/>
    </xf>
    <xf numFmtId="49" fontId="9" fillId="0" borderId="33" applyFill="0">
      <alignment horizontal="center" vertical="top" wrapText="1"/>
    </xf>
    <xf numFmtId="0" fontId="5" fillId="10" borderId="33">
      <alignment horizontal="left" vertical="top" wrapText="1" indent="1"/>
    </xf>
    <xf numFmtId="49" fontId="9" fillId="13" borderId="33">
      <alignment horizontal="center" vertical="top" wrapText="1"/>
    </xf>
    <xf numFmtId="49" fontId="5" fillId="11" borderId="33">
      <alignment horizontal="center" vertical="top" wrapText="1"/>
      <protection locked="0"/>
    </xf>
    <xf numFmtId="49" fontId="5" fillId="8" borderId="33">
      <alignment horizontal="center" vertical="top" wrapText="1"/>
      <protection locked="0"/>
    </xf>
    <xf numFmtId="49" fontId="9" fillId="13" borderId="33">
      <alignment horizontal="left" vertical="top" wrapText="1"/>
    </xf>
    <xf numFmtId="49" fontId="9" fillId="11" borderId="33">
      <alignment horizontal="left" vertical="top" wrapText="1"/>
      <protection locked="0"/>
    </xf>
    <xf numFmtId="49" fontId="5" fillId="10" borderId="33">
      <alignment horizontal="center" vertical="top" wrapText="1"/>
    </xf>
    <xf numFmtId="0" fontId="9" fillId="10" borderId="33">
      <alignment horizontal="center" vertical="top" wrapText="1"/>
    </xf>
    <xf numFmtId="0" fontId="9" fillId="8" borderId="33">
      <alignment horizontal="left" vertical="top" wrapText="1"/>
      <protection locked="0"/>
    </xf>
    <xf numFmtId="0" fontId="52" fillId="0" borderId="46" applyFill="0">
      <alignment horizontal="left" vertical="center" indent="1"/>
    </xf>
    <xf numFmtId="0" fontId="52" fillId="0" borderId="47" applyFill="0">
      <alignment horizontal="left" vertical="center" indent="1"/>
    </xf>
    <xf numFmtId="0" fontId="5" fillId="0" borderId="47" applyFill="0">
      <alignment horizontal="left" vertical="center" wrapText="1"/>
    </xf>
    <xf numFmtId="0" fontId="9" fillId="0" borderId="47" applyFill="0">
      <alignment vertical="center" wrapText="1"/>
    </xf>
    <xf numFmtId="0" fontId="9" fillId="0" borderId="48" applyFill="0">
      <alignment vertical="center" wrapText="1"/>
    </xf>
    <xf numFmtId="0" fontId="9" fillId="0" borderId="49" applyFill="0">
      <alignment vertical="center" wrapText="1"/>
    </xf>
    <xf numFmtId="0" fontId="9" fillId="0" borderId="19" applyFill="0">
      <alignment vertical="center" wrapText="1"/>
    </xf>
    <xf numFmtId="49" fontId="19" fillId="0" borderId="11" applyFill="0">
      <alignment horizontal="center" vertical="center" wrapText="1"/>
    </xf>
    <xf numFmtId="49" fontId="19" fillId="0" borderId="11" applyFill="0">
      <alignment horizontal="left" vertical="center" wrapText="1"/>
    </xf>
    <xf numFmtId="49" fontId="19" fillId="0" borderId="12" applyFill="0">
      <alignment horizontal="center" vertical="center" wrapText="1"/>
    </xf>
    <xf numFmtId="49" fontId="19" fillId="0" borderId="14" applyFill="0">
      <alignment horizontal="center" vertical="center" wrapText="1"/>
    </xf>
    <xf numFmtId="49" fontId="53" fillId="0" borderId="35" applyFill="0">
      <alignment horizontal="left" vertical="center" indent="1"/>
    </xf>
    <xf numFmtId="49" fontId="53" fillId="0" borderId="35" applyFill="0">
      <alignment horizontal="center" vertical="center"/>
    </xf>
    <xf numFmtId="3" fontId="19" fillId="0" borderId="14" applyFill="0">
      <alignment horizontal="center" vertical="center" wrapText="1"/>
    </xf>
    <xf numFmtId="49" fontId="54" fillId="0" borderId="11" applyFill="0">
      <alignment horizontal="center" vertical="center" wrapText="1"/>
    </xf>
    <xf numFmtId="0" fontId="53" fillId="0" borderId="14" applyFill="0">
      <alignment horizontal="center" vertical="center"/>
    </xf>
    <xf numFmtId="49" fontId="19" fillId="0" borderId="23" applyFill="0">
      <alignment horizontal="left" vertical="center" wrapText="1" indent="1"/>
    </xf>
    <xf numFmtId="49" fontId="53" fillId="0" borderId="12" applyFill="0">
      <alignment horizontal="left" vertical="center" indent="1"/>
    </xf>
    <xf numFmtId="49" fontId="53" fillId="0" borderId="16" applyFill="0">
      <alignment horizontal="left" vertical="center" indent="1"/>
    </xf>
    <xf numFmtId="49" fontId="53" fillId="0" borderId="16" applyFill="0">
      <alignment vertical="top" wrapText="1"/>
    </xf>
    <xf numFmtId="49" fontId="53" fillId="0" borderId="11" applyFill="0">
      <alignment vertical="top" wrapText="1"/>
    </xf>
    <xf numFmtId="49" fontId="19" fillId="0" borderId="33" applyFill="0">
      <alignment horizontal="left" vertical="center" wrapText="1" indent="1"/>
    </xf>
    <xf numFmtId="0" fontId="53" fillId="0" borderId="14" applyFill="0">
      <alignment horizontal="left" vertical="center" wrapText="1" indent="1"/>
    </xf>
    <xf numFmtId="4" fontId="19" fillId="0" borderId="40" applyFill="0">
      <alignment horizontal="right" vertical="center" wrapText="1"/>
    </xf>
    <xf numFmtId="49" fontId="19" fillId="0" borderId="21" applyFill="0">
      <alignment horizontal="left" vertical="center" wrapText="1" indent="1"/>
    </xf>
    <xf numFmtId="49" fontId="19" fillId="0" borderId="16" applyFill="0">
      <alignment horizontal="left" vertical="center" indent="1"/>
    </xf>
    <xf numFmtId="49" fontId="53" fillId="0" borderId="50" applyFill="0">
      <alignment vertical="top" wrapText="1"/>
    </xf>
    <xf numFmtId="49" fontId="53" fillId="0" borderId="50" applyFill="0">
      <alignment horizontal="left" vertical="center" indent="1"/>
    </xf>
    <xf numFmtId="49" fontId="9" fillId="10" borderId="51">
      <alignment horizontal="center" vertical="center" wrapText="1"/>
    </xf>
    <xf numFmtId="0" fontId="5" fillId="14" borderId="52">
      <alignment horizontal="left" vertical="center"/>
    </xf>
    <xf numFmtId="49" fontId="29" fillId="14" borderId="53">
      <alignment horizontal="left" vertical="center" indent="1"/>
    </xf>
    <xf numFmtId="0" fontId="9" fillId="14" borderId="52">
      <alignment vertical="center" wrapText="1"/>
    </xf>
    <xf numFmtId="0" fontId="9" fillId="14" borderId="53">
      <alignment vertical="center" wrapText="1"/>
    </xf>
    <xf numFmtId="49" fontId="5" fillId="10" borderId="33">
      <alignment vertical="top"/>
    </xf>
    <xf numFmtId="49" fontId="5" fillId="0" borderId="33" applyFill="0">
      <alignment vertical="top"/>
    </xf>
    <xf numFmtId="49" fontId="9" fillId="13" borderId="23">
      <alignment vertical="center" wrapText="1"/>
    </xf>
    <xf numFmtId="49" fontId="5" fillId="11" borderId="33">
      <alignment vertical="top"/>
      <protection locked="0"/>
    </xf>
    <xf numFmtId="49" fontId="55" fillId="0" borderId="14" applyFill="0">
      <alignment horizontal="center" vertical="center" wrapText="1"/>
    </xf>
    <xf numFmtId="0" fontId="30" fillId="0" borderId="14" applyFill="0">
      <alignment horizontal="center" vertical="center"/>
    </xf>
    <xf numFmtId="49" fontId="9" fillId="13" borderId="23">
      <alignment horizontal="left" vertical="center" wrapText="1" indent="1"/>
    </xf>
    <xf numFmtId="49" fontId="56" fillId="14" borderId="12">
      <alignment horizontal="left" vertical="center" indent="1"/>
    </xf>
    <xf numFmtId="49" fontId="56" fillId="14" borderId="16">
      <alignment horizontal="left" vertical="center" indent="1"/>
    </xf>
    <xf numFmtId="49" fontId="30" fillId="14" borderId="16">
      <alignment vertical="top" wrapText="1"/>
    </xf>
    <xf numFmtId="49" fontId="5" fillId="11" borderId="23">
      <alignment vertical="top"/>
      <protection locked="0"/>
    </xf>
    <xf numFmtId="14" fontId="9" fillId="13" borderId="33">
      <alignment horizontal="left" vertical="center" wrapText="1" indent="1"/>
    </xf>
    <xf numFmtId="14" fontId="9" fillId="13" borderId="19">
      <alignment horizontal="left" vertical="center" wrapText="1" indent="1"/>
    </xf>
    <xf numFmtId="49" fontId="9" fillId="13" borderId="33">
      <alignment vertical="center" wrapText="1"/>
    </xf>
    <xf numFmtId="49" fontId="9" fillId="13" borderId="33">
      <alignment horizontal="left" vertical="center" wrapText="1" indent="1"/>
    </xf>
    <xf numFmtId="49" fontId="9" fillId="10" borderId="14">
      <alignment horizontal="left" vertical="center" wrapText="1"/>
    </xf>
    <xf numFmtId="0" fontId="30" fillId="13" borderId="14">
      <alignment horizontal="left" vertical="center" wrapText="1" indent="1"/>
    </xf>
    <xf numFmtId="4" fontId="9" fillId="11" borderId="40">
      <alignment horizontal="right" vertical="center" wrapText="1"/>
      <protection locked="0"/>
    </xf>
    <xf numFmtId="4" fontId="9" fillId="11" borderId="45">
      <alignment horizontal="right" vertical="center" wrapText="1"/>
      <protection locked="0"/>
    </xf>
    <xf numFmtId="49" fontId="9" fillId="13" borderId="21">
      <alignment vertical="center" wrapText="1"/>
    </xf>
    <xf numFmtId="49" fontId="9" fillId="13" borderId="21">
      <alignment horizontal="left" vertical="center" wrapText="1" indent="1"/>
    </xf>
    <xf numFmtId="49" fontId="5" fillId="11" borderId="21">
      <alignment vertical="top"/>
      <protection locked="0"/>
    </xf>
    <xf numFmtId="49" fontId="55" fillId="0" borderId="33" applyFill="0">
      <alignment horizontal="center" vertical="top" wrapText="1"/>
    </xf>
    <xf numFmtId="0" fontId="30" fillId="0" borderId="11" applyFill="0">
      <alignment horizontal="center" vertical="center"/>
    </xf>
    <xf numFmtId="49" fontId="9" fillId="13" borderId="11">
      <alignment horizontal="left" vertical="center" wrapText="1"/>
    </xf>
    <xf numFmtId="49" fontId="56" fillId="14" borderId="34">
      <alignment horizontal="left" vertical="center" indent="1"/>
    </xf>
    <xf numFmtId="49" fontId="53" fillId="14" borderId="35">
      <alignment horizontal="center" vertical="center"/>
    </xf>
    <xf numFmtId="49" fontId="56" fillId="14" borderId="35">
      <alignment horizontal="left" vertical="center" indent="1"/>
    </xf>
    <xf numFmtId="3" fontId="9" fillId="11" borderId="14">
      <alignment horizontal="center" vertical="center" wrapText="1"/>
      <protection locked="0"/>
    </xf>
    <xf numFmtId="49" fontId="9" fillId="13" borderId="12">
      <alignment horizontal="center" vertical="center" wrapText="1"/>
    </xf>
    <xf numFmtId="49" fontId="30" fillId="14" borderId="11">
      <alignment vertical="top" wrapText="1"/>
    </xf>
    <xf numFmtId="49" fontId="30" fillId="14" borderId="50">
      <alignment vertical="top" wrapText="1"/>
    </xf>
    <xf numFmtId="49" fontId="56" fillId="14" borderId="50">
      <alignment horizontal="left" vertical="center" indent="1"/>
    </xf>
    <xf numFmtId="49" fontId="30" fillId="12" borderId="0" applyBorder="0">
      <alignment vertical="center"/>
    </xf>
    <xf numFmtId="0" fontId="52" fillId="0" borderId="54" applyFill="0">
      <alignment horizontal="left" vertical="center" indent="1"/>
    </xf>
    <xf numFmtId="49" fontId="9" fillId="0" borderId="55" applyFill="0">
      <alignment horizontal="center" vertical="center"/>
    </xf>
    <xf numFmtId="0" fontId="9" fillId="0" borderId="55" applyFill="0">
      <alignment horizontal="right" vertical="center"/>
    </xf>
    <xf numFmtId="0" fontId="9" fillId="0" borderId="55" applyFill="0">
      <alignment horizontal="center" vertical="center"/>
    </xf>
    <xf numFmtId="0" fontId="9" fillId="0" borderId="16" applyFill="0">
      <alignment horizontal="right" vertical="center"/>
    </xf>
    <xf numFmtId="0" fontId="9" fillId="0" borderId="11" applyFill="0">
      <alignment horizontal="right" vertical="center"/>
    </xf>
    <xf numFmtId="0" fontId="9" fillId="0" borderId="14" applyFill="0">
      <alignment horizontal="right" vertical="center"/>
    </xf>
    <xf numFmtId="49" fontId="9" fillId="8" borderId="14">
      <alignment horizontal="left" vertical="center" indent="1"/>
      <protection locked="0"/>
    </xf>
    <xf numFmtId="0" fontId="9" fillId="16" borderId="14">
      <alignment horizontal="right" vertical="center"/>
    </xf>
    <xf numFmtId="4" fontId="9" fillId="8" borderId="14">
      <alignment horizontal="right" vertical="center"/>
      <protection locked="0"/>
    </xf>
    <xf numFmtId="49" fontId="29" fillId="14" borderId="56">
      <alignment horizontal="left" vertical="center" indent="1"/>
    </xf>
    <xf numFmtId="49" fontId="29" fillId="24" borderId="11">
      <alignment horizontal="left" vertical="center" indent="1"/>
    </xf>
    <xf numFmtId="0" fontId="5" fillId="0" borderId="12" applyFill="0">
      <alignment horizontal="right" vertical="center" wrapText="1" indent="1"/>
    </xf>
    <xf numFmtId="0" fontId="5" fillId="0" borderId="16" applyFill="0">
      <alignment horizontal="right" vertical="center" wrapText="1" indent="1"/>
    </xf>
    <xf numFmtId="0" fontId="5" fillId="0" borderId="11" applyFill="0">
      <alignment horizontal="right" vertical="center" wrapText="1" indent="1"/>
    </xf>
    <xf numFmtId="0" fontId="9" fillId="0" borderId="11" applyFill="0">
      <alignment horizontal="left" vertical="center" wrapText="1" indent="1"/>
    </xf>
    <xf numFmtId="49" fontId="25" fillId="0" borderId="19" applyFill="0">
      <alignment vertical="top"/>
    </xf>
    <xf numFmtId="0" fontId="57" fillId="0" borderId="0" applyFill="0" applyBorder="0">
      <alignment vertical="top"/>
    </xf>
    <xf numFmtId="0" fontId="58" fillId="0" borderId="0" applyFill="0" applyBorder="0">
      <alignment vertical="top"/>
    </xf>
    <xf numFmtId="49" fontId="9" fillId="0" borderId="33" applyFill="0">
      <alignment horizontal="center" vertical="center" wrapText="1"/>
    </xf>
    <xf numFmtId="0" fontId="9" fillId="0" borderId="21" applyFill="0">
      <alignment horizontal="left" vertical="center" wrapText="1"/>
    </xf>
    <xf numFmtId="4" fontId="9" fillId="10" borderId="14">
      <alignment horizontal="right" vertical="center" wrapText="1"/>
    </xf>
    <xf numFmtId="2" fontId="9" fillId="0" borderId="21" applyFill="0">
      <alignment horizontal="center" vertical="center" wrapText="1"/>
    </xf>
    <xf numFmtId="0" fontId="25" fillId="0" borderId="19" applyFill="0">
      <alignment vertical="center" wrapText="1"/>
    </xf>
    <xf numFmtId="49" fontId="29" fillId="14" borderId="12">
      <alignment horizontal="left" vertical="center"/>
    </xf>
    <xf numFmtId="0" fontId="29" fillId="0" borderId="14" applyFill="0">
      <alignment horizontal="left" vertical="center" indent="1"/>
    </xf>
    <xf numFmtId="49" fontId="9" fillId="0" borderId="21" applyFill="0">
      <alignment horizontal="center" vertical="center" wrapText="1"/>
    </xf>
    <xf numFmtId="0" fontId="25" fillId="0" borderId="21" applyFill="0">
      <alignment vertical="center" wrapText="1"/>
    </xf>
    <xf numFmtId="4" fontId="25" fillId="0" borderId="14" applyFill="0">
      <alignment horizontal="right" vertical="center" wrapText="1"/>
    </xf>
    <xf numFmtId="2" fontId="25" fillId="0" borderId="21" applyFill="0">
      <alignment horizontal="center" vertical="center" wrapText="1"/>
    </xf>
    <xf numFmtId="49" fontId="25" fillId="0" borderId="12" applyFill="0">
      <alignment horizontal="left" vertical="center"/>
    </xf>
    <xf numFmtId="49" fontId="25" fillId="0" borderId="16" applyFill="0">
      <alignment horizontal="left" vertical="center" indent="1"/>
    </xf>
    <xf numFmtId="49" fontId="25" fillId="0" borderId="16" applyFill="0">
      <alignment horizontal="left" vertical="center"/>
    </xf>
    <xf numFmtId="49" fontId="25" fillId="0" borderId="11" applyFill="0">
      <alignment horizontal="left" vertical="center" indent="1"/>
    </xf>
    <xf numFmtId="0" fontId="25" fillId="0" borderId="14" applyFill="0">
      <alignment horizontal="left" vertical="center" indent="1"/>
    </xf>
    <xf numFmtId="49" fontId="5" fillId="0" borderId="17" applyFill="0">
      <alignment vertical="top"/>
    </xf>
    <xf numFmtId="49" fontId="31" fillId="0" borderId="23" applyFill="0">
      <alignment horizontal="center" vertical="top" wrapText="1"/>
    </xf>
    <xf numFmtId="49" fontId="9" fillId="11" borderId="12">
      <alignment horizontal="left" vertical="center" wrapText="1" indent="1"/>
      <protection locked="0"/>
    </xf>
    <xf numFmtId="0" fontId="9" fillId="0" borderId="14" applyFill="0">
      <alignment vertical="center" wrapText="1"/>
    </xf>
    <xf numFmtId="49" fontId="5" fillId="0" borderId="11" applyFill="0">
      <alignment horizontal="center" vertical="center" wrapText="1"/>
    </xf>
    <xf numFmtId="0" fontId="5" fillId="0" borderId="14" applyFill="0">
      <alignment horizontal="left" vertical="center" wrapText="1"/>
    </xf>
    <xf numFmtId="4" fontId="5" fillId="10" borderId="14">
      <alignment horizontal="right" vertical="center" wrapText="1"/>
    </xf>
    <xf numFmtId="0" fontId="5" fillId="11" borderId="14">
      <alignment horizontal="left" vertical="center" wrapText="1"/>
      <protection locked="0"/>
    </xf>
    <xf numFmtId="49" fontId="5" fillId="11" borderId="12">
      <alignment horizontal="left" vertical="center" wrapText="1"/>
      <protection locked="0"/>
    </xf>
    <xf numFmtId="0" fontId="5" fillId="0" borderId="14" applyFill="0">
      <alignment vertical="center" wrapText="1"/>
    </xf>
    <xf numFmtId="49" fontId="5" fillId="0" borderId="25" applyFill="0">
      <alignment horizontal="center" vertical="center" wrapText="1"/>
    </xf>
    <xf numFmtId="4" fontId="19" fillId="0" borderId="14" applyFill="0">
      <alignment horizontal="right" vertical="center" wrapText="1"/>
    </xf>
    <xf numFmtId="49" fontId="5" fillId="14" borderId="26">
      <alignment horizontal="center" vertical="center"/>
    </xf>
    <xf numFmtId="49" fontId="5" fillId="14" borderId="16">
      <alignment horizontal="center" vertical="center"/>
    </xf>
    <xf numFmtId="49" fontId="9" fillId="0" borderId="21" applyFill="0">
      <alignment horizontal="center" vertical="top" wrapText="1"/>
    </xf>
    <xf numFmtId="49" fontId="5" fillId="0" borderId="19" applyFill="0">
      <alignment vertical="top"/>
    </xf>
    <xf numFmtId="49" fontId="5" fillId="0" borderId="20" applyFill="0">
      <alignment vertical="top"/>
    </xf>
    <xf numFmtId="0" fontId="9" fillId="13" borderId="14">
      <alignment horizontal="left" vertical="top" wrapText="1"/>
    </xf>
    <xf numFmtId="0" fontId="5" fillId="13" borderId="14">
      <alignment horizontal="left" vertical="center" wrapText="1"/>
    </xf>
    <xf numFmtId="0" fontId="29" fillId="14" borderId="12">
      <alignment horizontal="left" vertical="center"/>
    </xf>
    <xf numFmtId="0" fontId="29" fillId="14" borderId="16">
      <alignment horizontal="left" vertical="center"/>
    </xf>
    <xf numFmtId="0" fontId="29" fillId="14" borderId="11">
      <alignment horizontal="left" vertical="center"/>
    </xf>
    <xf numFmtId="49" fontId="5" fillId="13" borderId="14">
      <alignment horizontal="left" vertical="top"/>
    </xf>
    <xf numFmtId="49" fontId="5" fillId="8" borderId="14">
      <alignment horizontal="left" vertical="top"/>
      <protection locked="0"/>
    </xf>
    <xf numFmtId="49" fontId="5" fillId="13" borderId="14">
      <alignment horizontal="left" vertical="center" wrapText="1"/>
    </xf>
    <xf numFmtId="0" fontId="5" fillId="14" borderId="16">
      <alignment vertical="center"/>
    </xf>
    <xf numFmtId="49" fontId="5" fillId="0" borderId="33" applyFill="0">
      <alignment horizontal="left" vertical="top"/>
    </xf>
    <xf numFmtId="49" fontId="5" fillId="13" borderId="33">
      <alignment horizontal="left" vertical="top"/>
    </xf>
    <xf numFmtId="49" fontId="5" fillId="8" borderId="33">
      <alignment horizontal="left" vertical="top"/>
      <protection locked="0"/>
    </xf>
    <xf numFmtId="49" fontId="9" fillId="13" borderId="0" applyBorder="0">
      <alignment horizontal="center" vertical="center" wrapText="1"/>
    </xf>
    <xf numFmtId="0" fontId="29" fillId="0" borderId="33" applyFill="0">
      <alignment horizontal="left" vertical="center"/>
    </xf>
    <xf numFmtId="49" fontId="5" fillId="13" borderId="33">
      <alignment horizontal="left" vertical="center" wrapText="1"/>
    </xf>
    <xf numFmtId="0" fontId="29" fillId="8" borderId="33">
      <alignment horizontal="left" vertical="center"/>
      <protection locked="0"/>
    </xf>
    <xf numFmtId="0" fontId="29" fillId="11" borderId="33">
      <alignment horizontal="left" vertical="center"/>
      <protection locked="0"/>
    </xf>
    <xf numFmtId="49" fontId="25" fillId="0" borderId="14" applyFill="0">
      <alignment horizontal="center" vertical="center" wrapText="1"/>
    </xf>
    <xf numFmtId="49" fontId="25" fillId="0" borderId="12" applyFill="0">
      <alignment horizontal="left" vertical="center" wrapText="1"/>
    </xf>
    <xf numFmtId="0" fontId="25" fillId="0" borderId="12" applyFill="0">
      <alignment horizontal="left" vertical="center"/>
    </xf>
    <xf numFmtId="0" fontId="25" fillId="0" borderId="16" applyFill="0">
      <alignment horizontal="left" vertical="center"/>
    </xf>
    <xf numFmtId="0" fontId="29" fillId="14" borderId="25">
      <alignment horizontal="left" vertical="center"/>
    </xf>
    <xf numFmtId="49" fontId="5" fillId="8" borderId="33">
      <alignment vertical="top"/>
      <protection locked="0"/>
    </xf>
    <xf numFmtId="49" fontId="9" fillId="0" borderId="33" applyFill="0">
      <alignment horizontal="center" vertical="center"/>
    </xf>
    <xf numFmtId="49" fontId="9" fillId="0" borderId="33" applyFill="0">
      <alignment vertical="center" wrapText="1"/>
    </xf>
    <xf numFmtId="0" fontId="9" fillId="0" borderId="20" applyFill="0">
      <alignment horizontal="center" vertical="center"/>
    </xf>
    <xf numFmtId="49" fontId="9" fillId="0" borderId="23" applyFill="0">
      <alignment horizontal="left" vertical="center" wrapText="1"/>
    </xf>
    <xf numFmtId="49" fontId="31" fillId="0" borderId="33" applyFill="0">
      <alignment vertical="center" wrapText="1"/>
    </xf>
    <xf numFmtId="0" fontId="9" fillId="13" borderId="23">
      <alignment horizontal="left" vertical="center" wrapText="1"/>
    </xf>
    <xf numFmtId="49" fontId="9" fillId="13" borderId="23">
      <alignment horizontal="left" vertical="center" wrapText="1"/>
    </xf>
    <xf numFmtId="0" fontId="9" fillId="0" borderId="33" applyFill="0">
      <alignment horizontal="left" vertical="center" wrapText="1"/>
    </xf>
    <xf numFmtId="49" fontId="9" fillId="0" borderId="33" applyFill="0">
      <alignment horizontal="left" vertical="center" wrapText="1"/>
    </xf>
    <xf numFmtId="0" fontId="9" fillId="13" borderId="33">
      <alignment horizontal="left" vertical="center" wrapText="1"/>
    </xf>
    <xf numFmtId="49" fontId="9" fillId="13" borderId="21">
      <alignment horizontal="left" vertical="center" wrapText="1"/>
    </xf>
    <xf numFmtId="0" fontId="29" fillId="0" borderId="21" applyFill="0">
      <alignment horizontal="left" vertical="center"/>
    </xf>
    <xf numFmtId="0" fontId="29" fillId="14" borderId="24">
      <alignment horizontal="left" vertical="center"/>
    </xf>
    <xf numFmtId="0" fontId="29" fillId="14" borderId="17">
      <alignment horizontal="left" vertical="center"/>
    </xf>
    <xf numFmtId="0" fontId="29" fillId="14" borderId="18">
      <alignment horizontal="left" vertical="center"/>
    </xf>
    <xf numFmtId="49" fontId="9" fillId="11" borderId="23">
      <alignment horizontal="left" vertical="center" wrapText="1"/>
      <protection locked="0"/>
    </xf>
    <xf numFmtId="49" fontId="31" fillId="0" borderId="33" applyFill="0">
      <alignment horizontal="center" vertical="center" wrapText="1"/>
    </xf>
    <xf numFmtId="0" fontId="29" fillId="14" borderId="24">
      <alignment vertical="center"/>
    </xf>
    <xf numFmtId="49" fontId="9" fillId="8" borderId="23">
      <alignment horizontal="left" vertical="center" wrapText="1"/>
      <protection locked="0"/>
    </xf>
    <xf numFmtId="49" fontId="37" fillId="14" borderId="12">
      <alignment vertical="top"/>
    </xf>
    <xf numFmtId="49" fontId="37" fillId="14" borderId="16">
      <alignment vertical="top"/>
    </xf>
    <xf numFmtId="0" fontId="9" fillId="12" borderId="0" applyBorder="0">
      <alignment horizontal="right" vertical="center" wrapText="1"/>
    </xf>
    <xf numFmtId="0" fontId="9" fillId="12" borderId="0" applyBorder="0">
      <alignment horizontal="right" vertical="center"/>
    </xf>
    <xf numFmtId="0" fontId="5" fillId="0" borderId="14" applyFill="0">
      <alignment horizontal="left" vertical="center" wrapText="1" indent="1"/>
    </xf>
    <xf numFmtId="0" fontId="5" fillId="11" borderId="14">
      <alignment horizontal="left" vertical="center" wrapText="1" indent="2"/>
      <protection locked="0"/>
    </xf>
    <xf numFmtId="49" fontId="59" fillId="14" borderId="11">
      <alignment horizontal="center" vertical="top"/>
    </xf>
    <xf numFmtId="0" fontId="9" fillId="0" borderId="23" applyFill="0">
      <alignment vertical="center" wrapText="1"/>
    </xf>
    <xf numFmtId="49" fontId="18" fillId="11" borderId="12">
      <alignment horizontal="left" vertical="center" wrapText="1"/>
      <protection locked="0"/>
    </xf>
    <xf numFmtId="49" fontId="59" fillId="14" borderId="16">
      <alignment horizontal="center" vertical="top"/>
    </xf>
    <xf numFmtId="49" fontId="37" fillId="0" borderId="14" applyFill="0">
      <alignment horizontal="center" vertical="center" wrapText="1"/>
    </xf>
    <xf numFmtId="0" fontId="37" fillId="0" borderId="14" applyFill="0">
      <alignment horizontal="left" vertical="center" wrapText="1" indent="2"/>
    </xf>
    <xf numFmtId="49" fontId="60" fillId="0" borderId="12" applyFill="0">
      <alignment horizontal="left" vertical="center" wrapText="1"/>
    </xf>
    <xf numFmtId="0" fontId="9" fillId="0" borderId="23" applyFill="0">
      <alignment vertical="top" wrapText="1"/>
    </xf>
    <xf numFmtId="0" fontId="9" fillId="0" borderId="21" applyFill="0">
      <alignment vertical="top" wrapText="1"/>
    </xf>
    <xf numFmtId="49" fontId="9" fillId="0" borderId="0" applyFill="0" applyBorder="0">
      <alignment vertical="center" wrapText="1"/>
    </xf>
    <xf numFmtId="0" fontId="51" fillId="0" borderId="0" applyFill="0" applyBorder="0">
      <alignment vertical="center" wrapText="1"/>
    </xf>
    <xf numFmtId="0" fontId="9" fillId="0" borderId="33" applyFill="0">
      <alignment vertical="center" wrapText="1"/>
    </xf>
    <xf numFmtId="0" fontId="5" fillId="10" borderId="14">
      <alignment horizontal="center" vertical="center" wrapText="1"/>
    </xf>
    <xf numFmtId="168" fontId="5" fillId="11" borderId="11">
      <alignment horizontal="left" vertical="center" wrapText="1"/>
      <protection locked="0"/>
    </xf>
    <xf numFmtId="168" fontId="5" fillId="11" borderId="12">
      <alignment horizontal="left" vertical="center" wrapText="1"/>
      <protection locked="0"/>
    </xf>
    <xf numFmtId="0" fontId="9" fillId="13" borderId="14">
      <alignment horizontal="left" vertical="center" wrapText="1"/>
    </xf>
    <xf numFmtId="0" fontId="5" fillId="0" borderId="33" applyFill="0">
      <alignment horizontal="center" vertical="center" wrapText="1"/>
    </xf>
    <xf numFmtId="0" fontId="9" fillId="0" borderId="0" applyFill="0" applyBorder="0">
      <alignment vertical="top" wrapText="1"/>
    </xf>
    <xf numFmtId="49" fontId="29" fillId="14" borderId="36">
      <alignment horizontal="left" vertical="center"/>
    </xf>
    <xf numFmtId="0" fontId="9" fillId="0" borderId="16" applyFill="0">
      <alignment horizontal="left" vertical="top" wrapText="1" indent="1"/>
    </xf>
    <xf numFmtId="0" fontId="13" fillId="12" borderId="0" applyBorder="0">
      <alignment horizontal="center" vertical="center" wrapText="1"/>
    </xf>
    <xf numFmtId="0" fontId="5" fillId="12" borderId="12">
      <alignment horizontal="right" vertical="center" wrapText="1" indent="1"/>
    </xf>
    <xf numFmtId="168" fontId="9" fillId="10" borderId="14">
      <alignment horizontal="left" vertical="center" wrapText="1" indent="1"/>
    </xf>
    <xf numFmtId="0" fontId="9" fillId="10" borderId="14">
      <alignment horizontal="left" vertical="center" wrapText="1" indent="1"/>
    </xf>
    <xf numFmtId="0" fontId="9" fillId="12" borderId="23">
      <alignment horizontal="center" vertical="center" wrapText="1"/>
    </xf>
    <xf numFmtId="0" fontId="9" fillId="12" borderId="16">
      <alignment horizontal="center" vertical="center" wrapText="1"/>
    </xf>
    <xf numFmtId="0" fontId="9" fillId="12" borderId="11">
      <alignment horizontal="center" vertical="center" wrapText="1"/>
    </xf>
    <xf numFmtId="0" fontId="9" fillId="12" borderId="21">
      <alignment horizontal="center" vertical="center" wrapText="1"/>
    </xf>
    <xf numFmtId="49" fontId="28" fillId="12" borderId="17">
      <alignment horizontal="center" vertical="center" wrapText="1"/>
    </xf>
    <xf numFmtId="49" fontId="5" fillId="12" borderId="23">
      <alignment horizontal="center" vertical="center" wrapText="1"/>
    </xf>
    <xf numFmtId="0" fontId="5" fillId="0" borderId="23" applyFill="0">
      <alignment horizontal="left" vertical="center" wrapText="1"/>
    </xf>
    <xf numFmtId="0" fontId="51" fillId="12" borderId="0" applyBorder="0">
      <alignment horizontal="center" vertical="top" wrapText="1"/>
    </xf>
    <xf numFmtId="0" fontId="5" fillId="10" borderId="12">
      <alignment horizontal="left" vertical="center" wrapText="1" indent="1"/>
    </xf>
    <xf numFmtId="49" fontId="29" fillId="14" borderId="36">
      <alignment horizontal="left" vertical="center" indent="2"/>
    </xf>
    <xf numFmtId="0" fontId="51" fillId="12" borderId="20">
      <alignment horizontal="center" vertical="top" wrapText="1"/>
    </xf>
    <xf numFmtId="49" fontId="5" fillId="12" borderId="21">
      <alignment horizontal="center" vertical="center" wrapText="1"/>
    </xf>
    <xf numFmtId="0" fontId="5" fillId="10" borderId="21">
      <alignment horizontal="left" vertical="center" wrapText="1" indent="1"/>
    </xf>
    <xf numFmtId="0" fontId="9" fillId="0" borderId="14" applyFill="0">
      <alignment vertical="top" wrapText="1"/>
    </xf>
    <xf numFmtId="49" fontId="5" fillId="12" borderId="12">
      <alignment horizontal="center" vertical="center" wrapText="1"/>
    </xf>
    <xf numFmtId="49" fontId="18" fillId="8" borderId="14">
      <alignment horizontal="left" vertical="center" wrapText="1"/>
      <protection locked="0"/>
    </xf>
    <xf numFmtId="49" fontId="9" fillId="0" borderId="17" applyFill="0">
      <alignment vertical="top"/>
    </xf>
    <xf numFmtId="49" fontId="9" fillId="0" borderId="0" applyFill="0" applyBorder="0">
      <alignment vertical="top" wrapText="1"/>
    </xf>
    <xf numFmtId="0" fontId="19" fillId="0" borderId="14" applyFill="0">
      <alignment horizontal="center" vertical="center"/>
    </xf>
    <xf numFmtId="49" fontId="9" fillId="0" borderId="20" applyFill="0">
      <alignment vertical="top"/>
    </xf>
    <xf numFmtId="0" fontId="9" fillId="12" borderId="14">
      <alignment horizontal="left" vertical="center" wrapText="1"/>
    </xf>
    <xf numFmtId="0" fontId="9" fillId="0" borderId="14" applyFill="0">
      <alignment horizontal="left" vertical="center" wrapText="1" indent="6"/>
    </xf>
    <xf numFmtId="0" fontId="9" fillId="10" borderId="12">
      <alignment horizontal="left" vertical="center" wrapText="1"/>
    </xf>
    <xf numFmtId="0" fontId="9" fillId="10" borderId="16">
      <alignment horizontal="left" vertical="center" wrapText="1"/>
    </xf>
    <xf numFmtId="0" fontId="9" fillId="10" borderId="11">
      <alignment horizontal="left" vertical="center" wrapText="1"/>
    </xf>
    <xf numFmtId="0" fontId="30" fillId="0" borderId="14" applyFill="0">
      <alignment vertical="top" wrapText="1"/>
    </xf>
    <xf numFmtId="0" fontId="19" fillId="0" borderId="12" applyFill="0">
      <alignment horizontal="center" vertical="center"/>
    </xf>
    <xf numFmtId="0" fontId="27" fillId="12" borderId="0" applyBorder="0">
      <alignment horizontal="center" vertical="center" wrapText="1"/>
    </xf>
    <xf numFmtId="0" fontId="9" fillId="0" borderId="20" applyFill="0">
      <alignment vertical="center" wrapText="1"/>
    </xf>
    <xf numFmtId="0" fontId="9" fillId="12" borderId="14">
      <alignment horizontal="left" vertical="center" wrapText="1" indent="1"/>
    </xf>
    <xf numFmtId="0" fontId="9" fillId="12" borderId="14">
      <alignment horizontal="left" vertical="center" wrapText="1" indent="2"/>
    </xf>
    <xf numFmtId="0" fontId="9" fillId="12" borderId="14">
      <alignment horizontal="left" vertical="center" wrapText="1" indent="3"/>
    </xf>
    <xf numFmtId="0" fontId="19" fillId="0" borderId="0" applyFill="0" applyBorder="0">
      <alignment horizontal="center" vertical="center"/>
    </xf>
    <xf numFmtId="0" fontId="25" fillId="0" borderId="20" applyFill="0">
      <alignment horizontal="center" vertical="center" wrapText="1"/>
    </xf>
    <xf numFmtId="0" fontId="9" fillId="12" borderId="14">
      <alignment horizontal="left" vertical="center" wrapText="1" indent="4"/>
    </xf>
    <xf numFmtId="0" fontId="9" fillId="13" borderId="16">
      <alignment horizontal="left" vertical="center" wrapText="1"/>
    </xf>
    <xf numFmtId="0" fontId="9" fillId="13" borderId="11">
      <alignment horizontal="left" vertical="center" wrapText="1"/>
    </xf>
    <xf numFmtId="0" fontId="19" fillId="0" borderId="12" applyFill="0">
      <alignment horizontal="center" vertical="center" wrapText="1"/>
    </xf>
    <xf numFmtId="0" fontId="25" fillId="0" borderId="20" applyFill="0">
      <alignment vertical="center" wrapText="1"/>
    </xf>
    <xf numFmtId="0" fontId="9" fillId="12" borderId="14">
      <alignment horizontal="left" vertical="center" wrapText="1" indent="5"/>
    </xf>
    <xf numFmtId="0" fontId="9" fillId="13" borderId="14">
      <alignment horizontal="left" vertical="center" wrapText="1" indent="6"/>
    </xf>
    <xf numFmtId="4" fontId="9" fillId="8" borderId="14">
      <alignment horizontal="right" vertical="center" wrapText="1"/>
      <protection locked="0"/>
    </xf>
    <xf numFmtId="4" fontId="9" fillId="0" borderId="14" applyFill="0">
      <alignment horizontal="right" vertical="center" wrapText="1"/>
    </xf>
    <xf numFmtId="170" fontId="9" fillId="8" borderId="14">
      <alignment horizontal="right" vertical="center" wrapText="1"/>
      <protection locked="0"/>
    </xf>
    <xf numFmtId="0" fontId="30" fillId="0" borderId="23" applyFill="0">
      <alignment horizontal="left" vertical="top" wrapText="1"/>
    </xf>
    <xf numFmtId="4" fontId="25" fillId="0" borderId="14" applyFill="0">
      <alignment horizontal="center" vertical="center" wrapText="1"/>
    </xf>
    <xf numFmtId="0" fontId="30" fillId="0" borderId="33" applyFill="0">
      <alignment horizontal="left" vertical="top" wrapText="1"/>
    </xf>
    <xf numFmtId="49" fontId="38" fillId="14" borderId="12">
      <alignment horizontal="left" vertical="center"/>
    </xf>
    <xf numFmtId="49" fontId="29" fillId="14" borderId="16">
      <alignment horizontal="left" vertical="center" indent="6"/>
    </xf>
    <xf numFmtId="49" fontId="9" fillId="14" borderId="11">
      <alignment horizontal="center" vertical="center" wrapText="1"/>
    </xf>
    <xf numFmtId="0" fontId="30" fillId="0" borderId="21" applyFill="0">
      <alignment horizontal="left" vertical="top" wrapText="1"/>
    </xf>
    <xf numFmtId="49" fontId="29" fillId="14" borderId="16">
      <alignment horizontal="left" vertical="center" indent="5"/>
    </xf>
    <xf numFmtId="49" fontId="5" fillId="14" borderId="16">
      <alignment horizontal="center" vertical="center" wrapText="1"/>
    </xf>
    <xf numFmtId="49" fontId="5" fillId="14" borderId="11">
      <alignment horizontal="center" vertical="center" wrapText="1"/>
    </xf>
    <xf numFmtId="49" fontId="29" fillId="14" borderId="16">
      <alignment horizontal="left" vertical="center" indent="4"/>
    </xf>
    <xf numFmtId="49" fontId="61" fillId="0" borderId="17" applyFill="0">
      <alignment horizontal="left" vertical="center"/>
    </xf>
    <xf numFmtId="49" fontId="25" fillId="0" borderId="17" applyFill="0">
      <alignment horizontal="left" vertical="center" indent="3"/>
    </xf>
    <xf numFmtId="49" fontId="25" fillId="0" borderId="17" applyFill="0">
      <alignment horizontal="center" vertical="center" wrapText="1"/>
    </xf>
    <xf numFmtId="49" fontId="25" fillId="0" borderId="0" applyFill="0" applyBorder="0">
      <alignment horizontal="left" vertical="center" indent="2"/>
    </xf>
    <xf numFmtId="49" fontId="25" fillId="0" borderId="0" applyFill="0" applyBorder="0">
      <alignment horizontal="left" vertical="center" indent="1"/>
    </xf>
    <xf numFmtId="170" fontId="19" fillId="0" borderId="14" applyFill="0">
      <alignment horizontal="right" vertical="center" wrapText="1"/>
    </xf>
    <xf numFmtId="168" fontId="19" fillId="0" borderId="14" applyFill="0">
      <alignment horizontal="center" vertical="center" wrapText="1"/>
    </xf>
    <xf numFmtId="49" fontId="19" fillId="0" borderId="14" applyFill="0">
      <alignment vertical="center" wrapText="1"/>
    </xf>
    <xf numFmtId="0" fontId="9" fillId="12" borderId="0" applyBorder="0">
      <alignment horizontal="left" vertical="center" wrapText="1"/>
    </xf>
    <xf numFmtId="0" fontId="5" fillId="12" borderId="14">
      <alignment horizontal="right" vertical="center" wrapText="1" indent="1"/>
    </xf>
    <xf numFmtId="0" fontId="5" fillId="0" borderId="16" applyFill="0">
      <alignment vertical="center"/>
    </xf>
    <xf numFmtId="0" fontId="9" fillId="12" borderId="36">
      <alignment vertical="center" wrapText="1"/>
    </xf>
    <xf numFmtId="0" fontId="31" fillId="0" borderId="36" applyFill="0">
      <alignment horizontal="center" vertical="center" wrapText="1"/>
    </xf>
    <xf numFmtId="0" fontId="5" fillId="12" borderId="12">
      <alignment horizontal="center" vertical="center" wrapText="1"/>
    </xf>
    <xf numFmtId="0" fontId="5" fillId="12" borderId="16">
      <alignment horizontal="center" vertical="center" wrapText="1"/>
    </xf>
    <xf numFmtId="0" fontId="5" fillId="12" borderId="11">
      <alignment horizontal="center" vertical="center" wrapText="1"/>
    </xf>
    <xf numFmtId="49" fontId="29" fillId="14" borderId="23">
      <alignment horizontal="center" vertical="center" textRotation="90" wrapText="1"/>
    </xf>
    <xf numFmtId="0" fontId="19" fillId="0" borderId="23" applyFill="0">
      <alignment horizontal="center" vertical="center" wrapText="1"/>
    </xf>
    <xf numFmtId="0" fontId="9" fillId="12" borderId="33">
      <alignment horizontal="center" vertical="center" wrapText="1"/>
    </xf>
    <xf numFmtId="49" fontId="29" fillId="14" borderId="33">
      <alignment horizontal="center" vertical="center" textRotation="90" wrapText="1"/>
    </xf>
    <xf numFmtId="0" fontId="9" fillId="0" borderId="21" applyFill="0">
      <alignment vertical="center" wrapText="1"/>
    </xf>
    <xf numFmtId="49" fontId="29" fillId="14" borderId="21">
      <alignment horizontal="center" vertical="center" textRotation="90" wrapText="1"/>
    </xf>
    <xf numFmtId="0" fontId="62" fillId="12" borderId="0" applyBorder="0">
      <alignment vertical="center" wrapText="1"/>
    </xf>
    <xf numFmtId="0" fontId="63" fillId="12" borderId="0" applyBorder="0">
      <alignment vertical="center" wrapText="1"/>
    </xf>
    <xf numFmtId="49" fontId="46" fillId="12" borderId="17">
      <alignment horizontal="left" vertical="center" wrapText="1"/>
    </xf>
    <xf numFmtId="49" fontId="46" fillId="12" borderId="17">
      <alignment horizontal="center" vertical="center" wrapText="1"/>
    </xf>
    <xf numFmtId="0" fontId="25" fillId="12" borderId="17">
      <alignment horizontal="center" vertical="center" wrapText="1"/>
    </xf>
    <xf numFmtId="0" fontId="46" fillId="12" borderId="17">
      <alignment horizontal="center" vertical="center" wrapText="1"/>
    </xf>
    <xf numFmtId="0" fontId="19" fillId="0" borderId="0" applyFill="0" applyBorder="0">
      <alignment horizontal="left" vertical="center" indent="1"/>
    </xf>
    <xf numFmtId="168" fontId="5" fillId="11" borderId="23">
      <alignment horizontal="center" vertical="center" wrapText="1"/>
      <protection locked="0"/>
    </xf>
    <xf numFmtId="4" fontId="9" fillId="0" borderId="23" applyFill="0">
      <alignment horizontal="right" vertical="center" wrapText="1"/>
    </xf>
    <xf numFmtId="49" fontId="5" fillId="11" borderId="21">
      <alignment horizontal="center" vertical="center" wrapText="1"/>
      <protection locked="0"/>
    </xf>
    <xf numFmtId="4" fontId="9" fillId="0" borderId="21" applyFill="0">
      <alignment horizontal="right" vertical="center" wrapText="1"/>
    </xf>
    <xf numFmtId="170" fontId="9" fillId="0" borderId="14" applyFill="0">
      <alignment horizontal="right" vertical="center" wrapText="1"/>
    </xf>
    <xf numFmtId="0" fontId="5" fillId="12" borderId="17">
      <alignment horizontal="center" vertical="center" wrapText="1"/>
    </xf>
    <xf numFmtId="0" fontId="25" fillId="0" borderId="23" applyFill="0">
      <alignment horizontal="center" vertical="center" wrapText="1"/>
    </xf>
    <xf numFmtId="0" fontId="25" fillId="0" borderId="14" applyFill="0">
      <alignment horizontal="left" vertical="center" wrapText="1" indent="4"/>
    </xf>
    <xf numFmtId="0" fontId="25" fillId="0" borderId="14" applyFill="0">
      <alignment horizontal="left" vertical="center" wrapText="1" indent="6"/>
    </xf>
    <xf numFmtId="0" fontId="25" fillId="0" borderId="12" applyFill="0">
      <alignment horizontal="left" vertical="center" wrapText="1"/>
    </xf>
    <xf numFmtId="0" fontId="25" fillId="0" borderId="16" applyFill="0">
      <alignment horizontal="left" vertical="center" wrapText="1"/>
    </xf>
    <xf numFmtId="0" fontId="25" fillId="0" borderId="11" applyFill="0">
      <alignment horizontal="left" vertical="center" wrapText="1"/>
    </xf>
    <xf numFmtId="0" fontId="25" fillId="0" borderId="14" applyFill="0">
      <alignment vertical="top" wrapText="1"/>
    </xf>
    <xf numFmtId="49" fontId="61" fillId="0" borderId="12" applyFill="0">
      <alignment horizontal="left" vertical="center"/>
    </xf>
    <xf numFmtId="49" fontId="25" fillId="0" borderId="16" applyFill="0">
      <alignment horizontal="left" vertical="center" indent="4"/>
    </xf>
    <xf numFmtId="49" fontId="25" fillId="0" borderId="16" applyFill="0">
      <alignment horizontal="center" vertical="center" wrapText="1"/>
    </xf>
    <xf numFmtId="49" fontId="25" fillId="0" borderId="11" applyFill="0">
      <alignment horizontal="center" vertical="center" wrapText="1"/>
    </xf>
    <xf numFmtId="0" fontId="25" fillId="0" borderId="0" applyFill="0" applyBorder="0">
      <alignment horizontal="center" vertical="center"/>
    </xf>
    <xf numFmtId="0" fontId="9" fillId="12" borderId="23">
      <alignment horizontal="left" vertical="center" wrapText="1"/>
    </xf>
    <xf numFmtId="0" fontId="9" fillId="12" borderId="23">
      <alignment horizontal="left" vertical="center" wrapText="1" indent="2"/>
    </xf>
    <xf numFmtId="0" fontId="9" fillId="0" borderId="23" applyFill="0">
      <alignment horizontal="left" vertical="center" wrapText="1" indent="6"/>
    </xf>
    <xf numFmtId="0" fontId="9" fillId="10" borderId="24">
      <alignment horizontal="left" vertical="center" wrapText="1"/>
    </xf>
    <xf numFmtId="0" fontId="9" fillId="10" borderId="17">
      <alignment horizontal="left" vertical="center" wrapText="1"/>
    </xf>
    <xf numFmtId="0" fontId="9" fillId="10" borderId="18">
      <alignment horizontal="left" vertical="center" wrapText="1"/>
    </xf>
    <xf numFmtId="0" fontId="9" fillId="10" borderId="14">
      <alignment horizontal="left" vertical="center" wrapText="1"/>
    </xf>
    <xf numFmtId="0" fontId="30" fillId="0" borderId="11" applyFill="0">
      <alignment vertical="top" wrapText="1"/>
    </xf>
    <xf numFmtId="0" fontId="25" fillId="0" borderId="11" applyFill="0">
      <alignment vertical="top" wrapText="1"/>
    </xf>
    <xf numFmtId="0" fontId="9" fillId="12" borderId="21">
      <alignment horizontal="left" vertical="center" wrapText="1"/>
    </xf>
    <xf numFmtId="0" fontId="9" fillId="13" borderId="21">
      <alignment horizontal="left" vertical="center" wrapText="1" indent="6"/>
    </xf>
    <xf numFmtId="0" fontId="9" fillId="0" borderId="21" applyFill="0">
      <alignment horizontal="left" vertical="center" wrapText="1" indent="6"/>
    </xf>
    <xf numFmtId="4" fontId="9" fillId="8" borderId="21">
      <alignment horizontal="right" vertical="center" wrapText="1"/>
      <protection locked="0"/>
    </xf>
    <xf numFmtId="170" fontId="9" fillId="8" borderId="21">
      <alignment horizontal="right" vertical="center" wrapText="1"/>
      <protection locked="0"/>
    </xf>
    <xf numFmtId="168" fontId="5" fillId="11" borderId="21">
      <alignment horizontal="center" vertical="center" wrapText="1"/>
      <protection locked="0"/>
    </xf>
    <xf numFmtId="0" fontId="9" fillId="0" borderId="14" applyFill="0">
      <alignment horizontal="center" vertical="center"/>
    </xf>
    <xf numFmtId="0" fontId="9" fillId="0" borderId="12" applyFill="0">
      <alignment horizontal="center" vertical="center"/>
    </xf>
    <xf numFmtId="0" fontId="9" fillId="0" borderId="0" applyFill="0" applyBorder="0">
      <alignment horizontal="center" vertical="center"/>
    </xf>
    <xf numFmtId="0" fontId="9" fillId="13" borderId="18">
      <alignment horizontal="left" vertical="center" wrapText="1"/>
    </xf>
    <xf numFmtId="170" fontId="9" fillId="8" borderId="12">
      <alignment horizontal="right" vertical="center" wrapText="1"/>
      <protection locked="0"/>
    </xf>
    <xf numFmtId="4" fontId="9" fillId="8" borderId="11">
      <alignment horizontal="right" vertical="center" wrapText="1"/>
      <protection locked="0"/>
    </xf>
    <xf numFmtId="0" fontId="30" fillId="0" borderId="23" applyFill="0">
      <alignment vertical="top" wrapText="1"/>
    </xf>
    <xf numFmtId="0" fontId="9" fillId="8" borderId="14">
      <alignment horizontal="left" vertical="center" wrapText="1" indent="7"/>
      <protection locked="0"/>
    </xf>
    <xf numFmtId="4" fontId="25" fillId="0" borderId="12" applyFill="0">
      <alignment horizontal="center" vertical="center" wrapText="1"/>
    </xf>
    <xf numFmtId="4" fontId="9" fillId="0" borderId="11" applyFill="0">
      <alignment horizontal="right" vertical="center" wrapText="1"/>
    </xf>
    <xf numFmtId="0" fontId="9" fillId="14" borderId="16">
      <alignment horizontal="left" vertical="center" wrapText="1" indent="6"/>
    </xf>
    <xf numFmtId="4" fontId="9" fillId="14" borderId="16">
      <alignment horizontal="right" vertical="center" wrapText="1"/>
    </xf>
    <xf numFmtId="4" fontId="25" fillId="14" borderId="16">
      <alignment horizontal="center" vertical="center" wrapText="1"/>
    </xf>
    <xf numFmtId="4" fontId="9" fillId="14" borderId="11">
      <alignment horizontal="right" vertical="center" wrapText="1"/>
    </xf>
    <xf numFmtId="49" fontId="9" fillId="14" borderId="36">
      <alignment horizontal="center" vertical="center" wrapText="1"/>
    </xf>
    <xf numFmtId="49" fontId="9" fillId="0" borderId="14" applyFill="0">
      <alignment vertical="center" wrapText="1"/>
    </xf>
    <xf numFmtId="0" fontId="9" fillId="0" borderId="17" applyFill="0">
      <alignment horizontal="center" vertical="center" wrapText="1"/>
    </xf>
    <xf numFmtId="0" fontId="9" fillId="0" borderId="36" applyFill="0">
      <alignment horizontal="center" vertical="center" wrapText="1"/>
    </xf>
    <xf numFmtId="0" fontId="36" fillId="0" borderId="0" applyFill="0" applyBorder="0">
      <alignment horizontal="left" vertical="center" indent="1"/>
    </xf>
    <xf numFmtId="0" fontId="36" fillId="0" borderId="0" applyFill="0" applyBorder="0">
      <alignment horizontal="center" vertical="center"/>
    </xf>
    <xf numFmtId="0" fontId="26" fillId="12" borderId="0" applyBorder="0">
      <alignment horizontal="center" vertical="center" wrapText="1"/>
    </xf>
    <xf numFmtId="0" fontId="25" fillId="0" borderId="14" applyFill="0">
      <alignment horizontal="left" vertical="center" wrapText="1" indent="5"/>
    </xf>
    <xf numFmtId="0" fontId="25" fillId="0" borderId="20" applyFill="0">
      <alignment horizontal="center" vertical="top" wrapText="1"/>
    </xf>
    <xf numFmtId="49" fontId="9" fillId="11" borderId="23">
      <alignment horizontal="left" vertical="center" wrapText="1" indent="6"/>
      <protection locked="0"/>
    </xf>
    <xf numFmtId="0" fontId="31" fillId="0" borderId="14" applyFill="0">
      <alignment horizontal="center" vertical="center" wrapText="1"/>
    </xf>
    <xf numFmtId="0" fontId="9" fillId="0" borderId="14" applyFill="0">
      <alignment horizontal="left" vertical="center" wrapText="1" indent="4"/>
    </xf>
    <xf numFmtId="0" fontId="9" fillId="12" borderId="33">
      <alignment horizontal="left" vertical="center" wrapText="1"/>
    </xf>
    <xf numFmtId="49" fontId="9" fillId="11" borderId="33">
      <alignment horizontal="left" vertical="center" wrapText="1" indent="6"/>
      <protection locked="0"/>
    </xf>
    <xf numFmtId="170" fontId="9" fillId="14" borderId="11">
      <alignment horizontal="right" vertical="center" wrapText="1"/>
    </xf>
    <xf numFmtId="170" fontId="9" fillId="14" borderId="16">
      <alignment horizontal="right" vertical="center" wrapText="1"/>
    </xf>
    <xf numFmtId="4" fontId="9" fillId="0" borderId="33" applyFill="0">
      <alignment horizontal="right" vertical="center" wrapText="1"/>
    </xf>
    <xf numFmtId="49" fontId="29" fillId="14" borderId="12">
      <alignment horizontal="left" vertical="center" indent="1"/>
    </xf>
    <xf numFmtId="49" fontId="9" fillId="11" borderId="21">
      <alignment horizontal="left" vertical="center" wrapText="1" indent="6"/>
      <protection locked="0"/>
    </xf>
    <xf numFmtId="4" fontId="25" fillId="14" borderId="11">
      <alignment horizontal="center" vertical="center" wrapText="1"/>
    </xf>
    <xf numFmtId="49" fontId="29" fillId="14" borderId="12">
      <alignment vertical="center" wrapText="1"/>
    </xf>
    <xf numFmtId="49" fontId="29" fillId="14" borderId="16">
      <alignment vertical="center" wrapText="1"/>
    </xf>
    <xf numFmtId="49" fontId="25" fillId="0" borderId="20" applyFill="0">
      <alignment vertical="top"/>
    </xf>
    <xf numFmtId="49" fontId="25" fillId="0" borderId="0" applyFill="0" applyBorder="0">
      <alignment horizontal="center" vertical="center" wrapText="1"/>
    </xf>
    <xf numFmtId="0" fontId="25" fillId="0" borderId="20" applyFill="0">
      <alignment horizontal="left" vertical="center" wrapText="1" indent="1"/>
    </xf>
    <xf numFmtId="170" fontId="25" fillId="0" borderId="14" applyFill="0">
      <alignment horizontal="right" vertical="center" wrapText="1"/>
    </xf>
    <xf numFmtId="168" fontId="25" fillId="0" borderId="14" applyFill="0">
      <alignment horizontal="center" vertical="center" wrapText="1"/>
    </xf>
    <xf numFmtId="0" fontId="19" fillId="0" borderId="0" applyFill="0" applyBorder="0">
      <alignment horizontal="left" vertical="center"/>
    </xf>
    <xf numFmtId="0" fontId="64" fillId="12" borderId="0" applyBorder="0">
      <alignment vertical="center" wrapText="1"/>
    </xf>
    <xf numFmtId="0" fontId="9" fillId="12" borderId="24">
      <alignment horizontal="center" vertical="center" wrapText="1"/>
    </xf>
    <xf numFmtId="0" fontId="5" fillId="12" borderId="24">
      <alignment horizontal="center" vertical="center" wrapText="1"/>
    </xf>
    <xf numFmtId="0" fontId="5" fillId="12" borderId="18">
      <alignment horizontal="center" vertical="center" wrapText="1"/>
    </xf>
    <xf numFmtId="0" fontId="9" fillId="12" borderId="19">
      <alignment horizontal="center" vertical="center" wrapText="1"/>
    </xf>
    <xf numFmtId="0" fontId="5" fillId="12" borderId="19">
      <alignment horizontal="center" vertical="center" wrapText="1"/>
    </xf>
    <xf numFmtId="0" fontId="5" fillId="12" borderId="0" applyBorder="0">
      <alignment horizontal="center" vertical="center" wrapText="1"/>
    </xf>
    <xf numFmtId="0" fontId="5" fillId="12" borderId="20">
      <alignment horizontal="center" vertical="center" wrapText="1"/>
    </xf>
    <xf numFmtId="0" fontId="9" fillId="10" borderId="14">
      <alignment horizontal="center" vertical="center" wrapText="1"/>
    </xf>
    <xf numFmtId="0" fontId="9" fillId="11" borderId="14">
      <alignment horizontal="center" vertical="center" wrapText="1"/>
      <protection locked="0"/>
    </xf>
    <xf numFmtId="0" fontId="9" fillId="12" borderId="26">
      <alignment horizontal="center" vertical="center" wrapText="1"/>
    </xf>
    <xf numFmtId="0" fontId="5" fillId="12" borderId="26">
      <alignment horizontal="center" vertical="center" wrapText="1"/>
    </xf>
    <xf numFmtId="0" fontId="5" fillId="12" borderId="36">
      <alignment horizontal="center" vertical="center" wrapText="1"/>
    </xf>
    <xf numFmtId="0" fontId="5" fillId="12" borderId="25">
      <alignment horizontal="center" vertical="center" wrapText="1"/>
    </xf>
    <xf numFmtId="0" fontId="9" fillId="0" borderId="14" applyFill="0">
      <alignment horizontal="left" vertical="center" wrapText="1" indent="1"/>
    </xf>
    <xf numFmtId="49" fontId="9" fillId="14" borderId="12">
      <alignment horizontal="center" vertical="center" wrapText="1"/>
    </xf>
    <xf numFmtId="49" fontId="36" fillId="0" borderId="20" applyFill="0">
      <alignment vertical="top"/>
    </xf>
    <xf numFmtId="0" fontId="64" fillId="0" borderId="0" applyFill="0" applyBorder="0">
      <alignment vertical="center" wrapText="1"/>
    </xf>
    <xf numFmtId="0" fontId="3" fillId="0" borderId="17" applyFill="0">
      <alignment horizontal="left" vertical="center" wrapText="1" indent="1"/>
    </xf>
    <xf numFmtId="0" fontId="3" fillId="0" borderId="36" applyFill="0">
      <alignment horizontal="left" vertical="center" wrapText="1" indent="1"/>
    </xf>
    <xf numFmtId="4" fontId="9" fillId="10" borderId="14">
      <alignment horizontal="left" vertical="center" wrapText="1"/>
    </xf>
    <xf numFmtId="49" fontId="65" fillId="14" borderId="12">
      <alignment horizontal="left" vertical="center"/>
    </xf>
    <xf numFmtId="49" fontId="66" fillId="14" borderId="16">
      <alignment horizontal="left" vertical="center" indent="3"/>
    </xf>
    <xf numFmtId="49" fontId="36" fillId="14" borderId="16">
      <alignment horizontal="center" vertical="center" wrapText="1"/>
    </xf>
    <xf numFmtId="49" fontId="37" fillId="14" borderId="16">
      <alignment horizontal="center" vertical="center" wrapText="1"/>
    </xf>
    <xf numFmtId="49" fontId="37" fillId="14" borderId="11">
      <alignment horizontal="center" vertical="center" wrapText="1"/>
    </xf>
    <xf numFmtId="49" fontId="66" fillId="14" borderId="16">
      <alignment horizontal="left" vertical="center" indent="2"/>
    </xf>
    <xf numFmtId="49" fontId="66" fillId="14" borderId="16">
      <alignment horizontal="left" vertical="center" indent="1"/>
    </xf>
    <xf numFmtId="49" fontId="37" fillId="14" borderId="12">
      <alignment horizontal="left" vertical="top"/>
    </xf>
    <xf numFmtId="49" fontId="66" fillId="14" borderId="16">
      <alignment horizontal="left" vertical="center"/>
    </xf>
    <xf numFmtId="49" fontId="9" fillId="8" borderId="23">
      <alignment horizontal="left" vertical="center" wrapText="1" indent="6"/>
      <protection locked="0"/>
    </xf>
    <xf numFmtId="4" fontId="9" fillId="11" borderId="14">
      <alignment horizontal="left" vertical="center" wrapText="1" indent="1"/>
      <protection locked="0"/>
    </xf>
    <xf numFmtId="0" fontId="9" fillId="0" borderId="0" applyFill="0" applyBorder="0">
      <alignment horizontal="left" vertical="center"/>
    </xf>
    <xf numFmtId="0" fontId="9" fillId="11" borderId="11">
      <alignment horizontal="center" vertical="center" wrapText="1"/>
      <protection locked="0"/>
    </xf>
    <xf numFmtId="0" fontId="9" fillId="12" borderId="25">
      <alignment horizontal="center" vertical="center" wrapText="1"/>
    </xf>
    <xf numFmtId="49" fontId="67" fillId="0" borderId="0" applyFill="0" applyBorder="0">
      <alignment horizontal="center" vertical="center" wrapText="1"/>
    </xf>
    <xf numFmtId="0" fontId="5" fillId="0" borderId="14" applyFill="0">
      <alignment horizontal="left" vertical="center" wrapText="1" indent="2"/>
    </xf>
    <xf numFmtId="168" fontId="5" fillId="11" borderId="14">
      <alignment horizontal="left" vertical="center" wrapText="1"/>
      <protection locked="0"/>
    </xf>
    <xf numFmtId="49" fontId="29" fillId="14" borderId="16">
      <alignment horizontal="left" vertical="center" indent="3"/>
    </xf>
    <xf numFmtId="0" fontId="9" fillId="0" borderId="0" applyFill="0" applyBorder="0">
      <alignment horizontal="right" vertical="top" wrapText="1"/>
    </xf>
    <xf numFmtId="0" fontId="5" fillId="0" borderId="14" applyFill="0">
      <alignment horizontal="left" vertical="top" wrapText="1"/>
    </xf>
    <xf numFmtId="0" fontId="9" fillId="0" borderId="17" applyFill="0">
      <alignment vertical="center" wrapText="1"/>
    </xf>
    <xf numFmtId="49" fontId="29" fillId="0" borderId="17" applyFill="0">
      <alignment horizontal="left" vertical="center"/>
    </xf>
    <xf numFmtId="49" fontId="29" fillId="0" borderId="17" applyFill="0">
      <alignment horizontal="left" vertical="center" indent="2"/>
    </xf>
    <xf numFmtId="49" fontId="59" fillId="0" borderId="17" applyFill="0">
      <alignment horizontal="center" vertical="top"/>
    </xf>
    <xf numFmtId="0" fontId="9" fillId="0" borderId="17" applyFill="0">
      <alignment horizontal="left" vertical="top" wrapText="1"/>
    </xf>
    <xf numFmtId="0" fontId="9" fillId="0" borderId="12" applyFill="0">
      <alignment vertical="center" wrapText="1"/>
    </xf>
    <xf numFmtId="0" fontId="9" fillId="0" borderId="16" applyFill="0">
      <alignment horizontal="right" vertical="center" wrapText="1" indent="1"/>
    </xf>
    <xf numFmtId="0" fontId="9" fillId="0" borderId="11" applyFill="0">
      <alignment horizontal="right" vertical="center" wrapText="1" indent="1"/>
    </xf>
    <xf numFmtId="0" fontId="9" fillId="10" borderId="12">
      <alignment horizontal="left" vertical="top" wrapText="1" indent="1"/>
    </xf>
    <xf numFmtId="0" fontId="9" fillId="10" borderId="11">
      <alignment horizontal="left" vertical="top" wrapText="1" indent="1"/>
    </xf>
    <xf numFmtId="0" fontId="9" fillId="0" borderId="12" applyFill="0">
      <alignment horizontal="right" vertical="center" wrapText="1"/>
    </xf>
    <xf numFmtId="0" fontId="9" fillId="0" borderId="16" applyFill="0">
      <alignment horizontal="right" vertical="center" wrapText="1"/>
    </xf>
    <xf numFmtId="49" fontId="28" fillId="0" borderId="0" applyFill="0" applyBorder="0">
      <alignment horizontal="center" vertical="center" wrapText="1"/>
    </xf>
    <xf numFmtId="3" fontId="9" fillId="0" borderId="12" applyFill="0">
      <alignment vertical="center" wrapText="1"/>
    </xf>
    <xf numFmtId="3" fontId="9" fillId="8" borderId="12">
      <alignment horizontal="right" vertical="center" wrapText="1"/>
      <protection locked="0"/>
    </xf>
    <xf numFmtId="0" fontId="9" fillId="0" borderId="11" applyFill="0">
      <alignment vertical="center" wrapText="1"/>
    </xf>
    <xf numFmtId="4" fontId="9" fillId="8" borderId="12">
      <alignment horizontal="right" vertical="center" wrapText="1"/>
      <protection locked="0"/>
    </xf>
    <xf numFmtId="4" fontId="9" fillId="0" borderId="12" applyFill="0">
      <alignment horizontal="right" vertical="center" wrapText="1"/>
    </xf>
    <xf numFmtId="4" fontId="9" fillId="0" borderId="26" applyFill="0">
      <alignment horizontal="right" vertical="center" wrapText="1"/>
    </xf>
    <xf numFmtId="0" fontId="68" fillId="0" borderId="0" applyFill="0" applyBorder="0">
      <alignment vertical="center" wrapText="1"/>
    </xf>
    <xf numFmtId="3" fontId="9" fillId="11" borderId="12">
      <alignment vertical="center" wrapText="1"/>
      <protection locked="0"/>
    </xf>
    <xf numFmtId="49" fontId="9" fillId="8" borderId="12">
      <alignment horizontal="left" vertical="center" wrapText="1"/>
      <protection locked="0"/>
    </xf>
    <xf numFmtId="4" fontId="9" fillId="10" borderId="12">
      <alignment horizontal="right" vertical="center" wrapText="1"/>
    </xf>
    <xf numFmtId="0" fontId="19" fillId="0" borderId="14" applyFill="0">
      <alignment vertical="top" wrapText="1"/>
    </xf>
    <xf numFmtId="0" fontId="5" fillId="0" borderId="12" applyFill="0">
      <alignment horizontal="center" vertical="center"/>
    </xf>
    <xf numFmtId="168" fontId="5" fillId="8" borderId="14">
      <alignment horizontal="left" vertical="center" wrapText="1" indent="1"/>
      <protection locked="0"/>
    </xf>
    <xf numFmtId="49" fontId="5" fillId="0" borderId="12" applyFill="0">
      <alignment horizontal="center" vertical="center"/>
    </xf>
    <xf numFmtId="49" fontId="5" fillId="0" borderId="14" applyFill="0">
      <alignment vertical="center" wrapText="1"/>
    </xf>
    <xf numFmtId="0" fontId="19" fillId="14" borderId="11">
      <alignment vertical="center" wrapText="1"/>
    </xf>
    <xf numFmtId="0" fontId="9" fillId="14" borderId="17">
      <alignment vertical="center" wrapText="1"/>
    </xf>
    <xf numFmtId="0" fontId="9" fillId="14" borderId="36">
      <alignment vertical="center" wrapText="1"/>
    </xf>
    <xf numFmtId="0" fontId="9" fillId="8" borderId="12">
      <alignment horizontal="left" vertical="center" wrapText="1"/>
      <protection locked="0"/>
    </xf>
    <xf numFmtId="0" fontId="9" fillId="8" borderId="16">
      <alignment horizontal="left" vertical="center" wrapText="1"/>
      <protection locked="0"/>
    </xf>
    <xf numFmtId="0" fontId="9" fillId="8" borderId="11">
      <alignment horizontal="left" vertical="center" wrapText="1"/>
      <protection locked="0"/>
    </xf>
    <xf numFmtId="49" fontId="9" fillId="8" borderId="16">
      <alignment horizontal="left" vertical="center" wrapText="1"/>
      <protection locked="0"/>
    </xf>
    <xf numFmtId="49" fontId="9" fillId="8" borderId="11">
      <alignment horizontal="left" vertical="center" wrapText="1"/>
      <protection locked="0"/>
    </xf>
    <xf numFmtId="49" fontId="9" fillId="8" borderId="14">
      <alignment horizontal="left" vertical="center" wrapText="1" indent="6"/>
      <protection locked="0"/>
    </xf>
    <xf numFmtId="4" fontId="9" fillId="0" borderId="24" applyFill="0">
      <alignment horizontal="right" vertical="center" wrapText="1"/>
    </xf>
    <xf numFmtId="0" fontId="30" fillId="0" borderId="14" applyFill="0">
      <alignment horizontal="left" vertical="top" wrapText="1"/>
    </xf>
    <xf numFmtId="49" fontId="5" fillId="14" borderId="25">
      <alignment horizontal="center" vertical="center" wrapText="1"/>
    </xf>
    <xf numFmtId="0" fontId="69" fillId="12" borderId="0" applyBorder="0">
      <alignment horizontal="center" vertical="center" wrapText="1"/>
    </xf>
    <xf numFmtId="0" fontId="25" fillId="12" borderId="14">
      <alignment horizontal="left" vertical="center" wrapText="1" indent="3"/>
    </xf>
    <xf numFmtId="4" fontId="9" fillId="11" borderId="14">
      <alignment horizontal="center" vertical="center" wrapText="1"/>
      <protection locked="0"/>
    </xf>
    <xf numFmtId="49" fontId="9" fillId="13" borderId="18">
      <alignment horizontal="center" vertical="center" wrapText="1"/>
    </xf>
    <xf numFmtId="49" fontId="9" fillId="8" borderId="33">
      <alignment horizontal="left" vertical="center" wrapText="1" indent="6"/>
      <protection locked="0"/>
    </xf>
    <xf numFmtId="49" fontId="9" fillId="13" borderId="25">
      <alignment horizontal="center" vertical="center" wrapText="1"/>
    </xf>
    <xf numFmtId="49" fontId="9" fillId="8" borderId="21">
      <alignment horizontal="left" vertical="center" wrapText="1" indent="6"/>
      <protection locked="0"/>
    </xf>
    <xf numFmtId="0" fontId="25" fillId="0" borderId="17" applyFill="0">
      <alignment horizontal="left" vertical="center" wrapText="1"/>
    </xf>
    <xf numFmtId="0" fontId="9" fillId="0" borderId="57" applyFill="0">
      <alignment horizontal="center" vertical="center" wrapText="1"/>
    </xf>
    <xf numFmtId="0" fontId="9" fillId="11" borderId="14">
      <alignment horizontal="left" vertical="center" wrapText="1" indent="2"/>
      <protection locked="0"/>
    </xf>
    <xf numFmtId="0" fontId="25" fillId="0" borderId="57" applyFill="0">
      <alignment horizontal="center" vertical="center" wrapText="1"/>
    </xf>
    <xf numFmtId="0" fontId="25" fillId="0" borderId="14" applyFill="0">
      <alignment horizontal="left" vertical="center" wrapText="1" indent="2"/>
    </xf>
    <xf numFmtId="0" fontId="9" fillId="0" borderId="14" applyFill="0">
      <alignment horizontal="left" vertical="center" wrapText="1" indent="3"/>
    </xf>
    <xf numFmtId="49" fontId="9" fillId="11" borderId="14">
      <alignment horizontal="center" vertical="center" wrapText="1"/>
      <protection locked="0"/>
    </xf>
    <xf numFmtId="0" fontId="9" fillId="8" borderId="14">
      <alignment horizontal="left" vertical="center" wrapText="1"/>
      <protection locked="0"/>
    </xf>
    <xf numFmtId="0" fontId="9" fillId="0" borderId="11" applyFill="0">
      <alignment vertical="top" wrapText="1"/>
    </xf>
    <xf numFmtId="171" fontId="9" fillId="8" borderId="14">
      <alignment horizontal="right" vertical="center" wrapText="1"/>
      <protection locked="0"/>
    </xf>
    <xf numFmtId="0" fontId="9" fillId="0" borderId="18" applyFill="0">
      <alignment vertical="center" wrapText="1"/>
    </xf>
    <xf numFmtId="0" fontId="61" fillId="12" borderId="0" applyBorder="0">
      <alignment horizontal="right" vertical="center"/>
    </xf>
    <xf numFmtId="0" fontId="9" fillId="10" borderId="12">
      <alignment horizontal="left" vertical="top" wrapText="1"/>
    </xf>
    <xf numFmtId="4" fontId="9" fillId="11" borderId="14">
      <alignment horizontal="right" vertical="center" wrapText="1"/>
      <protection locked="0"/>
    </xf>
    <xf numFmtId="49" fontId="15" fillId="7" borderId="0" applyBorder="0">
      <alignment horizontal="center" vertical="center" textRotation="90" wrapText="1"/>
    </xf>
    <xf numFmtId="0" fontId="36" fillId="0" borderId="0" applyFill="0" applyBorder="0">
      <alignment horizontal="center" vertical="center" wrapText="1"/>
    </xf>
    <xf numFmtId="49" fontId="36" fillId="0" borderId="57" applyFill="0">
      <alignment horizontal="center" vertical="center" wrapText="1"/>
    </xf>
    <xf numFmtId="0" fontId="36" fillId="0" borderId="14" applyFill="0">
      <alignment horizontal="left" vertical="center" wrapText="1" indent="2"/>
    </xf>
    <xf numFmtId="0" fontId="36" fillId="0" borderId="14" applyFill="0">
      <alignment horizontal="center" vertical="center" wrapText="1"/>
    </xf>
    <xf numFmtId="0" fontId="36" fillId="0" borderId="14" applyFill="0">
      <alignment vertical="center" wrapText="1"/>
    </xf>
    <xf numFmtId="0" fontId="36" fillId="0" borderId="57" applyFill="0">
      <alignment horizontal="center" vertical="center" wrapText="1"/>
    </xf>
    <xf numFmtId="0" fontId="36" fillId="0" borderId="14" applyFill="0">
      <alignment horizontal="left" vertical="center" wrapText="1" indent="3"/>
    </xf>
    <xf numFmtId="4" fontId="36" fillId="0" borderId="14" applyFill="0">
      <alignment horizontal="right" vertical="center" wrapText="1"/>
    </xf>
    <xf numFmtId="49" fontId="9" fillId="14" borderId="12">
      <alignment vertical="center" wrapText="1"/>
    </xf>
    <xf numFmtId="0" fontId="9" fillId="0" borderId="14" applyFill="0">
      <alignment horizontal="left" vertical="center" wrapText="1" indent="2"/>
    </xf>
    <xf numFmtId="49" fontId="15" fillId="7" borderId="0" applyBorder="0">
      <alignment horizontal="center" vertical="center" wrapText="1"/>
    </xf>
    <xf numFmtId="171" fontId="9" fillId="11" borderId="14">
      <alignment horizontal="right" vertical="center" wrapText="1"/>
      <protection locked="0"/>
    </xf>
    <xf numFmtId="0" fontId="19" fillId="0" borderId="0" applyFill="0" applyBorder="0">
      <alignment horizontal="left" vertical="center" wrapText="1"/>
    </xf>
    <xf numFmtId="4" fontId="9" fillId="10" borderId="23">
      <alignment horizontal="right" vertical="center" wrapText="1"/>
    </xf>
    <xf numFmtId="0" fontId="25" fillId="0" borderId="14" applyFill="0">
      <alignment horizontal="left" vertical="center" wrapText="1" indent="3"/>
    </xf>
    <xf numFmtId="49" fontId="25" fillId="0" borderId="14" applyFill="0">
      <alignment vertical="center" wrapText="1"/>
    </xf>
    <xf numFmtId="0" fontId="25" fillId="0" borderId="23" applyFill="0">
      <alignment vertical="top" wrapText="1"/>
    </xf>
    <xf numFmtId="0" fontId="9" fillId="0" borderId="12" applyFill="0">
      <alignment horizontal="left" vertical="center" wrapText="1" indent="2"/>
    </xf>
    <xf numFmtId="4" fontId="9" fillId="11" borderId="11">
      <alignment horizontal="right" vertical="center" wrapText="1"/>
      <protection locked="0"/>
    </xf>
    <xf numFmtId="0" fontId="9" fillId="0" borderId="12" applyFill="0">
      <alignment horizontal="left" vertical="center" wrapText="1" indent="1"/>
    </xf>
    <xf numFmtId="49" fontId="18" fillId="8" borderId="11">
      <alignment horizontal="left" vertical="center" wrapText="1"/>
      <protection locked="0"/>
    </xf>
    <xf numFmtId="171" fontId="9" fillId="11" borderId="11">
      <alignment horizontal="right" vertical="center" wrapText="1"/>
      <protection locked="0"/>
    </xf>
    <xf numFmtId="171" fontId="9" fillId="10" borderId="11">
      <alignment horizontal="right" vertical="center" wrapText="1"/>
    </xf>
    <xf numFmtId="171" fontId="9" fillId="10" borderId="14">
      <alignment horizontal="right" vertical="center" wrapText="1"/>
    </xf>
    <xf numFmtId="4" fontId="9" fillId="11" borderId="25">
      <alignment horizontal="right" vertical="center" wrapText="1"/>
      <protection locked="0"/>
    </xf>
    <xf numFmtId="4" fontId="9" fillId="11" borderId="21">
      <alignment horizontal="right" vertical="center" wrapText="1"/>
      <protection locked="0"/>
    </xf>
    <xf numFmtId="0" fontId="25" fillId="0" borderId="33" applyFill="0">
      <alignment horizontal="left" vertical="center" wrapText="1" indent="1"/>
    </xf>
    <xf numFmtId="0" fontId="25" fillId="0" borderId="33" applyFill="0">
      <alignment horizontal="center" vertical="center" wrapText="1"/>
    </xf>
    <xf numFmtId="0" fontId="25" fillId="0" borderId="23" applyFill="0">
      <alignment vertical="center" wrapText="1"/>
    </xf>
    <xf numFmtId="49" fontId="9" fillId="14" borderId="24">
      <alignment vertical="center" wrapText="1"/>
    </xf>
    <xf numFmtId="49" fontId="29" fillId="14" borderId="17">
      <alignment horizontal="left" vertical="center" indent="1"/>
    </xf>
    <xf numFmtId="171" fontId="9" fillId="11" borderId="23">
      <alignment horizontal="right" vertical="center" wrapText="1"/>
      <protection locked="0"/>
    </xf>
    <xf numFmtId="0" fontId="25" fillId="0" borderId="21" applyFill="0">
      <alignment horizontal="left" vertical="center" wrapText="1" indent="1"/>
    </xf>
    <xf numFmtId="0" fontId="25" fillId="0" borderId="23" applyFill="0">
      <alignment horizontal="left" vertical="center" wrapText="1" indent="1"/>
    </xf>
    <xf numFmtId="49" fontId="15" fillId="0" borderId="0" applyFill="0" applyBorder="0">
      <alignment horizontal="center" vertical="center" wrapText="1"/>
    </xf>
    <xf numFmtId="0" fontId="48" fillId="0" borderId="0" applyFill="0" applyBorder="0">
      <alignment vertical="center" wrapText="1"/>
    </xf>
    <xf numFmtId="0" fontId="9" fillId="0" borderId="36" applyFill="0">
      <alignment vertical="center" wrapText="1"/>
    </xf>
    <xf numFmtId="0" fontId="65" fillId="12" borderId="0" applyBorder="0">
      <alignment horizontal="right" vertical="center"/>
    </xf>
    <xf numFmtId="49" fontId="25" fillId="0" borderId="23" applyFill="0">
      <alignment horizontal="center" vertical="center" wrapText="1"/>
    </xf>
    <xf numFmtId="49" fontId="25" fillId="0" borderId="33" applyFill="0">
      <alignment horizontal="center" vertical="center" wrapText="1"/>
    </xf>
    <xf numFmtId="49" fontId="25" fillId="0" borderId="21" applyFill="0">
      <alignment horizontal="center" vertical="center" wrapText="1"/>
    </xf>
    <xf numFmtId="49" fontId="29" fillId="0" borderId="17" applyFill="0">
      <alignment horizontal="right" vertical="center"/>
    </xf>
    <xf numFmtId="49" fontId="10" fillId="0" borderId="0" applyFill="0" applyBorder="0">
      <alignment horizontal="center" vertical="center" wrapText="1"/>
    </xf>
    <xf numFmtId="0" fontId="25" fillId="0" borderId="12" applyFill="0">
      <alignment vertical="center" wrapText="1"/>
    </xf>
    <xf numFmtId="0" fontId="25" fillId="0" borderId="16" applyFill="0">
      <alignment horizontal="right" vertical="center" wrapText="1" indent="1"/>
    </xf>
    <xf numFmtId="0" fontId="25" fillId="0" borderId="11" applyFill="0">
      <alignment horizontal="right" vertical="center" wrapText="1" indent="1"/>
    </xf>
    <xf numFmtId="0" fontId="25" fillId="0" borderId="12" applyFill="0">
      <alignment horizontal="left" vertical="top" wrapText="1"/>
    </xf>
    <xf numFmtId="49" fontId="9" fillId="0" borderId="57" applyFill="0">
      <alignment horizontal="center" vertical="center" wrapText="1"/>
    </xf>
    <xf numFmtId="0" fontId="70" fillId="0" borderId="0" applyFill="0" applyBorder="0">
      <alignment vertical="center" wrapText="1"/>
    </xf>
    <xf numFmtId="49" fontId="9" fillId="0" borderId="58" applyFill="0">
      <alignment horizontal="center" vertical="center" wrapText="1"/>
    </xf>
    <xf numFmtId="49" fontId="9" fillId="0" borderId="59" applyFill="0">
      <alignment horizontal="center" vertical="center" wrapText="1"/>
    </xf>
    <xf numFmtId="4" fontId="9" fillId="11" borderId="23">
      <alignment horizontal="right" vertical="center" wrapText="1"/>
      <protection locked="0"/>
    </xf>
    <xf numFmtId="49" fontId="29" fillId="14" borderId="17">
      <alignment horizontal="left" vertical="center" indent="2"/>
    </xf>
    <xf numFmtId="49" fontId="5" fillId="0" borderId="14" applyFill="0">
      <alignment horizontal="left" vertical="center" wrapText="1" indent="2"/>
    </xf>
    <xf numFmtId="49" fontId="9" fillId="0" borderId="60" applyFill="0">
      <alignment horizontal="center" vertical="center" wrapText="1"/>
    </xf>
    <xf numFmtId="0" fontId="25" fillId="0" borderId="36" applyFill="0">
      <alignment vertical="center" wrapText="1"/>
    </xf>
    <xf numFmtId="0" fontId="9" fillId="10" borderId="11">
      <alignment horizontal="left" vertical="top" wrapText="1"/>
    </xf>
    <xf numFmtId="49" fontId="9" fillId="25" borderId="0" applyBorder="0">
      <alignment horizontal="center" vertical="center" textRotation="90" wrapText="1"/>
    </xf>
    <xf numFmtId="49" fontId="18" fillId="8" borderId="12">
      <alignment horizontal="left" vertical="center" wrapText="1"/>
      <protection locked="0"/>
    </xf>
    <xf numFmtId="0" fontId="71" fillId="0" borderId="19" applyFill="0">
      <alignment vertical="center" wrapText="1"/>
    </xf>
    <xf numFmtId="4" fontId="9" fillId="8" borderId="14">
      <alignment horizontal="left" vertical="center" wrapText="1"/>
      <protection locked="0"/>
    </xf>
    <xf numFmtId="4" fontId="9" fillId="8" borderId="12">
      <alignment horizontal="left" vertical="center" wrapText="1"/>
      <protection locked="0"/>
    </xf>
    <xf numFmtId="49" fontId="18" fillId="0" borderId="14" applyFill="0">
      <alignment horizontal="left" vertical="center" wrapText="1"/>
    </xf>
    <xf numFmtId="49" fontId="9" fillId="0" borderId="43" applyFill="0">
      <alignment horizontal="center" vertical="center" wrapText="1"/>
    </xf>
    <xf numFmtId="0" fontId="9" fillId="0" borderId="43" applyFill="0">
      <alignment horizontal="left" vertical="center" wrapText="1"/>
    </xf>
    <xf numFmtId="4" fontId="9" fillId="0" borderId="61" applyFill="0">
      <alignment horizontal="center" vertical="center" wrapText="1"/>
    </xf>
    <xf numFmtId="49" fontId="18" fillId="0" borderId="26" applyFill="0">
      <alignment horizontal="left" vertical="center" wrapText="1"/>
    </xf>
    <xf numFmtId="49" fontId="9" fillId="0" borderId="40" applyFill="0">
      <alignment horizontal="center" vertical="center" wrapText="1"/>
    </xf>
    <xf numFmtId="0" fontId="9" fillId="0" borderId="45" applyFill="0">
      <alignment horizontal="left" vertical="center" wrapText="1" indent="1"/>
    </xf>
    <xf numFmtId="49" fontId="18" fillId="0" borderId="12" applyFill="0">
      <alignment horizontal="left" vertical="center" wrapText="1"/>
    </xf>
    <xf numFmtId="4" fontId="9" fillId="0" borderId="23" applyFill="0">
      <alignment horizontal="center" vertical="center" wrapText="1"/>
    </xf>
    <xf numFmtId="4" fontId="9" fillId="11" borderId="62">
      <alignment horizontal="right" vertical="center" wrapText="1"/>
      <protection locked="0"/>
    </xf>
    <xf numFmtId="0" fontId="9" fillId="0" borderId="45" applyFill="0">
      <alignment horizontal="left" vertical="center" wrapText="1"/>
    </xf>
    <xf numFmtId="49" fontId="18" fillId="0" borderId="16" applyFill="0">
      <alignment horizontal="left" vertical="center" wrapText="1"/>
    </xf>
    <xf numFmtId="0" fontId="9" fillId="0" borderId="40" applyFill="0">
      <alignment horizontal="left" vertical="center" wrapText="1" indent="1"/>
    </xf>
    <xf numFmtId="4" fontId="9" fillId="0" borderId="43" applyFill="0">
      <alignment horizontal="center" vertical="center" wrapText="1"/>
    </xf>
    <xf numFmtId="0" fontId="9" fillId="0" borderId="40" applyFill="0">
      <alignment horizontal="left" vertical="center" wrapText="1"/>
    </xf>
    <xf numFmtId="0" fontId="9" fillId="0" borderId="40" applyFill="0">
      <alignment horizontal="left" vertical="center" wrapText="1" indent="2"/>
    </xf>
    <xf numFmtId="4" fontId="9" fillId="0" borderId="40" applyFill="0">
      <alignment horizontal="center" vertical="center" wrapText="1"/>
    </xf>
    <xf numFmtId="49" fontId="9" fillId="0" borderId="44" applyFill="0">
      <alignment horizontal="center" vertical="center" wrapText="1"/>
    </xf>
    <xf numFmtId="0" fontId="9" fillId="0" borderId="62" applyFill="0">
      <alignment horizontal="left" vertical="center" wrapText="1"/>
    </xf>
    <xf numFmtId="4" fontId="9" fillId="0" borderId="62" applyFill="0">
      <alignment horizontal="center" vertical="center" wrapText="1"/>
    </xf>
    <xf numFmtId="49" fontId="18" fillId="0" borderId="24" applyFill="0">
      <alignment horizontal="left" vertical="center" wrapText="1"/>
    </xf>
    <xf numFmtId="49" fontId="9" fillId="0" borderId="45" applyFill="0">
      <alignment horizontal="center" vertical="center" wrapText="1"/>
    </xf>
    <xf numFmtId="4" fontId="9" fillId="11" borderId="12">
      <alignment horizontal="right" vertical="center" wrapText="1"/>
      <protection locked="0"/>
    </xf>
    <xf numFmtId="4" fontId="9" fillId="0" borderId="45" applyFill="0">
      <alignment horizontal="center" vertical="center" wrapText="1"/>
    </xf>
    <xf numFmtId="4" fontId="9" fillId="11" borderId="44">
      <alignment horizontal="right" vertical="center" wrapText="1"/>
      <protection locked="0"/>
    </xf>
    <xf numFmtId="49" fontId="19" fillId="0" borderId="0" applyFill="0" applyBorder="0">
      <alignment horizontal="center" vertical="center" wrapText="1"/>
    </xf>
    <xf numFmtId="0" fontId="19" fillId="26" borderId="14">
      <alignment horizontal="left" vertical="center" wrapText="1"/>
    </xf>
    <xf numFmtId="0" fontId="9" fillId="22" borderId="14">
      <alignment vertical="center"/>
    </xf>
    <xf numFmtId="49" fontId="5" fillId="4" borderId="14">
      <alignment horizontal="center" vertical="center" wrapText="1"/>
    </xf>
    <xf numFmtId="49" fontId="72" fillId="0" borderId="23" applyFill="0">
      <alignment horizontal="center" vertical="center" wrapText="1"/>
    </xf>
    <xf numFmtId="49" fontId="72" fillId="0" borderId="14" applyFill="0">
      <alignment horizontal="center" vertical="center" wrapText="1"/>
    </xf>
    <xf numFmtId="0" fontId="9" fillId="0" borderId="17" applyFill="0">
      <alignment horizontal="right" vertical="center" wrapText="1" indent="1"/>
    </xf>
    <xf numFmtId="4" fontId="9" fillId="11" borderId="24">
      <alignment horizontal="right" vertical="center" wrapText="1"/>
      <protection locked="0"/>
    </xf>
    <xf numFmtId="0" fontId="19" fillId="14" borderId="16">
      <alignment vertical="center" wrapText="1"/>
    </xf>
    <xf numFmtId="3" fontId="9" fillId="11" borderId="12">
      <alignment horizontal="right" vertical="center" wrapText="1"/>
      <protection locked="0"/>
    </xf>
    <xf numFmtId="0" fontId="9" fillId="12" borderId="18">
      <alignment horizontal="center" vertical="center" wrapText="1"/>
    </xf>
    <xf numFmtId="0" fontId="5" fillId="12" borderId="23">
      <alignment horizontal="center" vertical="center" wrapText="1"/>
    </xf>
    <xf numFmtId="49" fontId="9" fillId="0" borderId="12" applyFill="0">
      <alignment horizontal="center" vertical="center" wrapText="1"/>
    </xf>
    <xf numFmtId="0" fontId="9" fillId="14" borderId="25">
      <alignment vertical="center" wrapText="1"/>
    </xf>
    <xf numFmtId="0" fontId="9" fillId="12" borderId="10">
      <alignment vertical="center" wrapText="1"/>
    </xf>
    <xf numFmtId="49" fontId="38" fillId="0" borderId="10" applyFill="0">
      <alignment vertical="top"/>
    </xf>
    <xf numFmtId="0" fontId="13" fillId="12" borderId="10">
      <alignment horizontal="center" wrapText="1"/>
    </xf>
    <xf numFmtId="0" fontId="9" fillId="0" borderId="6" applyFill="0">
      <alignment horizontal="center" vertical="center"/>
    </xf>
    <xf numFmtId="0" fontId="9" fillId="0" borderId="7" applyFill="0">
      <alignment horizontal="center" vertical="center"/>
    </xf>
    <xf numFmtId="0" fontId="9" fillId="0" borderId="8" applyFill="0">
      <alignment horizontal="center" vertical="center"/>
    </xf>
    <xf numFmtId="0" fontId="9" fillId="0" borderId="4" applyFill="0">
      <alignment vertical="center" wrapText="1"/>
    </xf>
    <xf numFmtId="0" fontId="9" fillId="12" borderId="17">
      <alignment vertical="center" wrapText="1"/>
    </xf>
    <xf numFmtId="0" fontId="25" fillId="0" borderId="10" applyFill="0">
      <alignment vertical="center" wrapText="1"/>
    </xf>
    <xf numFmtId="0" fontId="9" fillId="0" borderId="63" applyFill="0">
      <alignment horizontal="center" vertical="center"/>
    </xf>
    <xf numFmtId="0" fontId="9" fillId="0" borderId="35" applyFill="0">
      <alignment horizontal="center" vertical="center"/>
    </xf>
    <xf numFmtId="0" fontId="9" fillId="0" borderId="4" applyFill="0">
      <alignment vertical="center"/>
    </xf>
    <xf numFmtId="49" fontId="5" fillId="0" borderId="23" applyFill="0">
      <alignment horizontal="center" vertical="center" wrapText="1"/>
    </xf>
    <xf numFmtId="49" fontId="9" fillId="0" borderId="19" applyFill="0">
      <alignment vertical="top"/>
    </xf>
    <xf numFmtId="49" fontId="5" fillId="0" borderId="33" applyFill="0">
      <alignment horizontal="center" vertical="center" wrapText="1"/>
    </xf>
    <xf numFmtId="49" fontId="5" fillId="0" borderId="21" applyFill="0">
      <alignment horizontal="center" vertical="center" wrapText="1"/>
    </xf>
    <xf numFmtId="49" fontId="5" fillId="10" borderId="14">
      <alignment horizontal="center" vertical="center"/>
    </xf>
    <xf numFmtId="4" fontId="5" fillId="8" borderId="14">
      <alignment horizontal="right" vertical="center" wrapText="1"/>
      <protection locked="0"/>
    </xf>
    <xf numFmtId="49" fontId="5" fillId="0" borderId="14" applyFill="0">
      <alignment horizontal="left" vertical="center" wrapText="1" indent="3"/>
    </xf>
    <xf numFmtId="49" fontId="30" fillId="0" borderId="0" applyFill="0" applyBorder="0">
      <alignment vertical="center"/>
    </xf>
    <xf numFmtId="49" fontId="30" fillId="0" borderId="0" applyFill="0" applyBorder="0">
      <alignment vertical="center" wrapText="1"/>
    </xf>
    <xf numFmtId="49" fontId="9" fillId="12" borderId="0" applyBorder="0">
      <alignment horizontal="center" vertical="top" wrapText="1"/>
    </xf>
    <xf numFmtId="0" fontId="9" fillId="0" borderId="18" applyFill="0">
      <alignment horizontal="left" vertical="top" wrapText="1"/>
    </xf>
    <xf numFmtId="49" fontId="9" fillId="0" borderId="0" applyFill="0" applyBorder="0">
      <alignment horizontal="center" vertical="top" wrapText="1"/>
    </xf>
    <xf numFmtId="49" fontId="9" fillId="0" borderId="0" applyFill="0" applyBorder="0">
      <alignment horizontal="center" vertical="center" wrapText="1"/>
    </xf>
    <xf numFmtId="49" fontId="30" fillId="0" borderId="0" applyFill="0" applyBorder="0">
      <alignment horizontal="center" vertical="center" wrapText="1"/>
    </xf>
    <xf numFmtId="0" fontId="9" fillId="18" borderId="12">
      <alignment horizontal="center" vertical="center" wrapText="1"/>
    </xf>
    <xf numFmtId="0" fontId="9" fillId="18" borderId="16">
      <alignment horizontal="center" vertical="center" wrapText="1"/>
    </xf>
    <xf numFmtId="0" fontId="9" fillId="18" borderId="11">
      <alignment horizontal="center" vertical="center" wrapText="1"/>
    </xf>
    <xf numFmtId="49" fontId="19" fillId="17" borderId="12">
      <alignment horizontal="center" vertical="center" wrapText="1"/>
    </xf>
    <xf numFmtId="49" fontId="19" fillId="17" borderId="16">
      <alignment horizontal="center" vertical="center" wrapText="1"/>
    </xf>
    <xf numFmtId="49" fontId="19" fillId="17" borderId="11">
      <alignment horizontal="center" vertical="center" wrapText="1"/>
    </xf>
    <xf numFmtId="49" fontId="19" fillId="19" borderId="12">
      <alignment horizontal="center" vertical="center" wrapText="1"/>
    </xf>
    <xf numFmtId="49" fontId="19" fillId="19" borderId="16">
      <alignment horizontal="center" vertical="center" wrapText="1"/>
    </xf>
    <xf numFmtId="49" fontId="19" fillId="19" borderId="11">
      <alignment horizontal="center" vertical="center" wrapText="1"/>
    </xf>
    <xf numFmtId="49" fontId="9" fillId="20" borderId="12">
      <alignment horizontal="center" vertical="center" wrapText="1"/>
    </xf>
    <xf numFmtId="49" fontId="9" fillId="20" borderId="16">
      <alignment horizontal="center" vertical="center" wrapText="1"/>
    </xf>
    <xf numFmtId="49" fontId="9" fillId="16" borderId="17">
      <alignment horizontal="center" vertical="center" wrapText="1"/>
    </xf>
    <xf numFmtId="49" fontId="9" fillId="16" borderId="0" applyBorder="0">
      <alignment horizontal="center" vertical="center" wrapText="1"/>
    </xf>
    <xf numFmtId="49" fontId="9" fillId="0" borderId="16" applyFill="0">
      <alignment horizontal="center" vertical="center" wrapText="1"/>
    </xf>
    <xf numFmtId="49" fontId="30" fillId="12" borderId="0" applyBorder="0">
      <alignment vertical="center" wrapText="1"/>
    </xf>
    <xf numFmtId="49" fontId="9" fillId="16" borderId="14">
      <alignment horizontal="center" vertical="center" wrapText="1"/>
    </xf>
    <xf numFmtId="0" fontId="9" fillId="16" borderId="14">
      <alignment horizontal="center" vertical="center" wrapText="1"/>
    </xf>
    <xf numFmtId="0" fontId="9" fillId="16" borderId="12">
      <alignment horizontal="center" vertical="center" wrapText="1"/>
    </xf>
    <xf numFmtId="0" fontId="9" fillId="16" borderId="11">
      <alignment horizontal="center" vertical="center" wrapText="1"/>
    </xf>
    <xf numFmtId="49" fontId="9" fillId="16" borderId="36">
      <alignment horizontal="center" vertical="center" wrapText="1"/>
    </xf>
    <xf numFmtId="49" fontId="28" fillId="0" borderId="14" applyFill="0">
      <alignment horizontal="center" vertical="center"/>
    </xf>
    <xf numFmtId="49" fontId="28" fillId="16" borderId="14">
      <alignment horizontal="center" vertical="center"/>
    </xf>
    <xf numFmtId="0" fontId="28" fillId="0" borderId="14" applyFill="0">
      <alignment horizontal="center" vertical="center"/>
    </xf>
    <xf numFmtId="49" fontId="28" fillId="0" borderId="21" applyFill="0">
      <alignment horizontal="center" vertical="center"/>
    </xf>
    <xf numFmtId="49" fontId="19" fillId="0" borderId="23" applyFill="0">
      <alignment horizontal="center" vertical="center"/>
    </xf>
    <xf numFmtId="0" fontId="9" fillId="0" borderId="23" applyFill="0">
      <alignment horizontal="right" vertical="center"/>
    </xf>
    <xf numFmtId="0" fontId="9" fillId="0" borderId="23" applyFill="0">
      <alignment horizontal="center" vertical="center"/>
    </xf>
    <xf numFmtId="4" fontId="30" fillId="12" borderId="0" applyBorder="0">
      <alignment vertical="center"/>
    </xf>
    <xf numFmtId="49" fontId="73" fillId="0" borderId="0" applyFill="0" applyBorder="0">
      <alignment vertical="center" wrapText="1"/>
    </xf>
    <xf numFmtId="0" fontId="74" fillId="12" borderId="0" applyBorder="0">
      <alignment horizontal="center" vertical="center" wrapText="1"/>
    </xf>
    <xf numFmtId="0" fontId="10" fillId="12" borderId="0" applyBorder="0"/>
    <xf numFmtId="49" fontId="9" fillId="0" borderId="0" applyFill="0" applyBorder="0">
      <alignment horizontal="left" vertical="top" wrapText="1"/>
    </xf>
    <xf numFmtId="49" fontId="31" fillId="0" borderId="0" applyFill="0" applyBorder="0">
      <alignment horizontal="center" vertical="center"/>
    </xf>
    <xf numFmtId="0" fontId="9" fillId="0" borderId="0" applyFill="0" applyBorder="0"/>
    <xf numFmtId="0" fontId="31" fillId="12" borderId="0" applyBorder="0">
      <alignment horizontal="center" vertical="center"/>
    </xf>
    <xf numFmtId="0" fontId="9" fillId="12" borderId="23">
      <alignment horizontal="center" vertical="center"/>
    </xf>
    <xf numFmtId="49" fontId="29" fillId="14" borderId="11">
      <alignment horizontal="left" vertical="center"/>
    </xf>
    <xf numFmtId="0" fontId="31" fillId="0" borderId="0" applyFill="0" applyBorder="0">
      <alignment horizontal="center" vertical="center"/>
    </xf>
    <xf numFmtId="49" fontId="9" fillId="12" borderId="14">
      <alignment horizontal="center" vertical="center"/>
    </xf>
    <xf numFmtId="0" fontId="19" fillId="12" borderId="0" applyBorder="0"/>
    <xf numFmtId="0" fontId="75" fillId="12" borderId="0" applyBorder="0"/>
    <xf numFmtId="0" fontId="25" fillId="12" borderId="0" applyBorder="0">
      <alignment horizontal="center" vertical="center" wrapText="1"/>
    </xf>
    <xf numFmtId="0" fontId="5" fillId="12" borderId="23">
      <alignment horizontal="left" vertical="top" wrapText="1"/>
    </xf>
    <xf numFmtId="0" fontId="36" fillId="12" borderId="0" applyBorder="0">
      <alignment vertical="center" wrapText="1"/>
    </xf>
    <xf numFmtId="0" fontId="25" fillId="12" borderId="14">
      <alignment horizontal="center" vertical="center"/>
    </xf>
    <xf numFmtId="0" fontId="5" fillId="12" borderId="33">
      <alignment horizontal="left" vertical="top" wrapText="1"/>
    </xf>
    <xf numFmtId="0" fontId="37" fillId="12" borderId="0" applyBorder="0"/>
    <xf numFmtId="0" fontId="5" fillId="12" borderId="21">
      <alignment horizontal="left" vertical="top" wrapText="1"/>
    </xf>
    <xf numFmtId="0" fontId="70" fillId="12" borderId="0" applyBorder="0"/>
    <xf numFmtId="0" fontId="9" fillId="12" borderId="14">
      <alignment horizontal="left" vertical="top" wrapText="1"/>
    </xf>
    <xf numFmtId="49" fontId="18" fillId="8" borderId="21">
      <alignment horizontal="left" vertical="center" wrapText="1"/>
      <protection locked="0"/>
    </xf>
    <xf numFmtId="0" fontId="9" fillId="12" borderId="14">
      <alignment vertical="top" wrapText="1"/>
    </xf>
    <xf numFmtId="14" fontId="9" fillId="11" borderId="12">
      <alignment horizontal="left" vertical="center" wrapText="1" indent="1"/>
      <protection locked="0"/>
    </xf>
    <xf numFmtId="0" fontId="19" fillId="0" borderId="33" applyFill="0">
      <alignment horizontal="left" vertical="center" wrapText="1" indent="1"/>
    </xf>
    <xf numFmtId="169" fontId="9" fillId="0" borderId="24" applyFill="0">
      <alignment horizontal="center" vertical="center" wrapText="1"/>
    </xf>
    <xf numFmtId="169" fontId="9" fillId="0" borderId="23" applyFill="0">
      <alignment horizontal="center" vertical="center" wrapText="1"/>
    </xf>
    <xf numFmtId="4" fontId="9" fillId="0" borderId="21" applyFill="0">
      <alignment horizontal="center" vertical="center" wrapText="1"/>
    </xf>
    <xf numFmtId="14" fontId="9" fillId="13" borderId="14">
      <alignment horizontal="left" vertical="center" wrapText="1"/>
    </xf>
    <xf numFmtId="14" fontId="9" fillId="11" borderId="14">
      <alignment horizontal="left" vertical="center" wrapText="1" indent="1"/>
      <protection locked="0"/>
    </xf>
    <xf numFmtId="49" fontId="13" fillId="14" borderId="26">
      <alignment horizontal="right" vertical="center" wrapText="1"/>
    </xf>
    <xf numFmtId="49" fontId="5" fillId="14" borderId="36">
      <alignment horizontal="right" vertical="center" wrapText="1"/>
    </xf>
    <xf numFmtId="49" fontId="5" fillId="14" borderId="25">
      <alignment horizontal="right" vertical="center" wrapText="1"/>
    </xf>
    <xf numFmtId="168" fontId="5" fillId="11" borderId="16">
      <alignment horizontal="left" vertical="center" wrapText="1" indent="1"/>
      <protection locked="0"/>
    </xf>
    <xf numFmtId="172" fontId="9" fillId="11" borderId="14">
      <alignment horizontal="left" vertical="center" wrapText="1" indent="1"/>
      <protection locked="0"/>
    </xf>
    <xf numFmtId="0" fontId="76" fillId="0" borderId="0" applyFill="0" applyBorder="0">
      <alignment vertical="center"/>
    </xf>
    <xf numFmtId="168" fontId="25" fillId="0" borderId="0" applyFill="0" applyBorder="0">
      <alignment horizontal="center" vertical="center" wrapText="1"/>
    </xf>
    <xf numFmtId="169" fontId="9" fillId="0" borderId="16" applyFill="0">
      <alignment horizontal="center" vertical="center" wrapText="1"/>
    </xf>
    <xf numFmtId="169" fontId="9" fillId="0" borderId="11" applyFill="0">
      <alignment horizontal="center" vertical="center" wrapText="1"/>
    </xf>
    <xf numFmtId="4" fontId="9" fillId="0" borderId="33" applyFill="0">
      <alignment horizontal="center" vertical="center" wrapText="1"/>
    </xf>
    <xf numFmtId="169" fontId="9" fillId="0" borderId="21" applyFill="0">
      <alignment horizontal="center" vertical="center" wrapText="1"/>
    </xf>
    <xf numFmtId="0" fontId="9" fillId="10" borderId="21">
      <alignment horizontal="left" vertical="center" wrapText="1" indent="1"/>
    </xf>
    <xf numFmtId="14" fontId="9" fillId="11" borderId="21">
      <alignment horizontal="left" vertical="center" wrapText="1" indent="1"/>
      <protection locked="0"/>
    </xf>
    <xf numFmtId="0" fontId="9" fillId="0" borderId="25" applyFill="0">
      <alignment horizontal="left" vertical="top" wrapText="1"/>
    </xf>
    <xf numFmtId="14" fontId="9" fillId="0" borderId="21" applyFill="0">
      <alignment horizontal="left" vertical="center" wrapText="1" indent="1"/>
    </xf>
    <xf numFmtId="49" fontId="18" fillId="14" borderId="36">
      <alignment horizontal="left" vertical="center" wrapText="1"/>
    </xf>
    <xf numFmtId="49" fontId="18" fillId="14" borderId="25">
      <alignment horizontal="left" vertical="center" wrapText="1"/>
    </xf>
    <xf numFmtId="0" fontId="9" fillId="12" borderId="33">
      <alignment vertical="center" wrapText="1"/>
    </xf>
    <xf numFmtId="0" fontId="25" fillId="0" borderId="36" applyFill="0">
      <alignment horizontal="center" vertical="center" wrapText="1"/>
    </xf>
    <xf numFmtId="0" fontId="9" fillId="12" borderId="19">
      <alignment vertical="center" wrapText="1"/>
    </xf>
    <xf numFmtId="0" fontId="9" fillId="0" borderId="16" applyFill="0">
      <alignment horizontal="left" vertical="center" wrapText="1"/>
    </xf>
    <xf numFmtId="169" fontId="30" fillId="0" borderId="17" applyFill="0">
      <alignment horizontal="center" vertical="center" wrapText="1"/>
    </xf>
    <xf numFmtId="169" fontId="30" fillId="0" borderId="18" applyFill="0">
      <alignment horizontal="center" vertical="center" wrapText="1"/>
    </xf>
    <xf numFmtId="0" fontId="27" fillId="0" borderId="0" applyFill="0" applyBorder="0">
      <alignment horizontal="center" vertical="center" wrapText="1"/>
    </xf>
    <xf numFmtId="169" fontId="9" fillId="0" borderId="33" applyFill="0">
      <alignment horizontal="center" vertical="center" wrapText="1"/>
    </xf>
    <xf numFmtId="0" fontId="9" fillId="10" borderId="25">
      <alignment horizontal="left" vertical="center" wrapText="1"/>
    </xf>
    <xf numFmtId="49" fontId="9" fillId="13" borderId="26">
      <alignment horizontal="left" vertical="center" wrapText="1"/>
    </xf>
    <xf numFmtId="49" fontId="9" fillId="11" borderId="36">
      <alignment horizontal="left" vertical="center" wrapText="1"/>
      <protection locked="0"/>
    </xf>
    <xf numFmtId="49" fontId="9" fillId="11" borderId="26">
      <alignment horizontal="left" vertical="center" wrapText="1"/>
      <protection locked="0"/>
    </xf>
    <xf numFmtId="49" fontId="9" fillId="0" borderId="14" applyFill="0">
      <alignment horizontal="left" vertical="top" wrapText="1"/>
    </xf>
    <xf numFmtId="49" fontId="77" fillId="0" borderId="14" applyFill="0">
      <alignment horizontal="left" vertical="top" wrapText="1"/>
    </xf>
    <xf numFmtId="49" fontId="5" fillId="0" borderId="14" applyFill="0">
      <alignment horizontal="center" vertical="top"/>
    </xf>
    <xf numFmtId="49" fontId="5" fillId="0" borderId="12" applyFill="0">
      <alignment horizontal="center" vertical="top"/>
    </xf>
    <xf numFmtId="49" fontId="5" fillId="27" borderId="23">
      <alignment vertical="top"/>
    </xf>
    <xf numFmtId="49" fontId="5" fillId="28" borderId="14">
      <alignment vertical="top"/>
    </xf>
    <xf numFmtId="49" fontId="5" fillId="0" borderId="16" applyFill="0">
      <alignment horizontal="center" vertical="top"/>
    </xf>
    <xf numFmtId="49" fontId="5" fillId="2" borderId="14">
      <alignment vertical="top"/>
    </xf>
    <xf numFmtId="49" fontId="5" fillId="29" borderId="14">
      <alignment vertical="top"/>
    </xf>
    <xf numFmtId="49" fontId="5" fillId="5" borderId="23">
      <alignment vertical="top"/>
    </xf>
    <xf numFmtId="49" fontId="5" fillId="3" borderId="12">
      <alignment vertical="top"/>
    </xf>
    <xf numFmtId="49" fontId="5" fillId="3" borderId="14">
      <alignment vertical="top"/>
    </xf>
    <xf numFmtId="49" fontId="5" fillId="5" borderId="14">
      <alignment vertical="top"/>
    </xf>
    <xf numFmtId="49" fontId="5" fillId="12" borderId="0" applyBorder="0">
      <alignment vertical="top"/>
    </xf>
    <xf numFmtId="49" fontId="9" fillId="10" borderId="41">
      <alignment horizontal="center" vertical="top"/>
    </xf>
    <xf numFmtId="49" fontId="5" fillId="0" borderId="16" applyFill="0">
      <alignment horizontal="left" vertical="center" indent="1"/>
    </xf>
    <xf numFmtId="49" fontId="5" fillId="0" borderId="64" applyFill="0">
      <alignment horizontal="center" vertical="center"/>
    </xf>
    <xf numFmtId="0" fontId="5" fillId="0" borderId="0" applyFill="0" applyBorder="0"/>
    <xf numFmtId="49" fontId="78" fillId="0" borderId="15" applyFill="0">
      <alignment vertical="top" wrapText="1"/>
    </xf>
    <xf numFmtId="0" fontId="5" fillId="0" borderId="15" applyFill="0">
      <alignment vertical="top" wrapText="1"/>
    </xf>
    <xf numFmtId="0" fontId="3" fillId="0" borderId="65" applyFill="0">
      <alignment vertical="top" wrapText="1"/>
    </xf>
    <xf numFmtId="0" fontId="5" fillId="0" borderId="14" applyFill="0">
      <alignment vertical="top" wrapText="1"/>
    </xf>
    <xf numFmtId="49" fontId="5" fillId="0" borderId="23" applyFill="0">
      <alignment vertical="top"/>
    </xf>
    <xf numFmtId="0" fontId="13" fillId="0" borderId="15" applyFill="0">
      <alignment vertical="center" wrapText="1"/>
    </xf>
    <xf numFmtId="0" fontId="3" fillId="0" borderId="0" applyFill="0" applyBorder="0">
      <alignment vertical="top" wrapText="1"/>
    </xf>
    <xf numFmtId="0" fontId="9" fillId="0" borderId="15" applyFill="0">
      <alignment vertical="center" wrapText="1"/>
    </xf>
  </cellStyleXfs>
  <cellXfs count="1475">
    <xf numFmtId="0" fontId="0" fillId="0" borderId="0" xfId="0" applyFont="1">
      <alignment vertical="top"/>
    </xf>
    <xf numFmtId="49" fontId="1" fillId="0" borderId="0" xfId="1" applyNumberFormat="1" applyFont="1">
      <alignment wrapText="1"/>
    </xf>
    <xf numFmtId="0" fontId="8" fillId="0" borderId="0" xfId="29" applyFont="1">
      <alignment vertical="center" wrapText="1"/>
    </xf>
    <xf numFmtId="0" fontId="9" fillId="0" borderId="0" xfId="33" applyFont="1">
      <alignment vertical="center" wrapText="1"/>
    </xf>
    <xf numFmtId="0" fontId="9" fillId="0" borderId="11" xfId="37" applyFont="1" applyBorder="1">
      <alignment horizontal="center" vertical="center" wrapText="1"/>
    </xf>
    <xf numFmtId="0" fontId="9" fillId="0" borderId="12" xfId="38" applyFont="1" applyBorder="1">
      <alignment horizontal="center" vertical="center" wrapText="1"/>
    </xf>
    <xf numFmtId="14" fontId="15" fillId="12" borderId="0" xfId="44" applyNumberFormat="1" applyFont="1" applyFill="1">
      <alignment horizontal="left" vertical="center" wrapText="1"/>
    </xf>
    <xf numFmtId="49" fontId="9" fillId="13" borderId="14" xfId="50" applyNumberFormat="1" applyFont="1" applyFill="1" applyBorder="1">
      <alignment horizontal="left" vertical="center" wrapText="1" indent="1"/>
    </xf>
    <xf numFmtId="168" fontId="5" fillId="11" borderId="14" xfId="52" applyNumberFormat="1" applyFont="1" applyFill="1" applyBorder="1">
      <alignment horizontal="left" vertical="center" wrapText="1" indent="1"/>
      <protection locked="0"/>
    </xf>
    <xf numFmtId="0" fontId="19" fillId="0" borderId="0" xfId="54" applyFont="1">
      <alignment vertical="center" wrapText="1"/>
    </xf>
    <xf numFmtId="14" fontId="17" fillId="0" borderId="14" xfId="56" applyNumberFormat="1" applyFont="1" applyBorder="1">
      <alignment horizontal="left" vertical="center" wrapText="1"/>
    </xf>
    <xf numFmtId="49" fontId="9" fillId="12" borderId="13" xfId="57" applyNumberFormat="1" applyFont="1" applyFill="1" applyBorder="1">
      <alignment horizontal="right" vertical="center" wrapText="1" indent="1"/>
    </xf>
    <xf numFmtId="49" fontId="19" fillId="0" borderId="0" xfId="58" applyNumberFormat="1" applyFont="1">
      <alignment vertical="center" wrapText="1"/>
    </xf>
    <xf numFmtId="0" fontId="5" fillId="11" borderId="14" xfId="59" applyFont="1" applyFill="1" applyBorder="1">
      <alignment horizontal="left" vertical="center" wrapText="1" indent="1"/>
      <protection locked="0"/>
    </xf>
    <xf numFmtId="49" fontId="9" fillId="11" borderId="14" xfId="60" applyNumberFormat="1" applyFont="1" applyFill="1" applyBorder="1">
      <alignment horizontal="left" vertical="center" wrapText="1" indent="1"/>
      <protection locked="0"/>
    </xf>
    <xf numFmtId="168" fontId="5" fillId="0" borderId="14" xfId="61" applyNumberFormat="1" applyFont="1" applyBorder="1">
      <alignment horizontal="left" vertical="center" wrapText="1" indent="1"/>
    </xf>
    <xf numFmtId="49" fontId="9" fillId="0" borderId="14" xfId="68" applyNumberFormat="1" applyFont="1" applyBorder="1">
      <alignment horizontal="left" vertical="center" wrapText="1" indent="1"/>
    </xf>
    <xf numFmtId="49" fontId="9" fillId="10" borderId="14" xfId="70" applyNumberFormat="1" applyFont="1" applyFill="1" applyBorder="1">
      <alignment horizontal="left" vertical="center" wrapText="1" indent="1"/>
    </xf>
    <xf numFmtId="14" fontId="9" fillId="12" borderId="0" xfId="71" applyNumberFormat="1" applyFont="1" applyFill="1">
      <alignment horizontal="center" vertical="center" wrapText="1"/>
    </xf>
    <xf numFmtId="14" fontId="9" fillId="12" borderId="0" xfId="73" applyNumberFormat="1" applyFont="1" applyFill="1">
      <alignment horizontal="left" vertical="center" wrapText="1"/>
    </xf>
    <xf numFmtId="0" fontId="9" fillId="11" borderId="14" xfId="74" applyFont="1" applyFill="1" applyBorder="1">
      <alignment horizontal="left" vertical="center" wrapText="1" indent="1"/>
      <protection locked="0"/>
    </xf>
    <xf numFmtId="49" fontId="23" fillId="0" borderId="14" xfId="77" applyNumberFormat="1" applyFont="1" applyBorder="1">
      <alignment horizontal="left" vertical="center" wrapText="1" indent="1"/>
    </xf>
    <xf numFmtId="0" fontId="9" fillId="13" borderId="14" xfId="78" applyFont="1" applyFill="1" applyBorder="1">
      <alignment horizontal="left" vertical="center" wrapText="1" indent="1"/>
    </xf>
    <xf numFmtId="49" fontId="12" fillId="12" borderId="0" xfId="80" applyNumberFormat="1" applyFont="1" applyFill="1">
      <alignment horizontal="center" vertical="center" wrapText="1"/>
    </xf>
    <xf numFmtId="49" fontId="9" fillId="12" borderId="0" xfId="82" applyNumberFormat="1" applyFont="1" applyFill="1">
      <alignment horizontal="right" vertical="center" wrapText="1" indent="1"/>
    </xf>
    <xf numFmtId="49" fontId="5" fillId="12" borderId="0" xfId="83" applyNumberFormat="1" applyFont="1" applyFill="1">
      <alignment horizontal="right" vertical="center" wrapText="1" indent="1"/>
    </xf>
    <xf numFmtId="0" fontId="25" fillId="0" borderId="0" xfId="89" applyFont="1">
      <alignment horizontal="center" vertical="center" wrapText="1"/>
    </xf>
    <xf numFmtId="0" fontId="9" fillId="0" borderId="16" xfId="95" applyFont="1" applyBorder="1">
      <alignment horizontal="center" vertical="center" wrapText="1"/>
    </xf>
    <xf numFmtId="4" fontId="9" fillId="0" borderId="14" xfId="96" applyNumberFormat="1" applyFont="1" applyBorder="1">
      <alignment horizontal="center" vertical="center" wrapText="1"/>
    </xf>
    <xf numFmtId="169" fontId="9" fillId="0" borderId="12" xfId="97" applyNumberFormat="1" applyFont="1" applyBorder="1">
      <alignment horizontal="center" vertical="center" wrapText="1"/>
    </xf>
    <xf numFmtId="169" fontId="9" fillId="0" borderId="14" xfId="98" applyNumberFormat="1" applyFont="1" applyBorder="1">
      <alignment horizontal="center" vertical="center" wrapText="1"/>
    </xf>
    <xf numFmtId="49" fontId="28" fillId="0" borderId="16" xfId="99" applyNumberFormat="1" applyFont="1" applyBorder="1">
      <alignment horizontal="center" vertical="center" wrapText="1"/>
    </xf>
    <xf numFmtId="49" fontId="9" fillId="14" borderId="17" xfId="100" applyNumberFormat="1" applyFont="1" applyFill="1" applyBorder="1">
      <alignment horizontal="center" vertical="center" wrapText="1"/>
    </xf>
    <xf numFmtId="49" fontId="19" fillId="14" borderId="17" xfId="101" applyNumberFormat="1" applyFont="1" applyFill="1" applyBorder="1">
      <alignment horizontal="left" vertical="center" wrapText="1"/>
    </xf>
    <xf numFmtId="49" fontId="19" fillId="14" borderId="18" xfId="102" applyNumberFormat="1" applyFont="1" applyFill="1" applyBorder="1">
      <alignment horizontal="left" vertical="center" wrapText="1"/>
    </xf>
    <xf numFmtId="0" fontId="9" fillId="0" borderId="14" xfId="105" applyFont="1" applyBorder="1">
      <alignment horizontal="center" vertical="center" wrapText="1"/>
    </xf>
    <xf numFmtId="0" fontId="25" fillId="0" borderId="14" xfId="106" applyFont="1" applyBorder="1">
      <alignment horizontal="center" vertical="center" wrapText="1"/>
    </xf>
    <xf numFmtId="49" fontId="9" fillId="11" borderId="14" xfId="107" applyNumberFormat="1" applyFont="1" applyFill="1" applyBorder="1">
      <alignment vertical="center" wrapText="1"/>
      <protection locked="0"/>
    </xf>
    <xf numFmtId="49" fontId="19" fillId="0" borderId="14" xfId="108" applyNumberFormat="1" applyFont="1" applyBorder="1">
      <alignment horizontal="left" vertical="center" wrapText="1"/>
    </xf>
    <xf numFmtId="14" fontId="9" fillId="13" borderId="21" xfId="112" applyNumberFormat="1" applyFont="1" applyFill="1" applyBorder="1">
      <alignment horizontal="left" vertical="center" wrapText="1" indent="1"/>
    </xf>
    <xf numFmtId="49" fontId="9" fillId="10" borderId="21" xfId="113" applyNumberFormat="1" applyFont="1" applyFill="1" applyBorder="1">
      <alignment horizontal="center" vertical="center" wrapText="1"/>
    </xf>
    <xf numFmtId="49" fontId="5" fillId="0" borderId="0" xfId="114" applyNumberFormat="1" applyFont="1">
      <alignment vertical="top"/>
    </xf>
    <xf numFmtId="49" fontId="13" fillId="14" borderId="12" xfId="115" applyNumberFormat="1" applyFont="1" applyFill="1" applyBorder="1">
      <alignment horizontal="right" vertical="center" wrapText="1"/>
    </xf>
    <xf numFmtId="49" fontId="13" fillId="14" borderId="16" xfId="116" applyNumberFormat="1" applyFont="1" applyFill="1" applyBorder="1">
      <alignment horizontal="right" vertical="center" wrapText="1"/>
    </xf>
    <xf numFmtId="49" fontId="29" fillId="14" borderId="16" xfId="117" applyNumberFormat="1" applyFont="1" applyFill="1" applyBorder="1">
      <alignment horizontal="left" vertical="center" indent="1"/>
    </xf>
    <xf numFmtId="49" fontId="5" fillId="14" borderId="16" xfId="118" applyNumberFormat="1" applyFont="1" applyFill="1" applyBorder="1">
      <alignment horizontal="right" vertical="center" wrapText="1"/>
    </xf>
    <xf numFmtId="49" fontId="5" fillId="14" borderId="11" xfId="119" applyNumberFormat="1" applyFont="1" applyFill="1" applyBorder="1">
      <alignment horizontal="right" vertical="center" wrapText="1"/>
    </xf>
    <xf numFmtId="49" fontId="9" fillId="14" borderId="12" xfId="120" applyNumberFormat="1" applyFont="1" applyFill="1" applyBorder="1">
      <alignment horizontal="right" vertical="center" wrapText="1"/>
    </xf>
    <xf numFmtId="49" fontId="9" fillId="14" borderId="16" xfId="121" applyNumberFormat="1" applyFont="1" applyFill="1" applyBorder="1">
      <alignment horizontal="right" vertical="center" wrapText="1"/>
    </xf>
    <xf numFmtId="49" fontId="29" fillId="14" borderId="16" xfId="122" applyNumberFormat="1" applyFont="1" applyFill="1" applyBorder="1">
      <alignment horizontal="left" vertical="center"/>
    </xf>
    <xf numFmtId="49" fontId="9" fillId="14" borderId="11" xfId="123" applyNumberFormat="1" applyFont="1" applyFill="1" applyBorder="1">
      <alignment horizontal="right" vertical="center" wrapText="1"/>
    </xf>
    <xf numFmtId="49" fontId="28" fillId="0" borderId="14" xfId="144" applyNumberFormat="1" applyFont="1" applyBorder="1">
      <alignment horizontal="center" vertical="center" wrapText="1"/>
    </xf>
    <xf numFmtId="49" fontId="9" fillId="14" borderId="16" xfId="150" applyNumberFormat="1" applyFont="1" applyFill="1" applyBorder="1">
      <alignment horizontal="center" vertical="center" wrapText="1"/>
    </xf>
    <xf numFmtId="49" fontId="9" fillId="14" borderId="31" xfId="151" applyNumberFormat="1" applyFont="1" applyFill="1" applyBorder="1">
      <alignment horizontal="center" vertical="center" wrapText="1"/>
    </xf>
    <xf numFmtId="49" fontId="5" fillId="14" borderId="16" xfId="152" applyNumberFormat="1" applyFont="1" applyFill="1" applyBorder="1">
      <alignment horizontal="left" vertical="center"/>
    </xf>
    <xf numFmtId="49" fontId="9" fillId="0" borderId="14" xfId="154" applyNumberFormat="1" applyFont="1" applyBorder="1">
      <alignment horizontal="center" vertical="center" wrapText="1"/>
    </xf>
    <xf numFmtId="49" fontId="9" fillId="13" borderId="14" xfId="160" applyNumberFormat="1" applyFont="1" applyFill="1" applyBorder="1">
      <alignment horizontal="center" vertical="center" wrapText="1"/>
    </xf>
    <xf numFmtId="49" fontId="9" fillId="0" borderId="23" xfId="161" applyNumberFormat="1" applyFont="1" applyBorder="1">
      <alignment horizontal="center" vertical="center" wrapText="1"/>
    </xf>
    <xf numFmtId="49" fontId="34" fillId="0" borderId="14" xfId="162" applyNumberFormat="1" applyFont="1" applyBorder="1">
      <alignment horizontal="left" vertical="center" wrapText="1" indent="1"/>
    </xf>
    <xf numFmtId="49" fontId="29" fillId="14" borderId="11" xfId="166" applyNumberFormat="1" applyFont="1" applyFill="1" applyBorder="1">
      <alignment horizontal="left" vertical="center" indent="1"/>
    </xf>
    <xf numFmtId="49" fontId="13" fillId="14" borderId="34" xfId="168" applyNumberFormat="1" applyFont="1" applyFill="1" applyBorder="1">
      <alignment horizontal="right" vertical="center" wrapText="1"/>
    </xf>
    <xf numFmtId="49" fontId="13" fillId="14" borderId="35" xfId="169" applyNumberFormat="1" applyFont="1" applyFill="1" applyBorder="1">
      <alignment horizontal="right" vertical="center" wrapText="1"/>
    </xf>
    <xf numFmtId="49" fontId="13" fillId="14" borderId="11" xfId="170" applyNumberFormat="1" applyFont="1" applyFill="1" applyBorder="1">
      <alignment horizontal="right" vertical="center" wrapText="1"/>
    </xf>
    <xf numFmtId="49" fontId="29" fillId="14" borderId="16" xfId="172" applyNumberFormat="1" applyFont="1" applyFill="1" applyBorder="1">
      <alignment horizontal="left" vertical="center" indent="2"/>
    </xf>
    <xf numFmtId="49" fontId="25" fillId="12" borderId="0" xfId="183" applyNumberFormat="1" applyFont="1" applyFill="1">
      <alignment horizontal="center" vertical="center" wrapText="1"/>
    </xf>
    <xf numFmtId="49" fontId="5" fillId="0" borderId="14" xfId="187" applyNumberFormat="1" applyFont="1" applyBorder="1">
      <alignment horizontal="center" vertical="center"/>
    </xf>
    <xf numFmtId="49" fontId="5" fillId="0" borderId="14" xfId="188" applyNumberFormat="1" applyFont="1" applyBorder="1">
      <alignment horizontal="left" vertical="center"/>
    </xf>
    <xf numFmtId="49" fontId="9" fillId="0" borderId="17" xfId="194" applyNumberFormat="1" applyFont="1" applyBorder="1">
      <alignment horizontal="left" vertical="center" wrapText="1"/>
    </xf>
    <xf numFmtId="49" fontId="9" fillId="0" borderId="17" xfId="195" applyNumberFormat="1" applyFont="1" applyBorder="1">
      <alignment horizontal="center" vertical="center" wrapText="1"/>
    </xf>
    <xf numFmtId="49" fontId="5" fillId="0" borderId="17" xfId="197" applyNumberFormat="1" applyFont="1" applyBorder="1">
      <alignment horizontal="left" vertical="center" wrapText="1"/>
    </xf>
    <xf numFmtId="49" fontId="9" fillId="0" borderId="18" xfId="198" applyNumberFormat="1" applyFont="1" applyBorder="1">
      <alignment horizontal="left" vertical="center" wrapText="1"/>
    </xf>
    <xf numFmtId="49" fontId="5" fillId="0" borderId="14" xfId="203" applyNumberFormat="1" applyFont="1" applyBorder="1">
      <alignment vertical="top"/>
    </xf>
    <xf numFmtId="49" fontId="9" fillId="0" borderId="0" xfId="211" applyNumberFormat="1" applyFont="1">
      <alignment horizontal="left" vertical="center" indent="1"/>
    </xf>
    <xf numFmtId="49" fontId="25" fillId="0" borderId="0" xfId="221" applyNumberFormat="1" applyFont="1">
      <alignment vertical="top"/>
    </xf>
    <xf numFmtId="49" fontId="25" fillId="0" borderId="0" xfId="222" applyNumberFormat="1" applyFont="1">
      <alignment horizontal="center" vertical="center"/>
    </xf>
    <xf numFmtId="49" fontId="37" fillId="0" borderId="0" xfId="223" applyNumberFormat="1" applyFont="1">
      <alignment vertical="top"/>
    </xf>
    <xf numFmtId="0" fontId="9" fillId="0" borderId="17" xfId="224" applyFont="1" applyBorder="1">
      <alignment horizontal="left" vertical="center" wrapText="1" indent="1"/>
    </xf>
    <xf numFmtId="0" fontId="9" fillId="0" borderId="36" xfId="225" applyFont="1" applyBorder="1">
      <alignment horizontal="left" vertical="center" wrapText="1" indent="1"/>
    </xf>
    <xf numFmtId="0" fontId="9" fillId="0" borderId="23" xfId="229" applyFont="1" applyBorder="1">
      <alignment horizontal="center" vertical="center" wrapText="1"/>
    </xf>
    <xf numFmtId="49" fontId="9" fillId="0" borderId="0" xfId="234" applyNumberFormat="1" applyFont="1">
      <alignment vertical="top"/>
    </xf>
    <xf numFmtId="49" fontId="9" fillId="0" borderId="14" xfId="235" applyNumberFormat="1" applyFont="1" applyBorder="1">
      <alignment horizontal="center" vertical="center"/>
    </xf>
    <xf numFmtId="49" fontId="9" fillId="0" borderId="24" xfId="238" applyNumberFormat="1" applyFont="1" applyBorder="1">
      <alignment vertical="center" wrapText="1"/>
    </xf>
    <xf numFmtId="49" fontId="9" fillId="0" borderId="17" xfId="240" applyNumberFormat="1" applyFont="1" applyBorder="1">
      <alignment vertical="center" wrapText="1"/>
    </xf>
    <xf numFmtId="49" fontId="31" fillId="0" borderId="17" xfId="241" applyNumberFormat="1" applyFont="1" applyBorder="1">
      <alignment vertical="center" wrapText="1"/>
    </xf>
    <xf numFmtId="49" fontId="9" fillId="13" borderId="33" xfId="243" applyNumberFormat="1" applyFont="1" applyFill="1" applyBorder="1">
      <alignment horizontal="center" vertical="center" wrapText="1"/>
    </xf>
    <xf numFmtId="49" fontId="9" fillId="0" borderId="19" xfId="244" applyNumberFormat="1" applyFont="1" applyBorder="1">
      <alignment vertical="center" wrapText="1"/>
    </xf>
    <xf numFmtId="49" fontId="9" fillId="0" borderId="23" xfId="246" applyNumberFormat="1" applyFont="1" applyBorder="1">
      <alignment horizontal="center" vertical="center"/>
    </xf>
    <xf numFmtId="49" fontId="37" fillId="0" borderId="26" xfId="249" applyNumberFormat="1" applyFont="1" applyBorder="1">
      <alignment vertical="top"/>
    </xf>
    <xf numFmtId="49" fontId="37" fillId="0" borderId="36" xfId="250" applyNumberFormat="1" applyFont="1" applyBorder="1">
      <alignment vertical="top"/>
    </xf>
    <xf numFmtId="49" fontId="10" fillId="0" borderId="0" xfId="251" applyNumberFormat="1" applyFont="1">
      <alignment vertical="top"/>
    </xf>
    <xf numFmtId="0" fontId="38" fillId="12" borderId="0" xfId="258" applyFont="1" applyFill="1">
      <alignment horizontal="right" vertical="center"/>
    </xf>
    <xf numFmtId="49" fontId="5" fillId="12" borderId="14" xfId="261" applyNumberFormat="1" applyFont="1" applyFill="1" applyBorder="1">
      <alignment horizontal="center" vertical="center" wrapText="1"/>
    </xf>
    <xf numFmtId="49" fontId="9" fillId="12" borderId="14" xfId="262" applyNumberFormat="1" applyFont="1" applyFill="1" applyBorder="1">
      <alignment horizontal="center" vertical="center" wrapText="1"/>
    </xf>
    <xf numFmtId="49" fontId="25" fillId="0" borderId="14" xfId="266" applyNumberFormat="1" applyFont="1" applyBorder="1">
      <alignment horizontal="center" vertical="center"/>
    </xf>
    <xf numFmtId="49" fontId="5" fillId="12" borderId="14" xfId="270" applyNumberFormat="1" applyFont="1" applyFill="1" applyBorder="1">
      <alignment horizontal="center" vertical="center"/>
    </xf>
    <xf numFmtId="49" fontId="5" fillId="11" borderId="14" xfId="274" applyNumberFormat="1" applyFont="1" applyFill="1" applyBorder="1">
      <alignment horizontal="left" vertical="center" wrapText="1"/>
      <protection locked="0"/>
    </xf>
    <xf numFmtId="49" fontId="9" fillId="12" borderId="0" xfId="276" applyNumberFormat="1" applyFont="1" applyFill="1">
      <alignment horizontal="center" vertical="center" wrapText="1"/>
    </xf>
    <xf numFmtId="49" fontId="5" fillId="0" borderId="14" xfId="280" applyNumberFormat="1" applyFont="1" applyBorder="1">
      <alignment horizontal="left" vertical="center" wrapText="1"/>
    </xf>
    <xf numFmtId="49" fontId="9" fillId="12" borderId="0" xfId="281" applyNumberFormat="1" applyFont="1" applyFill="1">
      <alignment vertical="center" wrapText="1"/>
    </xf>
    <xf numFmtId="49" fontId="25" fillId="12" borderId="14" xfId="286" applyNumberFormat="1" applyFont="1" applyFill="1" applyBorder="1">
      <alignment horizontal="center" vertical="center"/>
    </xf>
    <xf numFmtId="49" fontId="25" fillId="0" borderId="14" xfId="290" applyNumberFormat="1" applyFont="1" applyBorder="1">
      <alignment horizontal="left" vertical="center" wrapText="1"/>
    </xf>
    <xf numFmtId="49" fontId="5" fillId="8" borderId="14" xfId="292" applyNumberFormat="1" applyFont="1" applyFill="1" applyBorder="1">
      <alignment horizontal="left" vertical="center" wrapText="1"/>
      <protection locked="0"/>
    </xf>
    <xf numFmtId="49" fontId="5" fillId="0" borderId="14" xfId="295" applyNumberFormat="1" applyFont="1" applyBorder="1">
      <alignment horizontal="left" vertical="center" wrapText="1" indent="1"/>
    </xf>
    <xf numFmtId="49" fontId="5" fillId="11" borderId="14" xfId="298" applyNumberFormat="1" applyFont="1" applyFill="1" applyBorder="1">
      <alignment horizontal="left" vertical="center" wrapText="1" indent="1"/>
      <protection locked="0"/>
    </xf>
    <xf numFmtId="49" fontId="9" fillId="11" borderId="12" xfId="299" applyNumberFormat="1" applyFont="1" applyFill="1" applyBorder="1">
      <alignment horizontal="left" vertical="center" wrapText="1"/>
      <protection locked="0"/>
    </xf>
    <xf numFmtId="49" fontId="9" fillId="11" borderId="14" xfId="302" quotePrefix="1" applyNumberFormat="1" applyFont="1" applyFill="1" applyBorder="1">
      <alignment horizontal="left" vertical="center" wrapText="1"/>
      <protection locked="0"/>
    </xf>
    <xf numFmtId="49" fontId="9" fillId="8" borderId="14" xfId="303" applyNumberFormat="1" applyFont="1" applyFill="1" applyBorder="1">
      <alignment horizontal="left" vertical="center" wrapText="1"/>
      <protection locked="0"/>
    </xf>
    <xf numFmtId="49" fontId="9" fillId="13" borderId="14" xfId="304" applyNumberFormat="1" applyFont="1" applyFill="1" applyBorder="1">
      <alignment horizontal="left" vertical="center" wrapText="1"/>
    </xf>
    <xf numFmtId="49" fontId="9" fillId="13" borderId="12" xfId="306" applyNumberFormat="1" applyFont="1" applyFill="1" applyBorder="1">
      <alignment horizontal="left" vertical="center" wrapText="1"/>
    </xf>
    <xf numFmtId="49" fontId="28" fillId="12" borderId="0" xfId="337" applyNumberFormat="1" applyFont="1" applyFill="1">
      <alignment horizontal="center" vertical="center" wrapText="1"/>
    </xf>
    <xf numFmtId="49" fontId="36" fillId="0" borderId="23" xfId="339" applyNumberFormat="1" applyFont="1" applyBorder="1">
      <alignment horizontal="left" vertical="center" wrapText="1"/>
    </xf>
    <xf numFmtId="49" fontId="36" fillId="0" borderId="14" xfId="340" applyNumberFormat="1" applyFont="1" applyBorder="1">
      <alignment horizontal="left" vertical="center" wrapText="1"/>
    </xf>
    <xf numFmtId="49" fontId="5" fillId="0" borderId="14" xfId="341" applyNumberFormat="1" applyFont="1" applyBorder="1">
      <alignment vertical="top" wrapText="1"/>
    </xf>
    <xf numFmtId="49" fontId="5" fillId="0" borderId="14" xfId="343" applyNumberFormat="1" applyFont="1" applyBorder="1">
      <alignment horizontal="center" vertical="center" wrapText="1"/>
    </xf>
    <xf numFmtId="49" fontId="28" fillId="12" borderId="14" xfId="345" applyNumberFormat="1" applyFont="1" applyFill="1" applyBorder="1">
      <alignment horizontal="center" vertical="center" wrapText="1"/>
    </xf>
    <xf numFmtId="4" fontId="5" fillId="11" borderId="14" xfId="346" applyNumberFormat="1" applyFont="1" applyFill="1" applyBorder="1">
      <alignment horizontal="right" vertical="center" wrapText="1"/>
      <protection locked="0"/>
    </xf>
    <xf numFmtId="3" fontId="5" fillId="11" borderId="14" xfId="347" applyNumberFormat="1" applyFont="1" applyFill="1" applyBorder="1">
      <alignment horizontal="right" vertical="center" wrapText="1"/>
      <protection locked="0"/>
    </xf>
    <xf numFmtId="4" fontId="5" fillId="11" borderId="11" xfId="348" applyNumberFormat="1" applyFont="1" applyFill="1" applyBorder="1">
      <alignment horizontal="right" vertical="center" wrapText="1"/>
      <protection locked="0"/>
    </xf>
    <xf numFmtId="3" fontId="5" fillId="0" borderId="11" xfId="350" applyNumberFormat="1" applyFont="1" applyBorder="1">
      <alignment horizontal="right" vertical="center" wrapText="1"/>
    </xf>
    <xf numFmtId="49" fontId="13" fillId="14" borderId="12" xfId="352" applyNumberFormat="1" applyFont="1" applyFill="1" applyBorder="1">
      <alignment horizontal="center" vertical="center"/>
    </xf>
    <xf numFmtId="49" fontId="29" fillId="14" borderId="16" xfId="354" applyNumberFormat="1" applyFont="1" applyFill="1" applyBorder="1">
      <alignment vertical="center"/>
    </xf>
    <xf numFmtId="49" fontId="38" fillId="14" borderId="16" xfId="355" applyNumberFormat="1" applyFont="1" applyFill="1" applyBorder="1">
      <alignment vertical="center"/>
    </xf>
    <xf numFmtId="49" fontId="38" fillId="14" borderId="11" xfId="356" applyNumberFormat="1" applyFont="1" applyFill="1" applyBorder="1">
      <alignment vertical="center"/>
    </xf>
    <xf numFmtId="49" fontId="9" fillId="11" borderId="14" xfId="361" applyNumberFormat="1" applyFont="1" applyFill="1" applyBorder="1">
      <alignment horizontal="left" vertical="center" wrapText="1"/>
      <protection locked="0"/>
    </xf>
    <xf numFmtId="3" fontId="9" fillId="11" borderId="14" xfId="362" applyNumberFormat="1" applyFont="1" applyFill="1" applyBorder="1">
      <alignment horizontal="right" vertical="center" wrapText="1"/>
      <protection locked="0"/>
    </xf>
    <xf numFmtId="0" fontId="9" fillId="0" borderId="17" xfId="365" applyFont="1" applyBorder="1">
      <alignment horizontal="left" vertical="top" wrapText="1" indent="1"/>
    </xf>
    <xf numFmtId="49" fontId="28" fillId="12" borderId="16" xfId="368" applyNumberFormat="1" applyFont="1" applyFill="1" applyBorder="1">
      <alignment horizontal="center" vertical="center" wrapText="1"/>
    </xf>
    <xf numFmtId="49" fontId="9" fillId="0" borderId="14" xfId="369" applyNumberFormat="1" applyFont="1" applyBorder="1">
      <alignment horizontal="left" vertical="center" wrapText="1"/>
    </xf>
    <xf numFmtId="14" fontId="9" fillId="14" borderId="16" xfId="371" applyNumberFormat="1" applyFont="1" applyFill="1" applyBorder="1">
      <alignment horizontal="center" vertical="center" wrapText="1"/>
    </xf>
    <xf numFmtId="14" fontId="35" fillId="14" borderId="16" xfId="372" applyNumberFormat="1" applyFont="1" applyFill="1" applyBorder="1">
      <alignment horizontal="center" vertical="center" wrapText="1"/>
    </xf>
    <xf numFmtId="49" fontId="18" fillId="14" borderId="11" xfId="373" applyNumberFormat="1" applyFont="1" applyFill="1" applyBorder="1">
      <alignment horizontal="left" vertical="center" wrapText="1"/>
    </xf>
    <xf numFmtId="14" fontId="9" fillId="13" borderId="21" xfId="377" applyNumberFormat="1" applyFont="1" applyFill="1" applyBorder="1">
      <alignment horizontal="left" vertical="center" wrapText="1"/>
    </xf>
    <xf numFmtId="14" fontId="9" fillId="13" borderId="14" xfId="378" applyNumberFormat="1" applyFont="1" applyFill="1" applyBorder="1">
      <alignment horizontal="center" vertical="center" wrapText="1"/>
    </xf>
    <xf numFmtId="49" fontId="18" fillId="11" borderId="14" xfId="379" applyNumberFormat="1" applyFont="1" applyFill="1" applyBorder="1">
      <alignment horizontal="left" vertical="center" wrapText="1"/>
      <protection locked="0"/>
    </xf>
    <xf numFmtId="49" fontId="25" fillId="0" borderId="0" xfId="381" applyNumberFormat="1" applyFont="1">
      <alignment horizontal="left" vertical="center" wrapText="1"/>
    </xf>
    <xf numFmtId="49" fontId="13" fillId="14" borderId="16" xfId="382" applyNumberFormat="1" applyFont="1" applyFill="1" applyBorder="1">
      <alignment horizontal="center" vertical="center"/>
    </xf>
    <xf numFmtId="49" fontId="38" fillId="14" borderId="16" xfId="383" applyNumberFormat="1" applyFont="1" applyFill="1" applyBorder="1">
      <alignment horizontal="left" vertical="center" indent="1"/>
    </xf>
    <xf numFmtId="49" fontId="38" fillId="14" borderId="11" xfId="384" applyNumberFormat="1" applyFont="1" applyFill="1" applyBorder="1">
      <alignment horizontal="left" vertical="center" indent="1"/>
    </xf>
    <xf numFmtId="49" fontId="47" fillId="0" borderId="14" xfId="386" applyNumberFormat="1" applyFont="1" applyBorder="1">
      <alignment vertical="top" wrapText="1"/>
    </xf>
    <xf numFmtId="49" fontId="15" fillId="0" borderId="14" xfId="387" applyNumberFormat="1" applyFont="1" applyBorder="1">
      <alignment horizontal="center" vertical="top" wrapText="1"/>
    </xf>
    <xf numFmtId="49" fontId="15" fillId="16" borderId="14" xfId="388" applyNumberFormat="1" applyFont="1" applyFill="1" applyBorder="1">
      <alignment horizontal="center" vertical="top"/>
    </xf>
    <xf numFmtId="49" fontId="15" fillId="0" borderId="14" xfId="389" applyNumberFormat="1" applyFont="1" applyBorder="1">
      <alignment vertical="top" wrapText="1"/>
    </xf>
    <xf numFmtId="49" fontId="15" fillId="0" borderId="14" xfId="391" applyNumberFormat="1" applyFont="1" applyBorder="1">
      <alignment vertical="top"/>
    </xf>
    <xf numFmtId="49" fontId="47" fillId="0" borderId="14" xfId="392" applyNumberFormat="1" applyFont="1" applyBorder="1">
      <alignment vertical="top"/>
    </xf>
    <xf numFmtId="49" fontId="47" fillId="0" borderId="14" xfId="394" applyNumberFormat="1" applyFont="1" applyBorder="1">
      <alignment horizontal="center" vertical="top" wrapText="1"/>
    </xf>
    <xf numFmtId="49" fontId="47" fillId="16" borderId="14" xfId="395" applyNumberFormat="1" applyFont="1" applyFill="1" applyBorder="1">
      <alignment horizontal="center" vertical="top" wrapText="1"/>
    </xf>
    <xf numFmtId="49" fontId="15" fillId="16" borderId="14" xfId="396" applyNumberFormat="1" applyFont="1" applyFill="1" applyBorder="1">
      <alignment horizontal="center" vertical="top" wrapText="1"/>
    </xf>
    <xf numFmtId="49" fontId="47" fillId="0" borderId="14" xfId="397" applyNumberFormat="1" applyFont="1" applyBorder="1">
      <alignment horizontal="left" vertical="top" wrapText="1"/>
    </xf>
    <xf numFmtId="49" fontId="47" fillId="16" borderId="14" xfId="404" applyNumberFormat="1" applyFont="1" applyFill="1" applyBorder="1">
      <alignment horizontal="left" vertical="top" wrapText="1"/>
    </xf>
    <xf numFmtId="49" fontId="47" fillId="0" borderId="23" xfId="406" applyNumberFormat="1" applyFont="1" applyBorder="1">
      <alignment horizontal="center" vertical="top" wrapText="1"/>
    </xf>
    <xf numFmtId="49" fontId="47" fillId="0" borderId="24" xfId="409" applyNumberFormat="1" applyFont="1" applyBorder="1">
      <alignment horizontal="center" vertical="top" wrapText="1"/>
    </xf>
    <xf numFmtId="49" fontId="47" fillId="0" borderId="19" xfId="413" applyNumberFormat="1" applyFont="1" applyBorder="1">
      <alignment horizontal="center" vertical="top" wrapText="1"/>
    </xf>
    <xf numFmtId="49" fontId="15" fillId="0" borderId="14" xfId="415" applyNumberFormat="1" applyFont="1" applyBorder="1">
      <alignment horizontal="left" vertical="top" wrapText="1"/>
    </xf>
    <xf numFmtId="49" fontId="15" fillId="0" borderId="14" xfId="418" applyNumberFormat="1" applyFont="1" applyBorder="1">
      <alignment horizontal="center" vertical="center" wrapText="1"/>
    </xf>
    <xf numFmtId="49" fontId="47" fillId="0" borderId="12" xfId="420" applyNumberFormat="1" applyFont="1" applyBorder="1">
      <alignment horizontal="left" vertical="top" wrapText="1"/>
    </xf>
    <xf numFmtId="49" fontId="47" fillId="0" borderId="26" xfId="424" applyNumberFormat="1" applyFont="1" applyBorder="1">
      <alignment horizontal="left" vertical="top" wrapText="1"/>
    </xf>
    <xf numFmtId="49" fontId="47" fillId="0" borderId="11" xfId="425" applyNumberFormat="1" applyFont="1" applyBorder="1">
      <alignment horizontal="left" vertical="top" wrapText="1"/>
    </xf>
    <xf numFmtId="49" fontId="15" fillId="0" borderId="23" xfId="426" applyNumberFormat="1" applyFont="1" applyBorder="1">
      <alignment horizontal="center" vertical="center" wrapText="1"/>
    </xf>
    <xf numFmtId="49" fontId="15" fillId="0" borderId="21" xfId="427" applyNumberFormat="1" applyFont="1" applyBorder="1">
      <alignment horizontal="center" vertical="center" wrapText="1"/>
    </xf>
    <xf numFmtId="49" fontId="47" fillId="0" borderId="33" xfId="429" applyNumberFormat="1" applyFont="1" applyBorder="1">
      <alignment horizontal="left" vertical="top" wrapText="1"/>
    </xf>
    <xf numFmtId="49" fontId="10" fillId="17" borderId="0" xfId="431" applyNumberFormat="1" applyFont="1" applyFill="1">
      <alignment horizontal="center" vertical="center"/>
    </xf>
    <xf numFmtId="49" fontId="9" fillId="0" borderId="14" xfId="432" applyNumberFormat="1" applyFont="1" applyBorder="1">
      <alignment horizontal="center" vertical="top"/>
    </xf>
    <xf numFmtId="49" fontId="19" fillId="17" borderId="0" xfId="433" applyNumberFormat="1" applyFont="1" applyFill="1">
      <alignment horizontal="center" vertical="center" wrapText="1"/>
    </xf>
    <xf numFmtId="49" fontId="19" fillId="17" borderId="14" xfId="435" applyNumberFormat="1" applyFont="1" applyFill="1" applyBorder="1">
      <alignment horizontal="center" vertical="center"/>
    </xf>
    <xf numFmtId="49" fontId="19" fillId="19" borderId="14" xfId="436" applyNumberFormat="1" applyFont="1" applyFill="1" applyBorder="1">
      <alignment horizontal="center" vertical="center"/>
    </xf>
    <xf numFmtId="49" fontId="5" fillId="20" borderId="14" xfId="437" applyNumberFormat="1" applyFont="1" applyFill="1" applyBorder="1">
      <alignment horizontal="center" vertical="center"/>
    </xf>
    <xf numFmtId="49" fontId="9" fillId="0" borderId="37" xfId="442" applyNumberFormat="1" applyFont="1" applyBorder="1">
      <alignment vertical="center"/>
    </xf>
    <xf numFmtId="49" fontId="9" fillId="0" borderId="38" xfId="443" applyNumberFormat="1" applyFont="1" applyBorder="1">
      <alignment vertical="top"/>
    </xf>
    <xf numFmtId="49" fontId="9" fillId="0" borderId="39" xfId="444" applyNumberFormat="1" applyFont="1" applyBorder="1">
      <alignment vertical="top"/>
    </xf>
    <xf numFmtId="49" fontId="9" fillId="0" borderId="14" xfId="449" applyNumberFormat="1" applyFont="1" applyBorder="1">
      <alignment vertical="center"/>
    </xf>
    <xf numFmtId="49" fontId="9" fillId="0" borderId="12" xfId="455" applyNumberFormat="1" applyFont="1" applyBorder="1">
      <alignment vertical="top"/>
    </xf>
    <xf numFmtId="49" fontId="5" fillId="0" borderId="12" xfId="457" applyNumberFormat="1" applyFont="1" applyBorder="1">
      <alignment vertical="top"/>
    </xf>
    <xf numFmtId="49" fontId="9" fillId="0" borderId="14" xfId="458" applyNumberFormat="1" applyFont="1" applyBorder="1">
      <alignment horizontal="right" vertical="top"/>
    </xf>
    <xf numFmtId="49" fontId="9" fillId="0" borderId="23" xfId="460" applyNumberFormat="1" applyFont="1" applyBorder="1">
      <alignment horizontal="right" vertical="top"/>
    </xf>
    <xf numFmtId="49" fontId="9" fillId="0" borderId="40" xfId="463" applyNumberFormat="1" applyFont="1" applyBorder="1">
      <alignment horizontal="center" vertical="center"/>
    </xf>
    <xf numFmtId="49" fontId="9" fillId="0" borderId="14" xfId="464" applyNumberFormat="1" applyFont="1" applyBorder="1">
      <alignment horizontal="right" vertical="center"/>
    </xf>
    <xf numFmtId="49" fontId="9" fillId="0" borderId="14" xfId="465" applyNumberFormat="1" applyFont="1" applyBorder="1">
      <alignment vertical="top"/>
    </xf>
    <xf numFmtId="49" fontId="49" fillId="0" borderId="39" xfId="468" applyNumberFormat="1" applyFont="1" applyBorder="1">
      <alignment vertical="top"/>
    </xf>
    <xf numFmtId="49" fontId="30" fillId="22" borderId="0" xfId="469" applyNumberFormat="1" applyFont="1" applyFill="1">
      <alignment vertical="center" wrapText="1"/>
    </xf>
    <xf numFmtId="49" fontId="10" fillId="17" borderId="0" xfId="471" applyNumberFormat="1" applyFont="1" applyFill="1">
      <alignment horizontal="center" vertical="center" wrapText="1"/>
    </xf>
    <xf numFmtId="49" fontId="9" fillId="21" borderId="0" xfId="472" applyNumberFormat="1" applyFont="1" applyFill="1">
      <alignment horizontal="center" vertical="center"/>
    </xf>
    <xf numFmtId="0" fontId="28" fillId="0" borderId="0" xfId="473" applyFont="1">
      <alignment horizontal="center" vertical="center" wrapText="1"/>
    </xf>
    <xf numFmtId="49" fontId="5" fillId="8" borderId="40" xfId="474" applyNumberFormat="1" applyFont="1" applyFill="1" applyBorder="1">
      <alignment horizontal="left" vertical="center"/>
      <protection locked="0"/>
    </xf>
    <xf numFmtId="49" fontId="5" fillId="0" borderId="40" xfId="475" applyNumberFormat="1" applyFont="1" applyBorder="1">
      <alignment horizontal="right" vertical="center"/>
    </xf>
    <xf numFmtId="49" fontId="5" fillId="0" borderId="40" xfId="477" applyNumberFormat="1" applyFont="1" applyBorder="1">
      <alignment horizontal="center" vertical="center"/>
    </xf>
    <xf numFmtId="49" fontId="10" fillId="17" borderId="14" xfId="480" applyNumberFormat="1" applyFont="1" applyFill="1" applyBorder="1">
      <alignment horizontal="right" vertical="center"/>
    </xf>
    <xf numFmtId="49" fontId="9" fillId="8" borderId="24" xfId="481" applyNumberFormat="1" applyFont="1" applyFill="1" applyBorder="1">
      <alignment vertical="top"/>
      <protection locked="0"/>
    </xf>
    <xf numFmtId="49" fontId="9" fillId="16" borderId="21" xfId="483" applyNumberFormat="1" applyFont="1" applyFill="1" applyBorder="1">
      <alignment vertical="top"/>
    </xf>
    <xf numFmtId="49" fontId="9" fillId="16" borderId="14" xfId="484" applyNumberFormat="1" applyFont="1" applyFill="1" applyBorder="1">
      <alignment vertical="top"/>
    </xf>
    <xf numFmtId="49" fontId="9" fillId="0" borderId="12" xfId="486" applyNumberFormat="1" applyFont="1" applyBorder="1">
      <alignment horizontal="center" vertical="top"/>
    </xf>
    <xf numFmtId="49" fontId="9" fillId="0" borderId="11" xfId="487" applyNumberFormat="1" applyFont="1" applyBorder="1">
      <alignment horizontal="center" vertical="top"/>
    </xf>
    <xf numFmtId="49" fontId="10" fillId="17" borderId="12" xfId="494" applyNumberFormat="1" applyFont="1" applyFill="1" applyBorder="1">
      <alignment horizontal="right" vertical="center"/>
    </xf>
    <xf numFmtId="49" fontId="5" fillId="0" borderId="0" xfId="495" applyNumberFormat="1" applyFont="1">
      <alignment vertical="center"/>
    </xf>
    <xf numFmtId="49" fontId="5" fillId="23" borderId="0" xfId="498" applyNumberFormat="1" applyFont="1" applyFill="1">
      <alignment vertical="top"/>
    </xf>
    <xf numFmtId="0" fontId="9" fillId="12" borderId="14" xfId="499" applyFont="1" applyFill="1" applyBorder="1">
      <alignment horizontal="center" vertical="center"/>
    </xf>
    <xf numFmtId="14" fontId="9" fillId="13" borderId="14" xfId="504" applyNumberFormat="1" applyFont="1" applyFill="1" applyBorder="1">
      <alignment horizontal="left" vertical="center" wrapText="1" indent="1"/>
    </xf>
    <xf numFmtId="49" fontId="9" fillId="10" borderId="14" xfId="505" applyNumberFormat="1" applyFont="1" applyFill="1" applyBorder="1">
      <alignment horizontal="center" vertical="center" wrapText="1"/>
    </xf>
    <xf numFmtId="49" fontId="40" fillId="23" borderId="0" xfId="506" applyNumberFormat="1" applyFont="1" applyFill="1">
      <alignment vertical="top"/>
    </xf>
    <xf numFmtId="49" fontId="9" fillId="0" borderId="11" xfId="514" applyNumberFormat="1" applyFont="1" applyBorder="1">
      <alignment horizontal="center" vertical="center" wrapText="1"/>
    </xf>
    <xf numFmtId="49" fontId="34" fillId="11" borderId="14" xfId="515" applyNumberFormat="1" applyFont="1" applyFill="1" applyBorder="1">
      <alignment horizontal="left" vertical="center" wrapText="1" indent="1"/>
      <protection locked="0"/>
    </xf>
    <xf numFmtId="14" fontId="9" fillId="13" borderId="25" xfId="519" applyNumberFormat="1" applyFont="1" applyFill="1" applyBorder="1">
      <alignment horizontal="left" vertical="center" wrapText="1"/>
    </xf>
    <xf numFmtId="49" fontId="50" fillId="11" borderId="14" xfId="520" applyNumberFormat="1" applyFont="1" applyFill="1" applyBorder="1">
      <alignment horizontal="left" vertical="center" wrapText="1"/>
      <protection locked="0"/>
    </xf>
    <xf numFmtId="49" fontId="19" fillId="0" borderId="0" xfId="521" applyNumberFormat="1" applyFont="1">
      <alignment vertical="top"/>
    </xf>
    <xf numFmtId="168" fontId="5" fillId="11" borderId="14" xfId="522" applyNumberFormat="1" applyFont="1" applyFill="1" applyBorder="1">
      <alignment horizontal="center" vertical="center" wrapText="1"/>
      <protection locked="0"/>
    </xf>
    <xf numFmtId="49" fontId="5" fillId="11" borderId="14" xfId="523" applyNumberFormat="1" applyFont="1" applyFill="1" applyBorder="1">
      <alignment horizontal="center" vertical="center" wrapText="1"/>
      <protection locked="0"/>
    </xf>
    <xf numFmtId="49" fontId="9" fillId="11" borderId="23" xfId="538" applyNumberFormat="1" applyFont="1" applyFill="1" applyBorder="1">
      <alignment horizontal="left" vertical="center" wrapText="1" indent="1"/>
      <protection locked="0"/>
    </xf>
    <xf numFmtId="0" fontId="9" fillId="14" borderId="16" xfId="545" applyFont="1" applyFill="1" applyBorder="1">
      <alignment vertical="center" wrapText="1"/>
    </xf>
    <xf numFmtId="49" fontId="9" fillId="0" borderId="33" xfId="546" applyNumberFormat="1" applyFont="1" applyBorder="1">
      <alignment horizontal="center" vertical="top" wrapText="1"/>
    </xf>
    <xf numFmtId="49" fontId="9" fillId="13" borderId="33" xfId="548" applyNumberFormat="1" applyFont="1" applyFill="1" applyBorder="1">
      <alignment horizontal="center" vertical="top" wrapText="1"/>
    </xf>
    <xf numFmtId="49" fontId="5" fillId="11" borderId="33" xfId="549" applyNumberFormat="1" applyFont="1" applyFill="1" applyBorder="1">
      <alignment horizontal="center" vertical="top" wrapText="1"/>
      <protection locked="0"/>
    </xf>
    <xf numFmtId="49" fontId="5" fillId="8" borderId="33" xfId="550" applyNumberFormat="1" applyFont="1" applyFill="1" applyBorder="1">
      <alignment horizontal="center" vertical="top" wrapText="1"/>
      <protection locked="0"/>
    </xf>
    <xf numFmtId="49" fontId="9" fillId="13" borderId="33" xfId="551" applyNumberFormat="1" applyFont="1" applyFill="1" applyBorder="1">
      <alignment horizontal="left" vertical="top" wrapText="1"/>
    </xf>
    <xf numFmtId="49" fontId="9" fillId="11" borderId="33" xfId="552" applyNumberFormat="1" applyFont="1" applyFill="1" applyBorder="1">
      <alignment horizontal="left" vertical="top" wrapText="1"/>
      <protection locked="0"/>
    </xf>
    <xf numFmtId="49" fontId="5" fillId="10" borderId="33" xfId="553" applyNumberFormat="1" applyFont="1" applyFill="1" applyBorder="1">
      <alignment horizontal="center" vertical="top" wrapText="1"/>
    </xf>
    <xf numFmtId="49" fontId="53" fillId="0" borderId="35" xfId="567" applyNumberFormat="1" applyFont="1" applyBorder="1">
      <alignment horizontal="left" vertical="center" indent="1"/>
    </xf>
    <xf numFmtId="49" fontId="53" fillId="0" borderId="35" xfId="568" applyNumberFormat="1" applyFont="1" applyBorder="1">
      <alignment horizontal="center" vertical="center"/>
    </xf>
    <xf numFmtId="49" fontId="53" fillId="0" borderId="12" xfId="573" applyNumberFormat="1" applyFont="1" applyBorder="1">
      <alignment horizontal="left" vertical="center" indent="1"/>
    </xf>
    <xf numFmtId="49" fontId="53" fillId="0" borderId="16" xfId="574" applyNumberFormat="1" applyFont="1" applyBorder="1">
      <alignment horizontal="left" vertical="center" indent="1"/>
    </xf>
    <xf numFmtId="49" fontId="53" fillId="0" borderId="16" xfId="575" applyNumberFormat="1" applyFont="1" applyBorder="1">
      <alignment vertical="top" wrapText="1"/>
    </xf>
    <xf numFmtId="49" fontId="53" fillId="0" borderId="11" xfId="576" applyNumberFormat="1" applyFont="1" applyBorder="1">
      <alignment vertical="top" wrapText="1"/>
    </xf>
    <xf numFmtId="4" fontId="19" fillId="0" borderId="40" xfId="579" applyNumberFormat="1" applyFont="1" applyBorder="1">
      <alignment horizontal="right" vertical="center" wrapText="1"/>
    </xf>
    <xf numFmtId="49" fontId="19" fillId="0" borderId="16" xfId="581" applyNumberFormat="1" applyFont="1" applyBorder="1">
      <alignment horizontal="left" vertical="center" indent="1"/>
    </xf>
    <xf numFmtId="49" fontId="53" fillId="0" borderId="50" xfId="582" applyNumberFormat="1" applyFont="1" applyBorder="1">
      <alignment vertical="top" wrapText="1"/>
    </xf>
    <xf numFmtId="49" fontId="53" fillId="0" borderId="50" xfId="583" applyNumberFormat="1" applyFont="1" applyBorder="1">
      <alignment horizontal="left" vertical="center" indent="1"/>
    </xf>
    <xf numFmtId="49" fontId="29" fillId="14" borderId="53" xfId="586" applyNumberFormat="1" applyFont="1" applyFill="1" applyBorder="1">
      <alignment horizontal="left" vertical="center" indent="1"/>
    </xf>
    <xf numFmtId="49" fontId="5" fillId="10" borderId="33" xfId="589" applyNumberFormat="1" applyFont="1" applyFill="1" applyBorder="1">
      <alignment vertical="top"/>
    </xf>
    <xf numFmtId="49" fontId="5" fillId="0" borderId="33" xfId="590" applyNumberFormat="1" applyFont="1" applyBorder="1">
      <alignment vertical="top"/>
    </xf>
    <xf numFmtId="49" fontId="9" fillId="13" borderId="23" xfId="591" applyNumberFormat="1" applyFont="1" applyFill="1" applyBorder="1">
      <alignment vertical="center" wrapText="1"/>
    </xf>
    <xf numFmtId="49" fontId="5" fillId="11" borderId="33" xfId="592" applyNumberFormat="1" applyFont="1" applyFill="1" applyBorder="1">
      <alignment vertical="top"/>
      <protection locked="0"/>
    </xf>
    <xf numFmtId="49" fontId="56" fillId="14" borderId="12" xfId="596" applyNumberFormat="1" applyFont="1" applyFill="1" applyBorder="1">
      <alignment horizontal="left" vertical="center" indent="1"/>
    </xf>
    <xf numFmtId="49" fontId="56" fillId="14" borderId="16" xfId="597" applyNumberFormat="1" applyFont="1" applyFill="1" applyBorder="1">
      <alignment horizontal="left" vertical="center" indent="1"/>
    </xf>
    <xf numFmtId="49" fontId="30" fillId="14" borderId="16" xfId="598" applyNumberFormat="1" applyFont="1" applyFill="1" applyBorder="1">
      <alignment vertical="top" wrapText="1"/>
    </xf>
    <xf numFmtId="49" fontId="5" fillId="11" borderId="23" xfId="599" applyNumberFormat="1" applyFont="1" applyFill="1" applyBorder="1">
      <alignment vertical="top"/>
      <protection locked="0"/>
    </xf>
    <xf numFmtId="14" fontId="9" fillId="13" borderId="33" xfId="600" applyNumberFormat="1" applyFont="1" applyFill="1" applyBorder="1">
      <alignment horizontal="left" vertical="center" wrapText="1" indent="1"/>
    </xf>
    <xf numFmtId="14" fontId="9" fillId="13" borderId="19" xfId="601" applyNumberFormat="1" applyFont="1" applyFill="1" applyBorder="1">
      <alignment horizontal="left" vertical="center" wrapText="1" indent="1"/>
    </xf>
    <xf numFmtId="49" fontId="9" fillId="13" borderId="33" xfId="602" applyNumberFormat="1" applyFont="1" applyFill="1" applyBorder="1">
      <alignment vertical="center" wrapText="1"/>
    </xf>
    <xf numFmtId="0" fontId="30" fillId="13" borderId="14" xfId="605" applyFont="1" applyFill="1" applyBorder="1">
      <alignment horizontal="left" vertical="center" wrapText="1" indent="1"/>
    </xf>
    <xf numFmtId="4" fontId="9" fillId="11" borderId="40" xfId="606" applyNumberFormat="1" applyFont="1" applyFill="1" applyBorder="1">
      <alignment horizontal="right" vertical="center" wrapText="1"/>
      <protection locked="0"/>
    </xf>
    <xf numFmtId="4" fontId="9" fillId="11" borderId="45" xfId="607" applyNumberFormat="1" applyFont="1" applyFill="1" applyBorder="1">
      <alignment horizontal="right" vertical="center" wrapText="1"/>
      <protection locked="0"/>
    </xf>
    <xf numFmtId="49" fontId="9" fillId="13" borderId="21" xfId="608" applyNumberFormat="1" applyFont="1" applyFill="1" applyBorder="1">
      <alignment vertical="center" wrapText="1"/>
    </xf>
    <xf numFmtId="49" fontId="5" fillId="11" borderId="21" xfId="610" applyNumberFormat="1" applyFont="1" applyFill="1" applyBorder="1">
      <alignment vertical="top"/>
      <protection locked="0"/>
    </xf>
    <xf numFmtId="49" fontId="55" fillId="0" borderId="33" xfId="611" applyNumberFormat="1" applyFont="1" applyBorder="1">
      <alignment horizontal="center" vertical="top" wrapText="1"/>
    </xf>
    <xf numFmtId="49" fontId="56" fillId="14" borderId="34" xfId="614" applyNumberFormat="1" applyFont="1" applyFill="1" applyBorder="1">
      <alignment horizontal="left" vertical="center" indent="1"/>
    </xf>
    <xf numFmtId="49" fontId="53" fillId="14" borderId="35" xfId="615" applyNumberFormat="1" applyFont="1" applyFill="1" applyBorder="1">
      <alignment horizontal="center" vertical="center"/>
    </xf>
    <xf numFmtId="49" fontId="56" fillId="14" borderId="35" xfId="616" applyNumberFormat="1" applyFont="1" applyFill="1" applyBorder="1">
      <alignment horizontal="left" vertical="center" indent="1"/>
    </xf>
    <xf numFmtId="49" fontId="30" fillId="14" borderId="11" xfId="619" applyNumberFormat="1" applyFont="1" applyFill="1" applyBorder="1">
      <alignment vertical="top" wrapText="1"/>
    </xf>
    <xf numFmtId="49" fontId="30" fillId="14" borderId="50" xfId="620" applyNumberFormat="1" applyFont="1" applyFill="1" applyBorder="1">
      <alignment vertical="top" wrapText="1"/>
    </xf>
    <xf numFmtId="49" fontId="56" fillId="14" borderId="50" xfId="621" applyNumberFormat="1" applyFont="1" applyFill="1" applyBorder="1">
      <alignment horizontal="left" vertical="center" indent="1"/>
    </xf>
    <xf numFmtId="49" fontId="30" fillId="12" borderId="0" xfId="622" applyNumberFormat="1" applyFont="1" applyFill="1">
      <alignment vertical="center"/>
    </xf>
    <xf numFmtId="0" fontId="52" fillId="0" borderId="54" xfId="623" applyFont="1" applyBorder="1">
      <alignment horizontal="left" vertical="center" indent="1"/>
    </xf>
    <xf numFmtId="49" fontId="9" fillId="0" borderId="55" xfId="624" applyNumberFormat="1" applyFont="1" applyBorder="1">
      <alignment horizontal="center" vertical="center"/>
    </xf>
    <xf numFmtId="0" fontId="9" fillId="0" borderId="55" xfId="625" applyFont="1" applyBorder="1">
      <alignment horizontal="right" vertical="center"/>
    </xf>
    <xf numFmtId="0" fontId="9" fillId="0" borderId="55" xfId="626" applyFont="1" applyBorder="1">
      <alignment horizontal="center" vertical="center"/>
    </xf>
    <xf numFmtId="0" fontId="9" fillId="0" borderId="16" xfId="627" applyFont="1" applyBorder="1">
      <alignment horizontal="right" vertical="center"/>
    </xf>
    <xf numFmtId="0" fontId="9" fillId="0" borderId="11" xfId="628" applyFont="1" applyBorder="1">
      <alignment horizontal="right" vertical="center"/>
    </xf>
    <xf numFmtId="0" fontId="9" fillId="0" borderId="14" xfId="629" applyFont="1" applyBorder="1">
      <alignment horizontal="right" vertical="center"/>
    </xf>
    <xf numFmtId="49" fontId="9" fillId="8" borderId="14" xfId="630" applyNumberFormat="1" applyFont="1" applyFill="1" applyBorder="1">
      <alignment horizontal="left" vertical="center" indent="1"/>
      <protection locked="0"/>
    </xf>
    <xf numFmtId="0" fontId="9" fillId="16" borderId="14" xfId="631" applyFont="1" applyFill="1" applyBorder="1">
      <alignment horizontal="right" vertical="center"/>
    </xf>
    <xf numFmtId="4" fontId="9" fillId="8" borderId="14" xfId="632" applyNumberFormat="1" applyFont="1" applyFill="1" applyBorder="1">
      <alignment horizontal="right" vertical="center"/>
      <protection locked="0"/>
    </xf>
    <xf numFmtId="49" fontId="29" fillId="14" borderId="56" xfId="633" applyNumberFormat="1" applyFont="1" applyFill="1" applyBorder="1">
      <alignment horizontal="left" vertical="center" indent="1"/>
    </xf>
    <xf numFmtId="49" fontId="29" fillId="24" borderId="11" xfId="634" applyNumberFormat="1" applyFont="1" applyFill="1" applyBorder="1">
      <alignment horizontal="left" vertical="center" indent="1"/>
    </xf>
    <xf numFmtId="49" fontId="25" fillId="0" borderId="19" xfId="639" applyNumberFormat="1" applyFont="1" applyBorder="1">
      <alignment vertical="top"/>
    </xf>
    <xf numFmtId="49" fontId="9" fillId="0" borderId="33" xfId="642" applyNumberFormat="1" applyFont="1" applyBorder="1">
      <alignment horizontal="center" vertical="center" wrapText="1"/>
    </xf>
    <xf numFmtId="4" fontId="9" fillId="10" borderId="14" xfId="644" applyNumberFormat="1" applyFont="1" applyFill="1" applyBorder="1">
      <alignment horizontal="right" vertical="center" wrapText="1"/>
    </xf>
    <xf numFmtId="2" fontId="9" fillId="0" borderId="21" xfId="645" applyNumberFormat="1" applyFont="1" applyBorder="1">
      <alignment horizontal="center" vertical="center" wrapText="1"/>
    </xf>
    <xf numFmtId="49" fontId="29" fillId="14" borderId="12" xfId="647" applyNumberFormat="1" applyFont="1" applyFill="1" applyBorder="1">
      <alignment horizontal="left" vertical="center"/>
    </xf>
    <xf numFmtId="4" fontId="25" fillId="0" borderId="14" xfId="651" applyNumberFormat="1" applyFont="1" applyBorder="1">
      <alignment horizontal="right" vertical="center" wrapText="1"/>
    </xf>
    <xf numFmtId="2" fontId="25" fillId="0" borderId="21" xfId="652" applyNumberFormat="1" applyFont="1" applyBorder="1">
      <alignment horizontal="center" vertical="center" wrapText="1"/>
    </xf>
    <xf numFmtId="49" fontId="25" fillId="0" borderId="12" xfId="653" applyNumberFormat="1" applyFont="1" applyBorder="1">
      <alignment horizontal="left" vertical="center"/>
    </xf>
    <xf numFmtId="49" fontId="25" fillId="0" borderId="16" xfId="654" applyNumberFormat="1" applyFont="1" applyBorder="1">
      <alignment horizontal="left" vertical="center" indent="1"/>
    </xf>
    <xf numFmtId="49" fontId="25" fillId="0" borderId="16" xfId="655" applyNumberFormat="1" applyFont="1" applyBorder="1">
      <alignment horizontal="left" vertical="center"/>
    </xf>
    <xf numFmtId="49" fontId="25" fillId="0" borderId="11" xfId="656" applyNumberFormat="1" applyFont="1" applyBorder="1">
      <alignment horizontal="left" vertical="center" indent="1"/>
    </xf>
    <xf numFmtId="49" fontId="5" fillId="0" borderId="17" xfId="658" applyNumberFormat="1" applyFont="1" applyBorder="1">
      <alignment vertical="top"/>
    </xf>
    <xf numFmtId="49" fontId="5" fillId="0" borderId="11" xfId="662" applyNumberFormat="1" applyFont="1" applyBorder="1">
      <alignment horizontal="center" vertical="center" wrapText="1"/>
    </xf>
    <xf numFmtId="4" fontId="5" fillId="10" borderId="14" xfId="664" applyNumberFormat="1" applyFont="1" applyFill="1" applyBorder="1">
      <alignment horizontal="right" vertical="center" wrapText="1"/>
    </xf>
    <xf numFmtId="49" fontId="5" fillId="0" borderId="25" xfId="668" applyNumberFormat="1" applyFont="1" applyBorder="1">
      <alignment horizontal="center" vertical="center" wrapText="1"/>
    </xf>
    <xf numFmtId="4" fontId="19" fillId="0" borderId="14" xfId="669" applyNumberFormat="1" applyFont="1" applyBorder="1">
      <alignment horizontal="right" vertical="center" wrapText="1"/>
    </xf>
    <xf numFmtId="49" fontId="5" fillId="14" borderId="26" xfId="670" applyNumberFormat="1" applyFont="1" applyFill="1" applyBorder="1">
      <alignment horizontal="center" vertical="center"/>
    </xf>
    <xf numFmtId="49" fontId="5" fillId="14" borderId="16" xfId="671" applyNumberFormat="1" applyFont="1" applyFill="1" applyBorder="1">
      <alignment horizontal="center" vertical="center"/>
    </xf>
    <xf numFmtId="49" fontId="5" fillId="0" borderId="19" xfId="673" applyNumberFormat="1" applyFont="1" applyBorder="1">
      <alignment vertical="top"/>
    </xf>
    <xf numFmtId="49" fontId="5" fillId="0" borderId="20" xfId="674" applyNumberFormat="1" applyFont="1" applyBorder="1">
      <alignment vertical="top"/>
    </xf>
    <xf numFmtId="49" fontId="5" fillId="0" borderId="33" xfId="684" applyNumberFormat="1" applyFont="1" applyBorder="1">
      <alignment horizontal="left" vertical="top"/>
    </xf>
    <xf numFmtId="49" fontId="5" fillId="13" borderId="33" xfId="685" applyNumberFormat="1" applyFont="1" applyFill="1" applyBorder="1">
      <alignment horizontal="left" vertical="top"/>
    </xf>
    <xf numFmtId="49" fontId="5" fillId="8" borderId="33" xfId="686" applyNumberFormat="1" applyFont="1" applyFill="1" applyBorder="1">
      <alignment horizontal="left" vertical="top"/>
      <protection locked="0"/>
    </xf>
    <xf numFmtId="49" fontId="9" fillId="13" borderId="0" xfId="687" applyNumberFormat="1" applyFont="1" applyFill="1">
      <alignment horizontal="center" vertical="center" wrapText="1"/>
    </xf>
    <xf numFmtId="49" fontId="5" fillId="13" borderId="33" xfId="689" applyNumberFormat="1" applyFont="1" applyFill="1" applyBorder="1">
      <alignment horizontal="left" vertical="center" wrapText="1"/>
    </xf>
    <xf numFmtId="49" fontId="25" fillId="0" borderId="14" xfId="692" applyNumberFormat="1" applyFont="1" applyBorder="1">
      <alignment horizontal="center" vertical="center" wrapText="1"/>
    </xf>
    <xf numFmtId="49" fontId="25" fillId="0" borderId="12" xfId="693" applyNumberFormat="1" applyFont="1" applyBorder="1">
      <alignment horizontal="left" vertical="center" wrapText="1"/>
    </xf>
    <xf numFmtId="49" fontId="5" fillId="8" borderId="33" xfId="697" applyNumberFormat="1" applyFont="1" applyFill="1" applyBorder="1">
      <alignment vertical="top"/>
      <protection locked="0"/>
    </xf>
    <xf numFmtId="49" fontId="9" fillId="0" borderId="33" xfId="699" applyNumberFormat="1" applyFont="1" applyBorder="1">
      <alignment vertical="center" wrapText="1"/>
    </xf>
    <xf numFmtId="49" fontId="9" fillId="0" borderId="23" xfId="701" applyNumberFormat="1" applyFont="1" applyBorder="1">
      <alignment horizontal="left" vertical="center" wrapText="1"/>
    </xf>
    <xf numFmtId="49" fontId="31" fillId="0" borderId="33" xfId="702" applyNumberFormat="1" applyFont="1" applyBorder="1">
      <alignment vertical="center" wrapText="1"/>
    </xf>
    <xf numFmtId="49" fontId="9" fillId="0" borderId="33" xfId="706" applyNumberFormat="1" applyFont="1" applyBorder="1">
      <alignment horizontal="left" vertical="center" wrapText="1"/>
    </xf>
    <xf numFmtId="49" fontId="31" fillId="0" borderId="33" xfId="714" applyNumberFormat="1" applyFont="1" applyBorder="1">
      <alignment horizontal="center" vertical="center" wrapText="1"/>
    </xf>
    <xf numFmtId="49" fontId="37" fillId="14" borderId="12" xfId="717" applyNumberFormat="1" applyFont="1" applyFill="1" applyBorder="1">
      <alignment vertical="top"/>
    </xf>
    <xf numFmtId="49" fontId="37" fillId="14" borderId="16" xfId="718" applyNumberFormat="1" applyFont="1" applyFill="1" applyBorder="1">
      <alignment vertical="top"/>
    </xf>
    <xf numFmtId="49" fontId="59" fillId="14" borderId="11" xfId="723" applyNumberFormat="1" applyFont="1" applyFill="1" applyBorder="1">
      <alignment horizontal="center" vertical="top"/>
    </xf>
    <xf numFmtId="49" fontId="18" fillId="11" borderId="12" xfId="725" applyNumberFormat="1" applyFont="1" applyFill="1" applyBorder="1">
      <alignment horizontal="left" vertical="center" wrapText="1"/>
      <protection locked="0"/>
    </xf>
    <xf numFmtId="49" fontId="59" fillId="14" borderId="16" xfId="726" applyNumberFormat="1" applyFont="1" applyFill="1" applyBorder="1">
      <alignment horizontal="center" vertical="top"/>
    </xf>
    <xf numFmtId="49" fontId="37" fillId="0" borderId="14" xfId="727" applyNumberFormat="1" applyFont="1" applyBorder="1">
      <alignment horizontal="center" vertical="center" wrapText="1"/>
    </xf>
    <xf numFmtId="49" fontId="60" fillId="0" borderId="12" xfId="729" applyNumberFormat="1" applyFont="1" applyBorder="1">
      <alignment horizontal="left" vertical="center" wrapText="1"/>
    </xf>
    <xf numFmtId="49" fontId="9" fillId="0" borderId="0" xfId="732" applyNumberFormat="1" applyFont="1">
      <alignment vertical="center" wrapText="1"/>
    </xf>
    <xf numFmtId="168" fontId="5" fillId="11" borderId="11" xfId="736" applyNumberFormat="1" applyFont="1" applyFill="1" applyBorder="1">
      <alignment horizontal="left" vertical="center" wrapText="1"/>
      <protection locked="0"/>
    </xf>
    <xf numFmtId="168" fontId="5" fillId="11" borderId="12" xfId="737" applyNumberFormat="1" applyFont="1" applyFill="1" applyBorder="1">
      <alignment horizontal="left" vertical="center" wrapText="1"/>
      <protection locked="0"/>
    </xf>
    <xf numFmtId="49" fontId="29" fillId="14" borderId="36" xfId="741" applyNumberFormat="1" applyFont="1" applyFill="1" applyBorder="1">
      <alignment horizontal="left" vertical="center"/>
    </xf>
    <xf numFmtId="49" fontId="5" fillId="12" borderId="23" xfId="752" applyNumberFormat="1" applyFont="1" applyFill="1" applyBorder="1">
      <alignment horizontal="center" vertical="center" wrapText="1"/>
    </xf>
    <xf numFmtId="49" fontId="29" fillId="14" borderId="36" xfId="756" applyNumberFormat="1" applyFont="1" applyFill="1" applyBorder="1">
      <alignment horizontal="left" vertical="center" indent="2"/>
    </xf>
    <xf numFmtId="49" fontId="5" fillId="12" borderId="12" xfId="761" applyNumberFormat="1" applyFont="1" applyFill="1" applyBorder="1">
      <alignment horizontal="center" vertical="center" wrapText="1"/>
    </xf>
    <xf numFmtId="49" fontId="18" fillId="8" borderId="14" xfId="762" applyNumberFormat="1" applyFont="1" applyFill="1" applyBorder="1">
      <alignment horizontal="left" vertical="center" wrapText="1"/>
      <protection locked="0"/>
    </xf>
    <xf numFmtId="49" fontId="9" fillId="0" borderId="17" xfId="763" applyNumberFormat="1" applyFont="1" applyBorder="1">
      <alignment vertical="top"/>
    </xf>
    <xf numFmtId="49" fontId="9" fillId="0" borderId="0" xfId="764" applyNumberFormat="1" applyFont="1">
      <alignment vertical="top" wrapText="1"/>
    </xf>
    <xf numFmtId="49" fontId="9" fillId="0" borderId="20" xfId="766" applyNumberFormat="1" applyFont="1" applyBorder="1">
      <alignment vertical="top"/>
    </xf>
    <xf numFmtId="4" fontId="9" fillId="8" borderId="14" xfId="788" applyNumberFormat="1" applyFont="1" applyFill="1" applyBorder="1">
      <alignment horizontal="right" vertical="center" wrapText="1"/>
      <protection locked="0"/>
    </xf>
    <xf numFmtId="4" fontId="9" fillId="0" borderId="14" xfId="789" applyNumberFormat="1" applyFont="1" applyBorder="1">
      <alignment horizontal="right" vertical="center" wrapText="1"/>
    </xf>
    <xf numFmtId="170" fontId="9" fillId="8" borderId="14" xfId="790" applyNumberFormat="1" applyFont="1" applyFill="1" applyBorder="1">
      <alignment horizontal="right" vertical="center" wrapText="1"/>
      <protection locked="0"/>
    </xf>
    <xf numFmtId="4" fontId="25" fillId="0" borderId="14" xfId="792" applyNumberFormat="1" applyFont="1" applyBorder="1">
      <alignment horizontal="center" vertical="center" wrapText="1"/>
    </xf>
    <xf numFmtId="49" fontId="38" fillId="14" borderId="12" xfId="794" applyNumberFormat="1" applyFont="1" applyFill="1" applyBorder="1">
      <alignment horizontal="left" vertical="center"/>
    </xf>
    <xf numFmtId="49" fontId="29" fillId="14" borderId="16" xfId="795" applyNumberFormat="1" applyFont="1" applyFill="1" applyBorder="1">
      <alignment horizontal="left" vertical="center" indent="6"/>
    </xf>
    <xf numFmtId="49" fontId="9" fillId="14" borderId="11" xfId="796" applyNumberFormat="1" applyFont="1" applyFill="1" applyBorder="1">
      <alignment horizontal="center" vertical="center" wrapText="1"/>
    </xf>
    <xf numFmtId="49" fontId="29" fillId="14" borderId="16" xfId="798" applyNumberFormat="1" applyFont="1" applyFill="1" applyBorder="1">
      <alignment horizontal="left" vertical="center" indent="5"/>
    </xf>
    <xf numFmtId="49" fontId="5" fillId="14" borderId="16" xfId="799" applyNumberFormat="1" applyFont="1" applyFill="1" applyBorder="1">
      <alignment horizontal="center" vertical="center" wrapText="1"/>
    </xf>
    <xf numFmtId="49" fontId="5" fillId="14" borderId="11" xfId="800" applyNumberFormat="1" applyFont="1" applyFill="1" applyBorder="1">
      <alignment horizontal="center" vertical="center" wrapText="1"/>
    </xf>
    <xf numFmtId="49" fontId="29" fillId="14" borderId="16" xfId="801" applyNumberFormat="1" applyFont="1" applyFill="1" applyBorder="1">
      <alignment horizontal="left" vertical="center" indent="4"/>
    </xf>
    <xf numFmtId="49" fontId="61" fillId="0" borderId="17" xfId="802" applyNumberFormat="1" applyFont="1" applyBorder="1">
      <alignment horizontal="left" vertical="center"/>
    </xf>
    <xf numFmtId="49" fontId="25" fillId="0" borderId="17" xfId="803" applyNumberFormat="1" applyFont="1" applyBorder="1">
      <alignment horizontal="left" vertical="center" indent="3"/>
    </xf>
    <xf numFmtId="49" fontId="25" fillId="0" borderId="17" xfId="804" applyNumberFormat="1" applyFont="1" applyBorder="1">
      <alignment horizontal="center" vertical="center" wrapText="1"/>
    </xf>
    <xf numFmtId="49" fontId="25" fillId="0" borderId="0" xfId="805" applyNumberFormat="1" applyFont="1">
      <alignment horizontal="left" vertical="center" indent="2"/>
    </xf>
    <xf numFmtId="49" fontId="25" fillId="0" borderId="0" xfId="806" applyNumberFormat="1" applyFont="1">
      <alignment horizontal="left" vertical="center" indent="1"/>
    </xf>
    <xf numFmtId="170" fontId="19" fillId="0" borderId="14" xfId="807" applyNumberFormat="1" applyFont="1" applyBorder="1">
      <alignment horizontal="right" vertical="center" wrapText="1"/>
    </xf>
    <xf numFmtId="49" fontId="19" fillId="0" borderId="14" xfId="809" applyNumberFormat="1" applyFont="1" applyBorder="1">
      <alignment vertical="center" wrapText="1"/>
    </xf>
    <xf numFmtId="49" fontId="46" fillId="12" borderId="17" xfId="826" applyNumberFormat="1" applyFont="1" applyFill="1" applyBorder="1">
      <alignment horizontal="left" vertical="center" wrapText="1"/>
    </xf>
    <xf numFmtId="49" fontId="46" fillId="12" borderId="17" xfId="827" applyNumberFormat="1" applyFont="1" applyFill="1" applyBorder="1">
      <alignment horizontal="center" vertical="center" wrapText="1"/>
    </xf>
    <xf numFmtId="4" fontId="9" fillId="0" borderId="23" xfId="832" applyNumberFormat="1" applyFont="1" applyBorder="1">
      <alignment horizontal="right" vertical="center" wrapText="1"/>
    </xf>
    <xf numFmtId="4" fontId="9" fillId="0" borderId="21" xfId="834" applyNumberFormat="1" applyFont="1" applyBorder="1">
      <alignment horizontal="right" vertical="center" wrapText="1"/>
    </xf>
    <xf numFmtId="170" fontId="9" fillId="0" borderId="14" xfId="835" applyNumberFormat="1" applyFont="1" applyBorder="1">
      <alignment horizontal="right" vertical="center" wrapText="1"/>
    </xf>
    <xf numFmtId="49" fontId="61" fillId="0" borderId="12" xfId="844" applyNumberFormat="1" applyFont="1" applyBorder="1">
      <alignment horizontal="left" vertical="center"/>
    </xf>
    <xf numFmtId="49" fontId="25" fillId="0" borderId="16" xfId="845" applyNumberFormat="1" applyFont="1" applyBorder="1">
      <alignment horizontal="left" vertical="center" indent="4"/>
    </xf>
    <xf numFmtId="49" fontId="25" fillId="0" borderId="16" xfId="846" applyNumberFormat="1" applyFont="1" applyBorder="1">
      <alignment horizontal="center" vertical="center" wrapText="1"/>
    </xf>
    <xf numFmtId="49" fontId="25" fillId="0" borderId="11" xfId="847" applyNumberFormat="1" applyFont="1" applyBorder="1">
      <alignment horizontal="center" vertical="center" wrapText="1"/>
    </xf>
    <xf numFmtId="4" fontId="9" fillId="8" borderId="21" xfId="861" applyNumberFormat="1" applyFont="1" applyFill="1" applyBorder="1">
      <alignment horizontal="right" vertical="center" wrapText="1"/>
      <protection locked="0"/>
    </xf>
    <xf numFmtId="170" fontId="9" fillId="8" borderId="21" xfId="862" applyNumberFormat="1" applyFont="1" applyFill="1" applyBorder="1">
      <alignment horizontal="right" vertical="center" wrapText="1"/>
      <protection locked="0"/>
    </xf>
    <xf numFmtId="170" fontId="9" fillId="8" borderId="12" xfId="868" applyNumberFormat="1" applyFont="1" applyFill="1" applyBorder="1">
      <alignment horizontal="right" vertical="center" wrapText="1"/>
      <protection locked="0"/>
    </xf>
    <xf numFmtId="4" fontId="9" fillId="8" borderId="11" xfId="869" applyNumberFormat="1" applyFont="1" applyFill="1" applyBorder="1">
      <alignment horizontal="right" vertical="center" wrapText="1"/>
      <protection locked="0"/>
    </xf>
    <xf numFmtId="4" fontId="25" fillId="0" borderId="12" xfId="872" applyNumberFormat="1" applyFont="1" applyBorder="1">
      <alignment horizontal="center" vertical="center" wrapText="1"/>
    </xf>
    <xf numFmtId="4" fontId="9" fillId="0" borderId="11" xfId="873" applyNumberFormat="1" applyFont="1" applyBorder="1">
      <alignment horizontal="right" vertical="center" wrapText="1"/>
    </xf>
    <xf numFmtId="4" fontId="9" fillId="14" borderId="16" xfId="875" applyNumberFormat="1" applyFont="1" applyFill="1" applyBorder="1">
      <alignment horizontal="right" vertical="center" wrapText="1"/>
    </xf>
    <xf numFmtId="4" fontId="25" fillId="14" borderId="16" xfId="876" applyNumberFormat="1" applyFont="1" applyFill="1" applyBorder="1">
      <alignment horizontal="center" vertical="center" wrapText="1"/>
    </xf>
    <xf numFmtId="4" fontId="9" fillId="14" borderId="11" xfId="877" applyNumberFormat="1" applyFont="1" applyFill="1" applyBorder="1">
      <alignment horizontal="right" vertical="center" wrapText="1"/>
    </xf>
    <xf numFmtId="49" fontId="9" fillId="14" borderId="36" xfId="878" applyNumberFormat="1" applyFont="1" applyFill="1" applyBorder="1">
      <alignment horizontal="center" vertical="center" wrapText="1"/>
    </xf>
    <xf numFmtId="49" fontId="9" fillId="0" borderId="14" xfId="879" applyNumberFormat="1" applyFont="1" applyBorder="1">
      <alignment vertical="center" wrapText="1"/>
    </xf>
    <xf numFmtId="49" fontId="9" fillId="11" borderId="23" xfId="887" applyNumberFormat="1" applyFont="1" applyFill="1" applyBorder="1">
      <alignment horizontal="left" vertical="center" wrapText="1" indent="6"/>
      <protection locked="0"/>
    </xf>
    <xf numFmtId="170" fontId="9" fillId="14" borderId="11" xfId="892" applyNumberFormat="1" applyFont="1" applyFill="1" applyBorder="1">
      <alignment horizontal="right" vertical="center" wrapText="1"/>
    </xf>
    <xf numFmtId="170" fontId="9" fillId="14" borderId="16" xfId="893" applyNumberFormat="1" applyFont="1" applyFill="1" applyBorder="1">
      <alignment horizontal="right" vertical="center" wrapText="1"/>
    </xf>
    <xf numFmtId="4" fontId="9" fillId="0" borderId="33" xfId="894" applyNumberFormat="1" applyFont="1" applyBorder="1">
      <alignment horizontal="right" vertical="center" wrapText="1"/>
    </xf>
    <xf numFmtId="49" fontId="29" fillId="14" borderId="12" xfId="895" applyNumberFormat="1" applyFont="1" applyFill="1" applyBorder="1">
      <alignment horizontal="left" vertical="center" indent="1"/>
    </xf>
    <xf numFmtId="4" fontId="25" fillId="14" borderId="11" xfId="897" applyNumberFormat="1" applyFont="1" applyFill="1" applyBorder="1">
      <alignment horizontal="center" vertical="center" wrapText="1"/>
    </xf>
    <xf numFmtId="49" fontId="29" fillId="14" borderId="12" xfId="898" applyNumberFormat="1" applyFont="1" applyFill="1" applyBorder="1">
      <alignment vertical="center" wrapText="1"/>
    </xf>
    <xf numFmtId="49" fontId="29" fillId="14" borderId="16" xfId="899" applyNumberFormat="1" applyFont="1" applyFill="1" applyBorder="1">
      <alignment vertical="center" wrapText="1"/>
    </xf>
    <xf numFmtId="49" fontId="25" fillId="0" borderId="20" xfId="900" applyNumberFormat="1" applyFont="1" applyBorder="1">
      <alignment vertical="top"/>
    </xf>
    <xf numFmtId="49" fontId="25" fillId="0" borderId="0" xfId="901" applyNumberFormat="1" applyFont="1">
      <alignment horizontal="center" vertical="center" wrapText="1"/>
    </xf>
    <xf numFmtId="170" fontId="25" fillId="0" borderId="14" xfId="903" applyNumberFormat="1" applyFont="1" applyBorder="1">
      <alignment horizontal="right" vertical="center" wrapText="1"/>
    </xf>
    <xf numFmtId="168" fontId="25" fillId="0" borderId="14" xfId="904" applyNumberFormat="1" applyFont="1" applyBorder="1">
      <alignment horizontal="center" vertical="center" wrapText="1"/>
    </xf>
    <xf numFmtId="49" fontId="9" fillId="14" borderId="12" xfId="921" applyNumberFormat="1" applyFont="1" applyFill="1" applyBorder="1">
      <alignment horizontal="center" vertical="center" wrapText="1"/>
    </xf>
    <xf numFmtId="49" fontId="36" fillId="0" borderId="20" xfId="922" applyNumberFormat="1" applyFont="1" applyBorder="1">
      <alignment vertical="top"/>
    </xf>
    <xf numFmtId="49" fontId="65" fillId="14" borderId="12" xfId="927" applyNumberFormat="1" applyFont="1" applyFill="1" applyBorder="1">
      <alignment horizontal="left" vertical="center"/>
    </xf>
    <xf numFmtId="49" fontId="66" fillId="14" borderId="16" xfId="928" applyNumberFormat="1" applyFont="1" applyFill="1" applyBorder="1">
      <alignment horizontal="left" vertical="center" indent="3"/>
    </xf>
    <xf numFmtId="49" fontId="36" fillId="14" borderId="16" xfId="929" applyNumberFormat="1" applyFont="1" applyFill="1" applyBorder="1">
      <alignment horizontal="center" vertical="center" wrapText="1"/>
    </xf>
    <xf numFmtId="49" fontId="37" fillId="14" borderId="16" xfId="930" applyNumberFormat="1" applyFont="1" applyFill="1" applyBorder="1">
      <alignment horizontal="center" vertical="center" wrapText="1"/>
    </xf>
    <xf numFmtId="49" fontId="37" fillId="14" borderId="11" xfId="931" applyNumberFormat="1" applyFont="1" applyFill="1" applyBorder="1">
      <alignment horizontal="center" vertical="center" wrapText="1"/>
    </xf>
    <xf numFmtId="49" fontId="66" fillId="14" borderId="16" xfId="932" applyNumberFormat="1" applyFont="1" applyFill="1" applyBorder="1">
      <alignment horizontal="left" vertical="center" indent="2"/>
    </xf>
    <xf numFmtId="49" fontId="66" fillId="14" borderId="16" xfId="933" applyNumberFormat="1" applyFont="1" applyFill="1" applyBorder="1">
      <alignment horizontal="left" vertical="center" indent="1"/>
    </xf>
    <xf numFmtId="49" fontId="37" fillId="14" borderId="12" xfId="934" applyNumberFormat="1" applyFont="1" applyFill="1" applyBorder="1">
      <alignment horizontal="left" vertical="top"/>
    </xf>
    <xf numFmtId="49" fontId="66" fillId="14" borderId="16" xfId="935" applyNumberFormat="1" applyFont="1" applyFill="1" applyBorder="1">
      <alignment horizontal="left" vertical="center"/>
    </xf>
    <xf numFmtId="49" fontId="9" fillId="8" borderId="23" xfId="936" applyNumberFormat="1" applyFont="1" applyFill="1" applyBorder="1">
      <alignment horizontal="left" vertical="center" wrapText="1" indent="6"/>
      <protection locked="0"/>
    </xf>
    <xf numFmtId="4" fontId="9" fillId="11" borderId="14" xfId="937" applyNumberFormat="1" applyFont="1" applyFill="1" applyBorder="1">
      <alignment horizontal="left" vertical="center" wrapText="1" indent="1"/>
      <protection locked="0"/>
    </xf>
    <xf numFmtId="49" fontId="67" fillId="0" borderId="0" xfId="941" applyNumberFormat="1" applyFont="1">
      <alignment horizontal="center" vertical="center" wrapText="1"/>
    </xf>
    <xf numFmtId="168" fontId="5" fillId="11" borderId="14" xfId="943" applyNumberFormat="1" applyFont="1" applyFill="1" applyBorder="1">
      <alignment horizontal="left" vertical="center" wrapText="1"/>
      <protection locked="0"/>
    </xf>
    <xf numFmtId="49" fontId="29" fillId="14" borderId="16" xfId="944" applyNumberFormat="1" applyFont="1" applyFill="1" applyBorder="1">
      <alignment horizontal="left" vertical="center" indent="3"/>
    </xf>
    <xf numFmtId="49" fontId="29" fillId="0" borderId="17" xfId="948" applyNumberFormat="1" applyFont="1" applyBorder="1">
      <alignment horizontal="left" vertical="center"/>
    </xf>
    <xf numFmtId="49" fontId="29" fillId="0" borderId="17" xfId="949" applyNumberFormat="1" applyFont="1" applyBorder="1">
      <alignment horizontal="left" vertical="center" indent="2"/>
    </xf>
    <xf numFmtId="49" fontId="59" fillId="0" borderId="17" xfId="950" applyNumberFormat="1" applyFont="1" applyBorder="1">
      <alignment horizontal="center" vertical="top"/>
    </xf>
    <xf numFmtId="0" fontId="9" fillId="0" borderId="16" xfId="953" applyFont="1" applyBorder="1">
      <alignment horizontal="right" vertical="center" wrapText="1" indent="1"/>
    </xf>
    <xf numFmtId="0" fontId="9" fillId="10" borderId="12" xfId="955" applyFont="1" applyFill="1" applyBorder="1">
      <alignment horizontal="left" vertical="top" wrapText="1" indent="1"/>
    </xf>
    <xf numFmtId="49" fontId="28" fillId="0" borderId="0" xfId="959" applyNumberFormat="1" applyFont="1">
      <alignment horizontal="center" vertical="center" wrapText="1"/>
    </xf>
    <xf numFmtId="3" fontId="9" fillId="0" borderId="12" xfId="960" applyNumberFormat="1" applyFont="1" applyBorder="1">
      <alignment vertical="center" wrapText="1"/>
    </xf>
    <xf numFmtId="3" fontId="9" fillId="8" borderId="12" xfId="961" applyNumberFormat="1" applyFont="1" applyFill="1" applyBorder="1">
      <alignment horizontal="right" vertical="center" wrapText="1"/>
      <protection locked="0"/>
    </xf>
    <xf numFmtId="4" fontId="9" fillId="8" borderId="12" xfId="963" applyNumberFormat="1" applyFont="1" applyFill="1" applyBorder="1">
      <alignment horizontal="right" vertical="center" wrapText="1"/>
      <protection locked="0"/>
    </xf>
    <xf numFmtId="4" fontId="9" fillId="0" borderId="12" xfId="964" applyNumberFormat="1" applyFont="1" applyBorder="1">
      <alignment horizontal="right" vertical="center" wrapText="1"/>
    </xf>
    <xf numFmtId="4" fontId="9" fillId="0" borderId="26" xfId="965" applyNumberFormat="1" applyFont="1" applyBorder="1">
      <alignment horizontal="right" vertical="center" wrapText="1"/>
    </xf>
    <xf numFmtId="3" fontId="9" fillId="11" borderId="12" xfId="967" applyNumberFormat="1" applyFont="1" applyFill="1" applyBorder="1">
      <alignment vertical="center" wrapText="1"/>
      <protection locked="0"/>
    </xf>
    <xf numFmtId="49" fontId="9" fillId="8" borderId="12" xfId="968" applyNumberFormat="1" applyFont="1" applyFill="1" applyBorder="1">
      <alignment horizontal="left" vertical="center" wrapText="1"/>
      <protection locked="0"/>
    </xf>
    <xf numFmtId="4" fontId="9" fillId="10" borderId="12" xfId="969" applyNumberFormat="1" applyFont="1" applyFill="1" applyBorder="1">
      <alignment horizontal="right" vertical="center" wrapText="1"/>
    </xf>
    <xf numFmtId="168" fontId="5" fillId="8" borderId="14" xfId="972" applyNumberFormat="1" applyFont="1" applyFill="1" applyBorder="1">
      <alignment horizontal="left" vertical="center" wrapText="1" indent="1"/>
      <protection locked="0"/>
    </xf>
    <xf numFmtId="49" fontId="5" fillId="0" borderId="12" xfId="973" applyNumberFormat="1" applyFont="1" applyBorder="1">
      <alignment horizontal="center" vertical="center"/>
    </xf>
    <xf numFmtId="49" fontId="5" fillId="0" borderId="14" xfId="974" applyNumberFormat="1" applyFont="1" applyBorder="1">
      <alignment vertical="center" wrapText="1"/>
    </xf>
    <xf numFmtId="0" fontId="19" fillId="14" borderId="11" xfId="975" applyFont="1" applyFill="1" applyBorder="1">
      <alignment vertical="center" wrapText="1"/>
    </xf>
    <xf numFmtId="0" fontId="9" fillId="14" borderId="17" xfId="976" applyFont="1" applyFill="1" applyBorder="1">
      <alignment vertical="center" wrapText="1"/>
    </xf>
    <xf numFmtId="0" fontId="9" fillId="14" borderId="36" xfId="977" applyFont="1" applyFill="1" applyBorder="1">
      <alignment vertical="center" wrapText="1"/>
    </xf>
    <xf numFmtId="49" fontId="9" fillId="8" borderId="14" xfId="983" applyNumberFormat="1" applyFont="1" applyFill="1" applyBorder="1">
      <alignment horizontal="left" vertical="center" wrapText="1" indent="6"/>
      <protection locked="0"/>
    </xf>
    <xf numFmtId="4" fontId="9" fillId="0" borderId="24" xfId="984" applyNumberFormat="1" applyFont="1" applyBorder="1">
      <alignment horizontal="right" vertical="center" wrapText="1"/>
    </xf>
    <xf numFmtId="49" fontId="5" fillId="14" borderId="25" xfId="986" applyNumberFormat="1" applyFont="1" applyFill="1" applyBorder="1">
      <alignment horizontal="center" vertical="center" wrapText="1"/>
    </xf>
    <xf numFmtId="49" fontId="9" fillId="11" borderId="14" xfId="1000" applyNumberFormat="1" applyFont="1" applyFill="1" applyBorder="1">
      <alignment horizontal="center" vertical="center" wrapText="1"/>
      <protection locked="0"/>
    </xf>
    <xf numFmtId="0" fontId="9" fillId="8" borderId="14" xfId="1001" applyFont="1" applyFill="1" applyBorder="1">
      <alignment horizontal="left" vertical="center" wrapText="1"/>
      <protection locked="0"/>
    </xf>
    <xf numFmtId="0" fontId="9" fillId="0" borderId="11" xfId="1002" applyFont="1" applyBorder="1">
      <alignment vertical="top" wrapText="1"/>
    </xf>
    <xf numFmtId="171" fontId="9" fillId="8" borderId="14" xfId="1003" applyNumberFormat="1" applyFont="1" applyFill="1" applyBorder="1">
      <alignment horizontal="right" vertical="center" wrapText="1"/>
      <protection locked="0"/>
    </xf>
    <xf numFmtId="0" fontId="61" fillId="12" borderId="0" xfId="1005" applyFont="1" applyFill="1">
      <alignment horizontal="right" vertical="center"/>
    </xf>
    <xf numFmtId="0" fontId="9" fillId="10" borderId="12" xfId="1006" applyFont="1" applyFill="1" applyBorder="1">
      <alignment horizontal="left" vertical="top" wrapText="1"/>
    </xf>
    <xf numFmtId="4" fontId="9" fillId="11" borderId="14" xfId="1007" applyNumberFormat="1" applyFont="1" applyFill="1" applyBorder="1">
      <alignment horizontal="right" vertical="center" wrapText="1"/>
      <protection locked="0"/>
    </xf>
    <xf numFmtId="49" fontId="36" fillId="0" borderId="57" xfId="1010" applyNumberFormat="1" applyFont="1" applyBorder="1">
      <alignment horizontal="center" vertical="center" wrapText="1"/>
    </xf>
    <xf numFmtId="4" fontId="36" fillId="0" borderId="14" xfId="1016" applyNumberFormat="1" applyFont="1" applyBorder="1">
      <alignment horizontal="right" vertical="center" wrapText="1"/>
    </xf>
    <xf numFmtId="49" fontId="9" fillId="14" borderId="12" xfId="1017" applyNumberFormat="1" applyFont="1" applyFill="1" applyBorder="1">
      <alignment vertical="center" wrapText="1"/>
    </xf>
    <xf numFmtId="49" fontId="15" fillId="7" borderId="0" xfId="1019" applyNumberFormat="1" applyFont="1" applyFill="1">
      <alignment horizontal="center" vertical="center" wrapText="1"/>
    </xf>
    <xf numFmtId="171" fontId="9" fillId="11" borderId="14" xfId="1020" applyNumberFormat="1" applyFont="1" applyFill="1" applyBorder="1">
      <alignment horizontal="right" vertical="center" wrapText="1"/>
      <protection locked="0"/>
    </xf>
    <xf numFmtId="4" fontId="9" fillId="10" borderId="23" xfId="1022" applyNumberFormat="1" applyFont="1" applyFill="1" applyBorder="1">
      <alignment horizontal="right" vertical="center" wrapText="1"/>
    </xf>
    <xf numFmtId="49" fontId="25" fillId="0" borderId="14" xfId="1024" applyNumberFormat="1" applyFont="1" applyBorder="1">
      <alignment vertical="center" wrapText="1"/>
    </xf>
    <xf numFmtId="4" fontId="9" fillId="11" borderId="11" xfId="1027" applyNumberFormat="1" applyFont="1" applyFill="1" applyBorder="1">
      <alignment horizontal="right" vertical="center" wrapText="1"/>
      <protection locked="0"/>
    </xf>
    <xf numFmtId="171" fontId="9" fillId="11" borderId="11" xfId="1030" applyNumberFormat="1" applyFont="1" applyFill="1" applyBorder="1">
      <alignment horizontal="right" vertical="center" wrapText="1"/>
      <protection locked="0"/>
    </xf>
    <xf numFmtId="171" fontId="9" fillId="10" borderId="11" xfId="1031" applyNumberFormat="1" applyFont="1" applyFill="1" applyBorder="1">
      <alignment horizontal="right" vertical="center" wrapText="1"/>
    </xf>
    <xf numFmtId="171" fontId="9" fillId="10" borderId="14" xfId="1032" applyNumberFormat="1" applyFont="1" applyFill="1" applyBorder="1">
      <alignment horizontal="right" vertical="center" wrapText="1"/>
    </xf>
    <xf numFmtId="4" fontId="9" fillId="11" borderId="25" xfId="1033" applyNumberFormat="1" applyFont="1" applyFill="1" applyBorder="1">
      <alignment horizontal="right" vertical="center" wrapText="1"/>
      <protection locked="0"/>
    </xf>
    <xf numFmtId="4" fontId="9" fillId="11" borderId="21" xfId="1034" applyNumberFormat="1" applyFont="1" applyFill="1" applyBorder="1">
      <alignment horizontal="right" vertical="center" wrapText="1"/>
      <protection locked="0"/>
    </xf>
    <xf numFmtId="49" fontId="9" fillId="14" borderId="24" xfId="1038" applyNumberFormat="1" applyFont="1" applyFill="1" applyBorder="1">
      <alignment vertical="center" wrapText="1"/>
    </xf>
    <xf numFmtId="49" fontId="29" fillId="14" borderId="17" xfId="1039" applyNumberFormat="1" applyFont="1" applyFill="1" applyBorder="1">
      <alignment horizontal="left" vertical="center" indent="1"/>
    </xf>
    <xf numFmtId="171" fontId="9" fillId="11" borderId="23" xfId="1040" applyNumberFormat="1" applyFont="1" applyFill="1" applyBorder="1">
      <alignment horizontal="right" vertical="center" wrapText="1"/>
      <protection locked="0"/>
    </xf>
    <xf numFmtId="49" fontId="15" fillId="0" borderId="0" xfId="1043" applyNumberFormat="1" applyFont="1">
      <alignment horizontal="center" vertical="center" wrapText="1"/>
    </xf>
    <xf numFmtId="49" fontId="29" fillId="0" borderId="17" xfId="1050" applyNumberFormat="1" applyFont="1" applyBorder="1">
      <alignment horizontal="right" vertical="center"/>
    </xf>
    <xf numFmtId="49" fontId="10" fillId="0" borderId="0" xfId="1051" applyNumberFormat="1" applyFont="1">
      <alignment horizontal="center" vertical="center" wrapText="1"/>
    </xf>
    <xf numFmtId="0" fontId="25" fillId="0" borderId="12" xfId="1055" applyFont="1" applyBorder="1">
      <alignment horizontal="left" vertical="top" wrapText="1"/>
    </xf>
    <xf numFmtId="49" fontId="9" fillId="0" borderId="57" xfId="1056" applyNumberFormat="1" applyFont="1" applyBorder="1">
      <alignment horizontal="center" vertical="center" wrapText="1"/>
    </xf>
    <xf numFmtId="49" fontId="9" fillId="0" borderId="58" xfId="1058" applyNumberFormat="1" applyFont="1" applyBorder="1">
      <alignment horizontal="center" vertical="center" wrapText="1"/>
    </xf>
    <xf numFmtId="49" fontId="9" fillId="0" borderId="59" xfId="1059" applyNumberFormat="1" applyFont="1" applyBorder="1">
      <alignment horizontal="center" vertical="center" wrapText="1"/>
    </xf>
    <xf numFmtId="4" fontId="9" fillId="11" borderId="23" xfId="1060" applyNumberFormat="1" applyFont="1" applyFill="1" applyBorder="1">
      <alignment horizontal="right" vertical="center" wrapText="1"/>
      <protection locked="0"/>
    </xf>
    <xf numFmtId="49" fontId="29" fillId="14" borderId="17" xfId="1061" applyNumberFormat="1" applyFont="1" applyFill="1" applyBorder="1">
      <alignment horizontal="left" vertical="center" indent="2"/>
    </xf>
    <xf numFmtId="49" fontId="5" fillId="0" borderId="14" xfId="1062" applyNumberFormat="1" applyFont="1" applyBorder="1">
      <alignment horizontal="left" vertical="center" wrapText="1" indent="2"/>
    </xf>
    <xf numFmtId="49" fontId="9" fillId="0" borderId="60" xfId="1063" applyNumberFormat="1" applyFont="1" applyBorder="1">
      <alignment horizontal="center" vertical="center" wrapText="1"/>
    </xf>
    <xf numFmtId="0" fontId="25" fillId="0" borderId="36" xfId="1064" applyFont="1" applyBorder="1">
      <alignment vertical="center" wrapText="1"/>
    </xf>
    <xf numFmtId="49" fontId="18" fillId="8" borderId="12" xfId="1067" applyNumberFormat="1" applyFont="1" applyFill="1" applyBorder="1">
      <alignment horizontal="left" vertical="center" wrapText="1"/>
      <protection locked="0"/>
    </xf>
    <xf numFmtId="4" fontId="9" fillId="8" borderId="14" xfId="1069" applyNumberFormat="1" applyFont="1" applyFill="1" applyBorder="1">
      <alignment horizontal="left" vertical="center" wrapText="1"/>
      <protection locked="0"/>
    </xf>
    <xf numFmtId="4" fontId="9" fillId="8" borderId="12" xfId="1070" applyNumberFormat="1" applyFont="1" applyFill="1" applyBorder="1">
      <alignment horizontal="left" vertical="center" wrapText="1"/>
      <protection locked="0"/>
    </xf>
    <xf numFmtId="49" fontId="18" fillId="0" borderId="14" xfId="1071" applyNumberFormat="1" applyFont="1" applyBorder="1">
      <alignment horizontal="left" vertical="center" wrapText="1"/>
    </xf>
    <xf numFmtId="49" fontId="9" fillId="0" borderId="43" xfId="1072" applyNumberFormat="1" applyFont="1" applyBorder="1">
      <alignment horizontal="center" vertical="center" wrapText="1"/>
    </xf>
    <xf numFmtId="4" fontId="9" fillId="0" borderId="61" xfId="1074" applyNumberFormat="1" applyFont="1" applyBorder="1">
      <alignment horizontal="center" vertical="center" wrapText="1"/>
    </xf>
    <xf numFmtId="49" fontId="18" fillId="0" borderId="26" xfId="1075" applyNumberFormat="1" applyFont="1" applyBorder="1">
      <alignment horizontal="left" vertical="center" wrapText="1"/>
    </xf>
    <xf numFmtId="49" fontId="9" fillId="0" borderId="40" xfId="1076" applyNumberFormat="1" applyFont="1" applyBorder="1">
      <alignment horizontal="center" vertical="center" wrapText="1"/>
    </xf>
    <xf numFmtId="49" fontId="18" fillId="0" borderId="12" xfId="1078" applyNumberFormat="1" applyFont="1" applyBorder="1">
      <alignment horizontal="left" vertical="center" wrapText="1"/>
    </xf>
    <xf numFmtId="4" fontId="9" fillId="0" borderId="23" xfId="1079" applyNumberFormat="1" applyFont="1" applyBorder="1">
      <alignment horizontal="center" vertical="center" wrapText="1"/>
    </xf>
    <xf numFmtId="4" fontId="9" fillId="11" borderId="62" xfId="1080" applyNumberFormat="1" applyFont="1" applyFill="1" applyBorder="1">
      <alignment horizontal="right" vertical="center" wrapText="1"/>
      <protection locked="0"/>
    </xf>
    <xf numFmtId="49" fontId="18" fillId="0" borderId="16" xfId="1082" applyNumberFormat="1" applyFont="1" applyBorder="1">
      <alignment horizontal="left" vertical="center" wrapText="1"/>
    </xf>
    <xf numFmtId="4" fontId="9" fillId="0" borderId="43" xfId="1084" applyNumberFormat="1" applyFont="1" applyBorder="1">
      <alignment horizontal="center" vertical="center" wrapText="1"/>
    </xf>
    <xf numFmtId="4" fontId="9" fillId="0" borderId="40" xfId="1087" applyNumberFormat="1" applyFont="1" applyBorder="1">
      <alignment horizontal="center" vertical="center" wrapText="1"/>
    </xf>
    <xf numFmtId="49" fontId="9" fillId="0" borderId="44" xfId="1088" applyNumberFormat="1" applyFont="1" applyBorder="1">
      <alignment horizontal="center" vertical="center" wrapText="1"/>
    </xf>
    <xf numFmtId="4" fontId="9" fillId="0" borderId="62" xfId="1090" applyNumberFormat="1" applyFont="1" applyBorder="1">
      <alignment horizontal="center" vertical="center" wrapText="1"/>
    </xf>
    <xf numFmtId="49" fontId="18" fillId="0" borderId="24" xfId="1091" applyNumberFormat="1" applyFont="1" applyBorder="1">
      <alignment horizontal="left" vertical="center" wrapText="1"/>
    </xf>
    <xf numFmtId="49" fontId="9" fillId="0" borderId="45" xfId="1092" applyNumberFormat="1" applyFont="1" applyBorder="1">
      <alignment horizontal="center" vertical="center" wrapText="1"/>
    </xf>
    <xf numFmtId="4" fontId="9" fillId="11" borderId="12" xfId="1093" applyNumberFormat="1" applyFont="1" applyFill="1" applyBorder="1">
      <alignment horizontal="right" vertical="center" wrapText="1"/>
      <protection locked="0"/>
    </xf>
    <xf numFmtId="4" fontId="9" fillId="0" borderId="45" xfId="1094" applyNumberFormat="1" applyFont="1" applyBorder="1">
      <alignment horizontal="center" vertical="center" wrapText="1"/>
    </xf>
    <xf numFmtId="4" fontId="9" fillId="11" borderId="44" xfId="1095" applyNumberFormat="1" applyFont="1" applyFill="1" applyBorder="1">
      <alignment horizontal="right" vertical="center" wrapText="1"/>
      <protection locked="0"/>
    </xf>
    <xf numFmtId="49" fontId="19" fillId="0" borderId="0" xfId="1096" applyNumberFormat="1" applyFont="1">
      <alignment horizontal="center" vertical="center" wrapText="1"/>
    </xf>
    <xf numFmtId="49" fontId="5" fillId="4" borderId="14" xfId="1099" applyNumberFormat="1" applyFont="1" applyFill="1" applyBorder="1">
      <alignment horizontal="center" vertical="center" wrapText="1"/>
    </xf>
    <xf numFmtId="49" fontId="72" fillId="0" borderId="23" xfId="1100" applyNumberFormat="1" applyFont="1" applyBorder="1">
      <alignment horizontal="center" vertical="center" wrapText="1"/>
    </xf>
    <xf numFmtId="49" fontId="72" fillId="0" borderId="14" xfId="1101" applyNumberFormat="1" applyFont="1" applyBorder="1">
      <alignment horizontal="center" vertical="center" wrapText="1"/>
    </xf>
    <xf numFmtId="4" fontId="9" fillId="11" borderId="24" xfId="1103" applyNumberFormat="1" applyFont="1" applyFill="1" applyBorder="1">
      <alignment horizontal="right" vertical="center" wrapText="1"/>
      <protection locked="0"/>
    </xf>
    <xf numFmtId="0" fontId="19" fillId="14" borderId="16" xfId="1104" applyFont="1" applyFill="1" applyBorder="1">
      <alignment vertical="center" wrapText="1"/>
    </xf>
    <xf numFmtId="3" fontId="9" fillId="11" borderId="12" xfId="1105" applyNumberFormat="1" applyFont="1" applyFill="1" applyBorder="1">
      <alignment horizontal="right" vertical="center" wrapText="1"/>
      <protection locked="0"/>
    </xf>
    <xf numFmtId="49" fontId="38" fillId="0" borderId="10" xfId="1111" applyNumberFormat="1" applyFont="1" applyBorder="1">
      <alignment vertical="top"/>
    </xf>
    <xf numFmtId="0" fontId="9" fillId="12" borderId="17" xfId="1117" applyFont="1" applyFill="1" applyBorder="1">
      <alignment vertical="center" wrapText="1"/>
    </xf>
    <xf numFmtId="0" fontId="25" fillId="0" borderId="10" xfId="1118" applyFont="1" applyBorder="1">
      <alignment vertical="center" wrapText="1"/>
    </xf>
    <xf numFmtId="0" fontId="9" fillId="0" borderId="35" xfId="1120" applyFont="1" applyBorder="1">
      <alignment horizontal="center" vertical="center"/>
    </xf>
    <xf numFmtId="49" fontId="9" fillId="0" borderId="19" xfId="1123" applyNumberFormat="1" applyFont="1" applyBorder="1">
      <alignment vertical="top"/>
    </xf>
    <xf numFmtId="49" fontId="5" fillId="10" borderId="14" xfId="1126" applyNumberFormat="1" applyFont="1" applyFill="1" applyBorder="1">
      <alignment horizontal="center" vertical="center"/>
    </xf>
    <xf numFmtId="4" fontId="5" fillId="8" borderId="14" xfId="1127" applyNumberFormat="1" applyFont="1" applyFill="1" applyBorder="1">
      <alignment horizontal="right" vertical="center" wrapText="1"/>
      <protection locked="0"/>
    </xf>
    <xf numFmtId="49" fontId="5" fillId="0" borderId="14" xfId="1128" applyNumberFormat="1" applyFont="1" applyBorder="1">
      <alignment horizontal="left" vertical="center" wrapText="1" indent="3"/>
    </xf>
    <xf numFmtId="49" fontId="30" fillId="0" borderId="0" xfId="1129" applyNumberFormat="1" applyFont="1">
      <alignment vertical="center"/>
    </xf>
    <xf numFmtId="49" fontId="30" fillId="0" borderId="0" xfId="1130" applyNumberFormat="1" applyFont="1">
      <alignment vertical="center" wrapText="1"/>
    </xf>
    <xf numFmtId="49" fontId="9" fillId="12" borderId="0" xfId="1131" applyNumberFormat="1" applyFont="1" applyFill="1">
      <alignment horizontal="center" vertical="top" wrapText="1"/>
    </xf>
    <xf numFmtId="49" fontId="9" fillId="0" borderId="0" xfId="1133" applyNumberFormat="1" applyFont="1">
      <alignment horizontal="center" vertical="top" wrapText="1"/>
    </xf>
    <xf numFmtId="49" fontId="9" fillId="0" borderId="0" xfId="1134" applyNumberFormat="1" applyFont="1">
      <alignment horizontal="center" vertical="center" wrapText="1"/>
    </xf>
    <xf numFmtId="49" fontId="30" fillId="0" borderId="0" xfId="1135" applyNumberFormat="1" applyFont="1">
      <alignment horizontal="center" vertical="center" wrapText="1"/>
    </xf>
    <xf numFmtId="49" fontId="30" fillId="12" borderId="0" xfId="1150" applyNumberFormat="1" applyFont="1" applyFill="1">
      <alignment vertical="center" wrapText="1"/>
    </xf>
    <xf numFmtId="49" fontId="28" fillId="0" borderId="14" xfId="1156" applyNumberFormat="1" applyFont="1" applyBorder="1">
      <alignment horizontal="center" vertical="center"/>
    </xf>
    <xf numFmtId="49" fontId="28" fillId="16" borderId="14" xfId="1157" applyNumberFormat="1" applyFont="1" applyFill="1" applyBorder="1">
      <alignment horizontal="center" vertical="center"/>
    </xf>
    <xf numFmtId="49" fontId="28" fillId="0" borderId="21" xfId="1159" applyNumberFormat="1" applyFont="1" applyBorder="1">
      <alignment horizontal="center" vertical="center"/>
    </xf>
    <xf numFmtId="49" fontId="19" fillId="0" borderId="23" xfId="1160" applyNumberFormat="1" applyFont="1" applyBorder="1">
      <alignment horizontal="center" vertical="center"/>
    </xf>
    <xf numFmtId="4" fontId="30" fillId="12" borderId="0" xfId="1163" applyNumberFormat="1" applyFont="1" applyFill="1">
      <alignment vertical="center"/>
    </xf>
    <xf numFmtId="49" fontId="73" fillId="0" borderId="0" xfId="1164" applyNumberFormat="1" applyFont="1">
      <alignment vertical="center" wrapText="1"/>
    </xf>
    <xf numFmtId="49" fontId="31" fillId="0" borderId="0" xfId="1168" applyNumberFormat="1" applyFont="1">
      <alignment horizontal="center" vertical="center"/>
    </xf>
    <xf numFmtId="49" fontId="29" fillId="14" borderId="11" xfId="1172" applyNumberFormat="1" applyFont="1" applyFill="1" applyBorder="1">
      <alignment horizontal="left" vertical="center"/>
    </xf>
    <xf numFmtId="49" fontId="9" fillId="12" borderId="14" xfId="1174" applyNumberFormat="1" applyFont="1" applyFill="1" applyBorder="1">
      <alignment horizontal="center" vertical="center"/>
    </xf>
    <xf numFmtId="49" fontId="18" fillId="8" borderId="21" xfId="1186" applyNumberFormat="1" applyFont="1" applyFill="1" applyBorder="1">
      <alignment horizontal="left" vertical="center" wrapText="1"/>
      <protection locked="0"/>
    </xf>
    <xf numFmtId="14" fontId="9" fillId="11" borderId="12" xfId="1188" applyNumberFormat="1" applyFont="1" applyFill="1" applyBorder="1">
      <alignment horizontal="left" vertical="center" wrapText="1" indent="1"/>
      <protection locked="0"/>
    </xf>
    <xf numFmtId="169" fontId="9" fillId="0" borderId="24" xfId="1190" applyNumberFormat="1" applyFont="1" applyBorder="1">
      <alignment horizontal="center" vertical="center" wrapText="1"/>
    </xf>
    <xf numFmtId="169" fontId="9" fillId="0" borderId="23" xfId="1191" applyNumberFormat="1" applyFont="1" applyBorder="1">
      <alignment horizontal="center" vertical="center" wrapText="1"/>
    </xf>
    <xf numFmtId="14" fontId="9" fillId="13" borderId="14" xfId="1193" applyNumberFormat="1" applyFont="1" applyFill="1" applyBorder="1">
      <alignment horizontal="left" vertical="center" wrapText="1"/>
    </xf>
    <xf numFmtId="14" fontId="9" fillId="11" borderId="14" xfId="1194" applyNumberFormat="1" applyFont="1" applyFill="1" applyBorder="1">
      <alignment horizontal="left" vertical="center" wrapText="1" indent="1"/>
      <protection locked="0"/>
    </xf>
    <xf numFmtId="49" fontId="13" fillId="14" borderId="26" xfId="1195" applyNumberFormat="1" applyFont="1" applyFill="1" applyBorder="1">
      <alignment horizontal="right" vertical="center" wrapText="1"/>
    </xf>
    <xf numFmtId="49" fontId="5" fillId="14" borderId="36" xfId="1196" applyNumberFormat="1" applyFont="1" applyFill="1" applyBorder="1">
      <alignment horizontal="right" vertical="center" wrapText="1"/>
    </xf>
    <xf numFmtId="49" fontId="5" fillId="14" borderId="25" xfId="1197" applyNumberFormat="1" applyFont="1" applyFill="1" applyBorder="1">
      <alignment horizontal="right" vertical="center" wrapText="1"/>
    </xf>
    <xf numFmtId="168" fontId="5" fillId="11" borderId="16" xfId="1198" applyNumberFormat="1" applyFont="1" applyFill="1" applyBorder="1">
      <alignment horizontal="left" vertical="center" wrapText="1" indent="1"/>
      <protection locked="0"/>
    </xf>
    <xf numFmtId="172" fontId="9" fillId="11" borderId="14" xfId="1199" applyNumberFormat="1" applyFont="1" applyFill="1" applyBorder="1">
      <alignment horizontal="left" vertical="center" wrapText="1" indent="1"/>
      <protection locked="0"/>
    </xf>
    <xf numFmtId="168" fontId="25" fillId="0" borderId="0" xfId="1201" applyNumberFormat="1" applyFont="1">
      <alignment horizontal="center" vertical="center" wrapText="1"/>
    </xf>
    <xf numFmtId="169" fontId="9" fillId="0" borderId="21" xfId="1205" applyNumberFormat="1" applyFont="1" applyBorder="1">
      <alignment horizontal="center" vertical="center" wrapText="1"/>
    </xf>
    <xf numFmtId="14" fontId="9" fillId="11" borderId="21" xfId="1207" applyNumberFormat="1" applyFont="1" applyFill="1" applyBorder="1">
      <alignment horizontal="left" vertical="center" wrapText="1" indent="1"/>
      <protection locked="0"/>
    </xf>
    <xf numFmtId="14" fontId="9" fillId="0" borderId="21" xfId="1209" applyNumberFormat="1" applyFont="1" applyBorder="1">
      <alignment horizontal="left" vertical="center" wrapText="1" indent="1"/>
    </xf>
    <xf numFmtId="49" fontId="18" fillId="14" borderId="36" xfId="1210" applyNumberFormat="1" applyFont="1" applyFill="1" applyBorder="1">
      <alignment horizontal="left" vertical="center" wrapText="1"/>
    </xf>
    <xf numFmtId="49" fontId="18" fillId="14" borderId="25" xfId="1211" applyNumberFormat="1" applyFont="1" applyFill="1" applyBorder="1">
      <alignment horizontal="left" vertical="center" wrapText="1"/>
    </xf>
    <xf numFmtId="169" fontId="30" fillId="0" borderId="17" xfId="1216" applyNumberFormat="1" applyFont="1" applyBorder="1">
      <alignment horizontal="center" vertical="center" wrapText="1"/>
    </xf>
    <xf numFmtId="169" fontId="30" fillId="0" borderId="18" xfId="1217" applyNumberFormat="1" applyFont="1" applyBorder="1">
      <alignment horizontal="center" vertical="center" wrapText="1"/>
    </xf>
    <xf numFmtId="49" fontId="9" fillId="11" borderId="36" xfId="1222" applyNumberFormat="1" applyFont="1" applyFill="1" applyBorder="1">
      <alignment horizontal="left" vertical="center" wrapText="1"/>
      <protection locked="0"/>
    </xf>
    <xf numFmtId="49" fontId="9" fillId="11" borderId="26" xfId="1223" applyNumberFormat="1" applyFont="1" applyFill="1" applyBorder="1">
      <alignment horizontal="left" vertical="center" wrapText="1"/>
      <protection locked="0"/>
    </xf>
    <xf numFmtId="49" fontId="5" fillId="0" borderId="12" xfId="1227" applyNumberFormat="1" applyFont="1" applyBorder="1">
      <alignment horizontal="center" vertical="top"/>
    </xf>
    <xf numFmtId="49" fontId="5" fillId="27" borderId="23" xfId="1228" applyNumberFormat="1" applyFont="1" applyFill="1" applyBorder="1">
      <alignment vertical="top"/>
    </xf>
    <xf numFmtId="49" fontId="5" fillId="28" borderId="14" xfId="1229" applyNumberFormat="1" applyFont="1" applyFill="1" applyBorder="1">
      <alignment vertical="top"/>
    </xf>
    <xf numFmtId="49" fontId="5" fillId="0" borderId="16" xfId="1230" applyNumberFormat="1" applyFont="1" applyBorder="1">
      <alignment horizontal="center" vertical="top"/>
    </xf>
    <xf numFmtId="49" fontId="5" fillId="2" borderId="14" xfId="1231" applyNumberFormat="1" applyFont="1" applyFill="1" applyBorder="1">
      <alignment vertical="top"/>
    </xf>
    <xf numFmtId="49" fontId="5" fillId="29" borderId="14" xfId="1232" applyNumberFormat="1" applyFont="1" applyFill="1" applyBorder="1">
      <alignment vertical="top"/>
    </xf>
    <xf numFmtId="49" fontId="5" fillId="5" borderId="23" xfId="1233" applyNumberFormat="1" applyFont="1" applyFill="1" applyBorder="1">
      <alignment vertical="top"/>
    </xf>
    <xf numFmtId="49" fontId="5" fillId="3" borderId="12" xfId="1234" applyNumberFormat="1" applyFont="1" applyFill="1" applyBorder="1">
      <alignment vertical="top"/>
    </xf>
    <xf numFmtId="49" fontId="5" fillId="3" borderId="14" xfId="1235" applyNumberFormat="1" applyFont="1" applyFill="1" applyBorder="1">
      <alignment vertical="top"/>
    </xf>
    <xf numFmtId="49" fontId="5" fillId="5" borderId="14" xfId="1236" applyNumberFormat="1" applyFont="1" applyFill="1" applyBorder="1">
      <alignment vertical="top"/>
    </xf>
    <xf numFmtId="49" fontId="5" fillId="12" borderId="0" xfId="1237" applyNumberFormat="1" applyFont="1" applyFill="1">
      <alignment vertical="top"/>
    </xf>
    <xf numFmtId="49" fontId="9" fillId="10" borderId="41" xfId="1238" applyNumberFormat="1" applyFont="1" applyFill="1" applyBorder="1">
      <alignment horizontal="center" vertical="top"/>
    </xf>
    <xf numFmtId="49" fontId="5" fillId="0" borderId="64" xfId="1240" applyNumberFormat="1" applyFont="1" applyBorder="1">
      <alignment horizontal="center" vertical="center"/>
    </xf>
    <xf numFmtId="49" fontId="78" fillId="0" borderId="15" xfId="1242" applyNumberFormat="1" applyFont="1" applyBorder="1">
      <alignment vertical="top" wrapText="1"/>
    </xf>
    <xf numFmtId="49" fontId="5" fillId="0" borderId="23" xfId="1246" applyNumberFormat="1" applyFont="1" applyBorder="1">
      <alignment vertical="top"/>
    </xf>
    <xf numFmtId="0" fontId="4" fillId="0" borderId="4" xfId="9" applyFont="1" applyBorder="1">
      <alignment wrapText="1"/>
    </xf>
    <xf numFmtId="0" fontId="5" fillId="8" borderId="6" xfId="10" applyFont="1" applyFill="1" applyBorder="1">
      <alignment horizontal="center" vertical="center" wrapText="1"/>
    </xf>
    <xf numFmtId="0" fontId="5" fillId="9" borderId="6" xfId="12" applyFont="1" applyFill="1" applyBorder="1">
      <alignment horizontal="center" vertical="center" wrapText="1"/>
    </xf>
    <xf numFmtId="0" fontId="5" fillId="10" borderId="6" xfId="14" applyFont="1" applyFill="1" applyBorder="1">
      <alignment horizontal="center" vertical="center" wrapText="1"/>
    </xf>
    <xf numFmtId="0" fontId="5" fillId="11" borderId="6" xfId="15" applyFont="1" applyFill="1" applyBorder="1">
      <alignment horizontal="center" vertical="center" wrapText="1"/>
    </xf>
    <xf numFmtId="0" fontId="7" fillId="0" borderId="4" xfId="17" applyFont="1" applyBorder="1">
      <alignment horizontal="left" vertical="center" wrapText="1"/>
    </xf>
    <xf numFmtId="0" fontId="7" fillId="0" borderId="7" xfId="18" applyFont="1" applyBorder="1">
      <alignment horizontal="left" vertical="center" wrapText="1"/>
    </xf>
    <xf numFmtId="0" fontId="6" fillId="0" borderId="4" xfId="21" applyFont="1" applyBorder="1">
      <alignment wrapText="1"/>
    </xf>
    <xf numFmtId="0" fontId="4" fillId="0" borderId="9" xfId="26" applyFont="1" applyBorder="1">
      <alignment wrapText="1"/>
    </xf>
    <xf numFmtId="0" fontId="4" fillId="0" borderId="10" xfId="27" applyFont="1" applyBorder="1">
      <alignment wrapText="1"/>
    </xf>
    <xf numFmtId="0" fontId="4" fillId="0" borderId="10" xfId="28" applyFont="1" applyBorder="1">
      <alignment vertical="center" wrapText="1"/>
    </xf>
    <xf numFmtId="0" fontId="8" fillId="0" borderId="0" xfId="29" applyFont="1">
      <alignment vertical="center" wrapText="1"/>
    </xf>
    <xf numFmtId="0" fontId="9" fillId="0" borderId="0" xfId="30" applyFont="1">
      <alignment horizontal="left" vertical="top" indent="1"/>
    </xf>
    <xf numFmtId="0" fontId="10" fillId="0" borderId="0" xfId="31" applyFont="1">
      <alignment vertical="center" wrapText="1"/>
    </xf>
    <xf numFmtId="0" fontId="5" fillId="0" borderId="0" xfId="32" applyFont="1">
      <alignment horizontal="left" vertical="center" indent="1"/>
    </xf>
    <xf numFmtId="0" fontId="9" fillId="0" borderId="0" xfId="33" applyFont="1">
      <alignment vertical="center" wrapText="1"/>
    </xf>
    <xf numFmtId="0" fontId="11" fillId="12" borderId="0" xfId="34" applyFont="1" applyFill="1">
      <alignment vertical="center" wrapText="1"/>
    </xf>
    <xf numFmtId="0" fontId="11" fillId="0" borderId="0" xfId="35" applyFont="1">
      <alignment vertical="center" wrapText="1"/>
    </xf>
    <xf numFmtId="0" fontId="12" fillId="12" borderId="0" xfId="36" applyFont="1" applyFill="1">
      <alignment vertical="center" wrapText="1"/>
    </xf>
    <xf numFmtId="0" fontId="9" fillId="0" borderId="11" xfId="37" applyFont="1" applyBorder="1">
      <alignment horizontal="center" vertical="center" wrapText="1"/>
    </xf>
    <xf numFmtId="0" fontId="9" fillId="0" borderId="12" xfId="38" applyFont="1" applyBorder="1">
      <alignment horizontal="center" vertical="center" wrapText="1"/>
    </xf>
    <xf numFmtId="0" fontId="13" fillId="12" borderId="0" xfId="39" applyFont="1" applyFill="1">
      <alignment vertical="center" wrapText="1"/>
    </xf>
    <xf numFmtId="0" fontId="11" fillId="12" borderId="0" xfId="40" applyFont="1" applyFill="1">
      <alignment horizontal="right" vertical="center" wrapText="1" indent="1"/>
    </xf>
    <xf numFmtId="0" fontId="14" fillId="12" borderId="0" xfId="41" applyFont="1" applyFill="1">
      <alignment horizontal="center" vertical="center" wrapText="1"/>
    </xf>
    <xf numFmtId="0" fontId="9" fillId="12" borderId="13" xfId="42" applyFont="1" applyFill="1" applyBorder="1">
      <alignment horizontal="right" vertical="center" wrapText="1" indent="1"/>
    </xf>
    <xf numFmtId="0" fontId="5" fillId="10" borderId="14" xfId="43" applyFont="1" applyFill="1" applyBorder="1">
      <alignment horizontal="left" vertical="center" wrapText="1" indent="1"/>
    </xf>
    <xf numFmtId="0" fontId="16" fillId="12" borderId="0" xfId="45" applyFont="1" applyFill="1">
      <alignment horizontal="center" vertical="center" wrapText="1"/>
    </xf>
    <xf numFmtId="0" fontId="11" fillId="12" borderId="0" xfId="46" applyFont="1" applyFill="1">
      <alignment horizontal="left" vertical="center" wrapText="1" indent="1"/>
    </xf>
    <xf numFmtId="0" fontId="9" fillId="12" borderId="0" xfId="47" applyFont="1" applyFill="1">
      <alignment horizontal="center" vertical="center" wrapText="1"/>
    </xf>
    <xf numFmtId="0" fontId="9" fillId="11" borderId="14" xfId="48" applyFont="1" applyFill="1" applyBorder="1">
      <alignment horizontal="left" vertical="top" wrapText="1" indent="1"/>
      <protection locked="0"/>
    </xf>
    <xf numFmtId="0" fontId="9" fillId="0" borderId="0" xfId="49" applyFont="1">
      <alignment horizontal="left" vertical="center" wrapText="1"/>
    </xf>
    <xf numFmtId="0" fontId="18" fillId="0" borderId="0" xfId="53" applyFont="1">
      <alignment horizontal="left" vertical="center" indent="1"/>
    </xf>
    <xf numFmtId="0" fontId="19" fillId="0" borderId="0" xfId="54" applyFont="1">
      <alignment vertical="center" wrapText="1"/>
    </xf>
    <xf numFmtId="0" fontId="9" fillId="12" borderId="0" xfId="55" applyFont="1" applyFill="1">
      <alignment vertical="center" wrapText="1"/>
    </xf>
    <xf numFmtId="0" fontId="5" fillId="11" borderId="14" xfId="59" applyFont="1" applyFill="1" applyBorder="1">
      <alignment horizontal="left" vertical="center" wrapText="1" indent="1"/>
      <protection locked="0"/>
    </xf>
    <xf numFmtId="0" fontId="5" fillId="12" borderId="0" xfId="62" applyFont="1" applyFill="1">
      <alignment horizontal="right" vertical="center" wrapText="1" indent="1"/>
    </xf>
    <xf numFmtId="0" fontId="9" fillId="12" borderId="0" xfId="64" applyFont="1" applyFill="1">
      <alignment horizontal="right" vertical="center" wrapText="1" indent="1"/>
    </xf>
    <xf numFmtId="0" fontId="9" fillId="0" borderId="0" xfId="65" applyFont="1">
      <alignment horizontal="center" vertical="center" wrapText="1"/>
    </xf>
    <xf numFmtId="0" fontId="20" fillId="0" borderId="0" xfId="66" applyFont="1">
      <alignment vertical="center" wrapText="1"/>
    </xf>
    <xf numFmtId="0" fontId="5" fillId="12" borderId="0" xfId="67" applyFont="1" applyFill="1">
      <alignment horizontal="left" vertical="center" wrapText="1" indent="1"/>
    </xf>
    <xf numFmtId="0" fontId="21" fillId="12" borderId="0" xfId="69" applyFont="1" applyFill="1">
      <alignment horizontal="center" vertical="center" wrapText="1"/>
    </xf>
    <xf numFmtId="0" fontId="5" fillId="12" borderId="13" xfId="72" applyFont="1" applyFill="1" applyBorder="1">
      <alignment horizontal="right" vertical="center" wrapText="1" indent="1"/>
    </xf>
    <xf numFmtId="0" fontId="9" fillId="11" borderId="14" xfId="74" applyFont="1" applyFill="1" applyBorder="1">
      <alignment horizontal="left" vertical="center" wrapText="1" indent="1"/>
      <protection locked="0"/>
    </xf>
    <xf numFmtId="0" fontId="22" fillId="12" borderId="0" xfId="75" applyFont="1" applyFill="1">
      <alignment horizontal="right" vertical="center" wrapText="1" indent="1"/>
    </xf>
    <xf numFmtId="0" fontId="22" fillId="12" borderId="0" xfId="76" applyFont="1" applyFill="1">
      <alignment horizontal="left" vertical="center" wrapText="1" indent="1"/>
    </xf>
    <xf numFmtId="0" fontId="9" fillId="13" borderId="14" xfId="78" applyFont="1" applyFill="1" applyBorder="1">
      <alignment horizontal="left" vertical="center" wrapText="1" indent="1"/>
    </xf>
    <xf numFmtId="0" fontId="9" fillId="0" borderId="0" xfId="81" applyFont="1">
      <alignment horizontal="left" vertical="center" wrapText="1" indent="4"/>
    </xf>
    <xf numFmtId="0" fontId="15" fillId="0" borderId="0" xfId="84" applyFont="1">
      <alignment horizontal="left" vertical="center" wrapText="1"/>
    </xf>
    <xf numFmtId="0" fontId="10" fillId="0" borderId="0" xfId="85" applyFont="1">
      <alignment horizontal="left" vertical="center" wrapText="1"/>
    </xf>
    <xf numFmtId="0" fontId="24" fillId="0" borderId="0" xfId="86" applyFont="1">
      <alignment vertical="center" wrapText="1"/>
    </xf>
    <xf numFmtId="0" fontId="10" fillId="0" borderId="0" xfId="87" applyFont="1">
      <alignment horizontal="center" vertical="center" wrapText="1"/>
    </xf>
    <xf numFmtId="0" fontId="25" fillId="0" borderId="0" xfId="88" applyFont="1">
      <alignment horizontal="left" vertical="center" indent="1"/>
    </xf>
    <xf numFmtId="0" fontId="25" fillId="0" borderId="0" xfId="89" applyFont="1">
      <alignment horizontal="center" vertical="center" wrapText="1"/>
    </xf>
    <xf numFmtId="0" fontId="25" fillId="0" borderId="0" xfId="90" applyFont="1">
      <alignment horizontal="left" vertical="center" wrapText="1" indent="1"/>
    </xf>
    <xf numFmtId="0" fontId="25" fillId="0" borderId="0" xfId="91" applyFont="1">
      <alignment vertical="center" wrapText="1"/>
    </xf>
    <xf numFmtId="0" fontId="26" fillId="0" borderId="0" xfId="92" applyFont="1">
      <alignment vertical="center" wrapText="1"/>
    </xf>
    <xf numFmtId="0" fontId="27" fillId="0" borderId="0" xfId="93" applyFont="1">
      <alignment vertical="center" wrapText="1"/>
    </xf>
    <xf numFmtId="0" fontId="9" fillId="0" borderId="16" xfId="95" applyFont="1" applyBorder="1">
      <alignment horizontal="center" vertical="center" wrapText="1"/>
    </xf>
    <xf numFmtId="0" fontId="25" fillId="0" borderId="19" xfId="103" applyFont="1" applyBorder="1">
      <alignment vertical="center"/>
    </xf>
    <xf numFmtId="0" fontId="25" fillId="0" borderId="0" xfId="104" applyFont="1">
      <alignment vertical="center"/>
    </xf>
    <xf numFmtId="0" fontId="9" fillId="0" borderId="14" xfId="105" applyFont="1" applyBorder="1">
      <alignment horizontal="center" vertical="center" wrapText="1"/>
    </xf>
    <xf numFmtId="0" fontId="25" fillId="0" borderId="14" xfId="106" applyFont="1" applyBorder="1">
      <alignment horizontal="center" vertical="center" wrapText="1"/>
    </xf>
    <xf numFmtId="0" fontId="28" fillId="0" borderId="20" xfId="109" applyFont="1" applyBorder="1">
      <alignment vertical="top" wrapText="1"/>
    </xf>
    <xf numFmtId="0" fontId="9" fillId="0" borderId="21" xfId="110" applyFont="1" applyBorder="1">
      <alignment horizontal="center" vertical="center" wrapText="1"/>
    </xf>
    <xf numFmtId="0" fontId="25" fillId="0" borderId="21" xfId="111" applyFont="1" applyBorder="1">
      <alignment horizontal="center" vertical="center" wrapText="1"/>
    </xf>
    <xf numFmtId="0" fontId="9" fillId="0" borderId="22" xfId="124" applyFont="1" applyBorder="1">
      <alignment vertical="center" wrapText="1"/>
    </xf>
    <xf numFmtId="0" fontId="30" fillId="0" borderId="0" xfId="125" applyFont="1">
      <alignment vertical="center" wrapText="1"/>
    </xf>
    <xf numFmtId="0" fontId="31" fillId="0" borderId="0" xfId="126" applyFont="1">
      <alignment horizontal="center" vertical="center" wrapText="1"/>
    </xf>
    <xf numFmtId="0" fontId="32" fillId="0" borderId="0" xfId="127" applyFont="1">
      <alignment vertical="center"/>
    </xf>
    <xf numFmtId="0" fontId="5" fillId="0" borderId="0" xfId="128" applyFont="1">
      <alignment vertical="center"/>
    </xf>
    <xf numFmtId="0" fontId="9" fillId="0" borderId="23" xfId="130" applyFont="1" applyBorder="1">
      <alignment horizontal="left" vertical="center" wrapText="1" indent="1"/>
    </xf>
    <xf numFmtId="0" fontId="33" fillId="0" borderId="0" xfId="135" applyFont="1">
      <alignment vertical="center"/>
    </xf>
    <xf numFmtId="0" fontId="19" fillId="0" borderId="19" xfId="143" applyFont="1" applyBorder="1">
      <alignment vertical="center"/>
    </xf>
    <xf numFmtId="0" fontId="9" fillId="14" borderId="12" xfId="149" applyFont="1" applyFill="1" applyBorder="1">
      <alignment horizontal="center" vertical="center" wrapText="1"/>
    </xf>
    <xf numFmtId="0" fontId="5" fillId="14" borderId="11" xfId="153" applyFont="1" applyFill="1" applyBorder="1">
      <alignment vertical="center"/>
    </xf>
    <xf numFmtId="0" fontId="19" fillId="0" borderId="0" xfId="163" applyFont="1">
      <alignment vertical="center"/>
    </xf>
    <xf numFmtId="0" fontId="34" fillId="15" borderId="0" xfId="171" applyFont="1" applyFill="1">
      <alignment vertical="top"/>
    </xf>
    <xf numFmtId="0" fontId="9" fillId="0" borderId="0" xfId="173" applyFont="1">
      <alignment vertical="center"/>
    </xf>
    <xf numFmtId="0" fontId="37" fillId="0" borderId="0" xfId="181" applyFont="1">
      <alignment vertical="center"/>
    </xf>
    <xf numFmtId="0" fontId="5" fillId="0" borderId="14" xfId="182" applyFont="1" applyBorder="1">
      <alignment horizontal="center" vertical="center" wrapText="1"/>
    </xf>
    <xf numFmtId="0" fontId="25" fillId="0" borderId="14" xfId="185" applyFont="1" applyBorder="1">
      <alignment horizontal="center" vertical="center"/>
    </xf>
    <xf numFmtId="0" fontId="5" fillId="0" borderId="14" xfId="186" applyFont="1" applyBorder="1">
      <alignment horizontal="center" vertical="center"/>
    </xf>
    <xf numFmtId="0" fontId="9" fillId="0" borderId="14" xfId="190" applyFont="1" applyBorder="1">
      <alignment horizontal="left" vertical="top" wrapText="1"/>
    </xf>
    <xf numFmtId="0" fontId="9" fillId="0" borderId="0" xfId="199" applyFont="1">
      <alignment horizontal="left" vertical="center" indent="1"/>
    </xf>
    <xf numFmtId="0" fontId="9" fillId="13" borderId="33" xfId="200" applyFont="1" applyFill="1" applyBorder="1">
      <alignment horizontal="center" vertical="top" wrapText="1"/>
    </xf>
    <xf numFmtId="0" fontId="29" fillId="0" borderId="20" xfId="202" applyFont="1" applyBorder="1">
      <alignment horizontal="left" vertical="center"/>
    </xf>
    <xf numFmtId="0" fontId="29" fillId="0" borderId="26" xfId="206" applyFont="1" applyBorder="1">
      <alignment horizontal="left" vertical="center"/>
    </xf>
    <xf numFmtId="0" fontId="29" fillId="0" borderId="36" xfId="207" applyFont="1" applyBorder="1">
      <alignment horizontal="left" vertical="center"/>
    </xf>
    <xf numFmtId="0" fontId="5" fillId="0" borderId="36" xfId="208" applyFont="1" applyBorder="1">
      <alignment vertical="center"/>
    </xf>
    <xf numFmtId="0" fontId="29" fillId="0" borderId="25" xfId="209" applyFont="1" applyBorder="1">
      <alignment horizontal="left" vertical="center"/>
    </xf>
    <xf numFmtId="0" fontId="9" fillId="0" borderId="33" xfId="216" applyFont="1" applyBorder="1">
      <alignment horizontal="left" vertical="top" wrapText="1"/>
    </xf>
    <xf numFmtId="0" fontId="9" fillId="0" borderId="24" xfId="226" applyFont="1" applyBorder="1">
      <alignment horizontal="center" vertical="center" wrapText="1"/>
    </xf>
    <xf numFmtId="0" fontId="9" fillId="0" borderId="18" xfId="227" applyFont="1" applyBorder="1">
      <alignment horizontal="center" vertical="center" wrapText="1"/>
    </xf>
    <xf numFmtId="0" fontId="9" fillId="0" borderId="33" xfId="228" applyFont="1" applyBorder="1">
      <alignment horizontal="center" vertical="center" wrapText="1"/>
    </xf>
    <xf numFmtId="0" fontId="9" fillId="0" borderId="23" xfId="229" applyFont="1" applyBorder="1">
      <alignment horizontal="center" vertical="center" wrapText="1"/>
    </xf>
    <xf numFmtId="0" fontId="9" fillId="0" borderId="19" xfId="230" applyFont="1" applyBorder="1">
      <alignment horizontal="center" vertical="center" wrapText="1"/>
    </xf>
    <xf numFmtId="0" fontId="9" fillId="0" borderId="14" xfId="236" applyFont="1" applyBorder="1">
      <alignment horizontal="left" vertical="center" wrapText="1"/>
    </xf>
    <xf numFmtId="0" fontId="9" fillId="0" borderId="17" xfId="242" applyFont="1" applyBorder="1">
      <alignment horizontal="left" vertical="center" wrapText="1"/>
    </xf>
    <xf numFmtId="0" fontId="29" fillId="0" borderId="19" xfId="245" applyFont="1" applyBorder="1">
      <alignment horizontal="left" vertical="center"/>
    </xf>
    <xf numFmtId="0" fontId="9" fillId="0" borderId="23" xfId="247" applyFont="1" applyBorder="1">
      <alignment horizontal="left" vertical="center" wrapText="1"/>
    </xf>
    <xf numFmtId="0" fontId="9" fillId="0" borderId="12" xfId="252" applyFont="1" applyBorder="1">
      <alignment horizontal="left" vertical="center" wrapText="1"/>
    </xf>
    <xf numFmtId="0" fontId="9" fillId="12" borderId="0" xfId="253" applyFont="1" applyFill="1"/>
    <xf numFmtId="0" fontId="5" fillId="12" borderId="0" xfId="254" applyFont="1" applyFill="1"/>
    <xf numFmtId="0" fontId="25" fillId="12" borderId="0" xfId="255" applyFont="1" applyFill="1"/>
    <xf numFmtId="0" fontId="22" fillId="12" borderId="0" xfId="256" applyFont="1" applyFill="1">
      <alignment horizontal="center"/>
    </xf>
    <xf numFmtId="0" fontId="22" fillId="12" borderId="0" xfId="257" applyFont="1" applyFill="1"/>
    <xf numFmtId="0" fontId="38" fillId="12" borderId="0" xfId="258" applyFont="1" applyFill="1">
      <alignment horizontal="right" vertical="center"/>
    </xf>
    <xf numFmtId="0" fontId="25" fillId="12" borderId="0" xfId="259" applyFont="1" applyFill="1">
      <alignment vertical="center" wrapText="1"/>
    </xf>
    <xf numFmtId="0" fontId="5" fillId="12" borderId="14" xfId="263" applyFont="1" applyFill="1" applyBorder="1">
      <alignment horizontal="center" vertical="center" wrapText="1"/>
    </xf>
    <xf numFmtId="0" fontId="9" fillId="12" borderId="14" xfId="264" applyFont="1" applyFill="1" applyBorder="1">
      <alignment horizontal="center" vertical="center" wrapText="1"/>
    </xf>
    <xf numFmtId="0" fontId="28" fillId="12" borderId="0" xfId="265" applyFont="1" applyFill="1">
      <alignment horizontal="center" vertical="center"/>
    </xf>
    <xf numFmtId="0" fontId="25" fillId="0" borderId="14" xfId="267" applyFont="1" applyBorder="1">
      <alignment vertical="center" wrapText="1"/>
    </xf>
    <xf numFmtId="0" fontId="25" fillId="0" borderId="14" xfId="268" applyFont="1" applyBorder="1">
      <alignment horizontal="left" vertical="center" wrapText="1"/>
    </xf>
    <xf numFmtId="0" fontId="39" fillId="12" borderId="0" xfId="269" applyFont="1" applyFill="1"/>
    <xf numFmtId="0" fontId="5" fillId="12" borderId="14" xfId="271" applyFont="1" applyFill="1" applyBorder="1">
      <alignment vertical="center" wrapText="1"/>
    </xf>
    <xf numFmtId="0" fontId="9" fillId="12" borderId="14" xfId="272" applyFont="1" applyFill="1" applyBorder="1">
      <alignment vertical="center" wrapText="1"/>
    </xf>
    <xf numFmtId="0" fontId="5" fillId="12" borderId="14" xfId="273" applyFont="1" applyFill="1" applyBorder="1">
      <alignment horizontal="left" vertical="center" wrapText="1" indent="1"/>
    </xf>
    <xf numFmtId="0" fontId="25" fillId="0" borderId="14" xfId="275" applyFont="1" applyBorder="1">
      <alignment horizontal="left" vertical="center" wrapText="1" indent="1"/>
    </xf>
    <xf numFmtId="0" fontId="9" fillId="12" borderId="20" xfId="277" applyFont="1" applyFill="1" applyBorder="1">
      <alignment horizontal="center" vertical="center" wrapText="1"/>
    </xf>
    <xf numFmtId="0" fontId="5" fillId="12" borderId="14" xfId="278" applyFont="1" applyFill="1" applyBorder="1">
      <alignment horizontal="center" vertical="center"/>
    </xf>
    <xf numFmtId="0" fontId="5" fillId="12" borderId="14" xfId="279" applyFont="1" applyFill="1" applyBorder="1">
      <alignment horizontal="left" vertical="center" wrapText="1" indent="2"/>
    </xf>
    <xf numFmtId="0" fontId="9" fillId="12" borderId="20" xfId="282" applyFont="1" applyFill="1" applyBorder="1">
      <alignment vertical="center" wrapText="1"/>
    </xf>
    <xf numFmtId="0" fontId="9" fillId="14" borderId="12" xfId="283" applyFont="1" applyFill="1" applyBorder="1">
      <alignment horizontal="center"/>
    </xf>
    <xf numFmtId="0" fontId="38" fillId="14" borderId="16" xfId="284" applyFont="1" applyFill="1" applyBorder="1">
      <alignment horizontal="left" vertical="center"/>
    </xf>
    <xf numFmtId="0" fontId="38" fillId="14" borderId="11" xfId="285" applyFont="1" applyFill="1" applyBorder="1">
      <alignment horizontal="left" vertical="center"/>
    </xf>
    <xf numFmtId="0" fontId="25" fillId="12" borderId="14" xfId="287" applyFont="1" applyFill="1" applyBorder="1">
      <alignment vertical="center" wrapText="1"/>
    </xf>
    <xf numFmtId="0" fontId="25" fillId="12" borderId="14" xfId="288" applyFont="1" applyFill="1" applyBorder="1">
      <alignment horizontal="left" vertical="center" wrapText="1" indent="1"/>
    </xf>
    <xf numFmtId="0" fontId="25" fillId="12" borderId="14" xfId="289" applyFont="1" applyFill="1" applyBorder="1">
      <alignment horizontal="left" vertical="center" wrapText="1" indent="2"/>
    </xf>
    <xf numFmtId="0" fontId="5" fillId="12" borderId="14" xfId="291" applyFont="1" applyFill="1" applyBorder="1">
      <alignment horizontal="left" vertical="center" wrapText="1"/>
    </xf>
    <xf numFmtId="0" fontId="5" fillId="12" borderId="23" xfId="293" applyFont="1" applyFill="1" applyBorder="1">
      <alignment horizontal="left" vertical="center" wrapText="1"/>
    </xf>
    <xf numFmtId="0" fontId="31" fillId="12" borderId="0" xfId="297" applyFont="1" applyFill="1">
      <alignment horizontal="center" vertical="center" wrapText="1"/>
    </xf>
    <xf numFmtId="0" fontId="40" fillId="12" borderId="0" xfId="301" applyFont="1" applyFill="1"/>
    <xf numFmtId="0" fontId="5" fillId="12" borderId="12" xfId="305" applyFont="1" applyFill="1" applyBorder="1">
      <alignment horizontal="left" vertical="center" wrapText="1" indent="1"/>
    </xf>
    <xf numFmtId="0" fontId="5" fillId="12" borderId="14" xfId="307" applyFont="1" applyFill="1" applyBorder="1">
      <alignment vertical="top" wrapText="1"/>
    </xf>
    <xf numFmtId="0" fontId="5" fillId="12" borderId="12" xfId="308" applyFont="1" applyFill="1" applyBorder="1">
      <alignment horizontal="left" vertical="center" wrapText="1"/>
    </xf>
    <xf numFmtId="0" fontId="5" fillId="12" borderId="21" xfId="309" applyFont="1" applyFill="1" applyBorder="1">
      <alignment vertical="center" wrapText="1"/>
    </xf>
    <xf numFmtId="0" fontId="41" fillId="12" borderId="0" xfId="311" applyFont="1" applyFill="1"/>
    <xf numFmtId="0" fontId="34" fillId="12" borderId="0" xfId="312" applyFont="1" applyFill="1">
      <alignment horizontal="center"/>
    </xf>
    <xf numFmtId="0" fontId="34" fillId="12" borderId="0" xfId="313" applyFont="1" applyFill="1"/>
    <xf numFmtId="0" fontId="42" fillId="12" borderId="0" xfId="314" applyFont="1" applyFill="1">
      <alignment horizontal="right" vertical="center"/>
    </xf>
    <xf numFmtId="0" fontId="43" fillId="12" borderId="0" xfId="315" applyFont="1" applyFill="1">
      <alignment vertical="center"/>
    </xf>
    <xf numFmtId="0" fontId="42" fillId="12" borderId="0" xfId="316" applyFont="1" applyFill="1">
      <alignment horizontal="right" vertical="top"/>
    </xf>
    <xf numFmtId="0" fontId="43" fillId="12" borderId="0" xfId="317" applyFont="1" applyFill="1">
      <alignment vertical="center" wrapText="1"/>
    </xf>
    <xf numFmtId="0" fontId="5" fillId="12" borderId="0" xfId="318" applyFont="1" applyFill="1">
      <alignment horizontal="center"/>
    </xf>
    <xf numFmtId="0" fontId="19" fillId="0" borderId="0" xfId="319" applyFont="1">
      <alignment horizontal="center" vertical="center" wrapText="1"/>
    </xf>
    <xf numFmtId="0" fontId="44" fillId="12" borderId="0" xfId="320" applyFont="1" applyFill="1">
      <alignment horizontal="center" vertical="center" wrapText="1"/>
    </xf>
    <xf numFmtId="0" fontId="44" fillId="12" borderId="0" xfId="321" applyFont="1" applyFill="1">
      <alignment horizontal="right" vertical="center" wrapText="1"/>
    </xf>
    <xf numFmtId="0" fontId="44" fillId="0" borderId="0" xfId="322" applyFont="1">
      <alignment vertical="center" wrapText="1"/>
    </xf>
    <xf numFmtId="0" fontId="9" fillId="0" borderId="21" xfId="324" applyFont="1" applyBorder="1">
      <alignment horizontal="left" vertical="center" wrapText="1" indent="1"/>
    </xf>
    <xf numFmtId="0" fontId="45" fillId="12" borderId="0" xfId="326" applyFont="1" applyFill="1">
      <alignment horizontal="center" vertical="center" wrapText="1"/>
    </xf>
    <xf numFmtId="0" fontId="5" fillId="0" borderId="12" xfId="327" applyFont="1" applyBorder="1">
      <alignment horizontal="center" vertical="center" wrapText="1"/>
    </xf>
    <xf numFmtId="0" fontId="5" fillId="0" borderId="11" xfId="329" applyFont="1" applyBorder="1">
      <alignment horizontal="center" vertical="center" wrapText="1"/>
    </xf>
    <xf numFmtId="0" fontId="5" fillId="0" borderId="23" xfId="330" applyFont="1" applyBorder="1">
      <alignment horizontal="center" vertical="center" wrapText="1"/>
    </xf>
    <xf numFmtId="0" fontId="5" fillId="0" borderId="18" xfId="332" applyFont="1" applyBorder="1">
      <alignment horizontal="center" vertical="center" wrapText="1"/>
    </xf>
    <xf numFmtId="0" fontId="5" fillId="0" borderId="21" xfId="333" applyFont="1" applyBorder="1">
      <alignment horizontal="center" vertical="center" wrapText="1"/>
    </xf>
    <xf numFmtId="0" fontId="5" fillId="0" borderId="25" xfId="335" applyFont="1" applyBorder="1">
      <alignment horizontal="center" vertical="center" wrapText="1"/>
    </xf>
    <xf numFmtId="0" fontId="28" fillId="12" borderId="0" xfId="336" applyFont="1" applyFill="1">
      <alignment horizontal="center" vertical="center" wrapText="1"/>
    </xf>
    <xf numFmtId="0" fontId="46" fillId="12" borderId="0" xfId="338" applyFont="1" applyFill="1">
      <alignment horizontal="center" vertical="center" wrapText="1"/>
    </xf>
    <xf numFmtId="0" fontId="36" fillId="0" borderId="0" xfId="342" applyFont="1">
      <alignment vertical="center" wrapText="1"/>
    </xf>
    <xf numFmtId="0" fontId="9" fillId="13" borderId="12" xfId="344" applyFont="1" applyFill="1" applyBorder="1">
      <alignment horizontal="left" vertical="center" wrapText="1"/>
    </xf>
    <xf numFmtId="0" fontId="5" fillId="8" borderId="14" xfId="349" applyFont="1" applyFill="1" applyBorder="1">
      <alignment horizontal="right" vertical="center" wrapText="1"/>
      <protection locked="0"/>
    </xf>
    <xf numFmtId="0" fontId="29" fillId="14" borderId="16" xfId="353" applyFont="1" applyFill="1" applyBorder="1">
      <alignment vertical="center"/>
    </xf>
    <xf numFmtId="0" fontId="31" fillId="12" borderId="14" xfId="360" applyFont="1" applyFill="1" applyBorder="1">
      <alignment horizontal="center" vertical="center" wrapText="1"/>
    </xf>
    <xf numFmtId="0" fontId="11" fillId="12" borderId="0" xfId="366" applyFont="1" applyFill="1">
      <alignment horizontal="right" vertical="center"/>
    </xf>
    <xf numFmtId="0" fontId="11" fillId="12" borderId="0" xfId="367" applyFont="1" applyFill="1">
      <alignment horizontal="right" vertical="center" wrapText="1"/>
    </xf>
    <xf numFmtId="0" fontId="31" fillId="12" borderId="20" xfId="370" applyFont="1" applyFill="1" applyBorder="1">
      <alignment vertical="top" wrapText="1"/>
    </xf>
    <xf numFmtId="0" fontId="31" fillId="12" borderId="0" xfId="375" applyFont="1" applyFill="1">
      <alignment vertical="top" wrapText="1"/>
    </xf>
    <xf numFmtId="0" fontId="25" fillId="12" borderId="21" xfId="376" applyFont="1" applyFill="1" applyBorder="1">
      <alignment horizontal="center" vertical="center" wrapText="1"/>
    </xf>
    <xf numFmtId="0" fontId="25" fillId="0" borderId="0" xfId="380" applyFont="1">
      <alignment horizontal="left" vertical="center" wrapText="1"/>
    </xf>
    <xf numFmtId="0" fontId="30" fillId="0" borderId="0" xfId="385" applyFont="1">
      <alignment vertical="top"/>
    </xf>
    <xf numFmtId="0" fontId="15" fillId="0" borderId="14" xfId="390" applyFont="1" applyBorder="1">
      <alignment vertical="top" wrapText="1"/>
    </xf>
    <xf numFmtId="0" fontId="47" fillId="0" borderId="14" xfId="393" applyFont="1" applyBorder="1">
      <alignment vertical="top" wrapText="1"/>
    </xf>
    <xf numFmtId="0" fontId="15" fillId="16" borderId="14" xfId="398" applyFont="1" applyFill="1" applyBorder="1">
      <alignment horizontal="center" vertical="top" wrapText="1"/>
    </xf>
    <xf numFmtId="0" fontId="47" fillId="16" borderId="14" xfId="399" applyFont="1" applyFill="1" applyBorder="1">
      <alignment horizontal="right" vertical="center" wrapText="1"/>
    </xf>
    <xf numFmtId="0" fontId="47" fillId="0" borderId="14" xfId="403" applyFont="1" applyBorder="1">
      <alignment horizontal="left" vertical="top" wrapText="1"/>
    </xf>
    <xf numFmtId="0" fontId="47" fillId="16" borderId="14" xfId="405" applyFont="1" applyFill="1" applyBorder="1">
      <alignment horizontal="center" vertical="center" wrapText="1"/>
    </xf>
    <xf numFmtId="0" fontId="47" fillId="0" borderId="23" xfId="408" applyFont="1" applyBorder="1">
      <alignment horizontal="left" vertical="top" wrapText="1"/>
    </xf>
    <xf numFmtId="0" fontId="47" fillId="0" borderId="11" xfId="410" applyFont="1" applyBorder="1">
      <alignment horizontal="left" vertical="top" wrapText="1"/>
    </xf>
    <xf numFmtId="0" fontId="47" fillId="0" borderId="23" xfId="414" applyFont="1" applyBorder="1">
      <alignment vertical="top" wrapText="1"/>
    </xf>
    <xf numFmtId="0" fontId="15" fillId="0" borderId="12" xfId="416" applyFont="1" applyBorder="1">
      <alignment horizontal="center" vertical="center" wrapText="1"/>
    </xf>
    <xf numFmtId="0" fontId="15" fillId="0" borderId="12" xfId="417" applyFont="1" applyBorder="1">
      <alignment horizontal="center" vertical="center"/>
    </xf>
    <xf numFmtId="0" fontId="15" fillId="0" borderId="14" xfId="419" applyFont="1" applyBorder="1">
      <alignment vertical="center" wrapText="1"/>
    </xf>
    <xf numFmtId="0" fontId="15" fillId="0" borderId="14" xfId="421" applyFont="1" applyBorder="1">
      <alignment horizontal="center" vertical="center" wrapText="1"/>
    </xf>
    <xf numFmtId="0" fontId="15" fillId="0" borderId="23" xfId="422" applyFont="1" applyBorder="1">
      <alignment vertical="center" wrapText="1"/>
    </xf>
    <xf numFmtId="0" fontId="15" fillId="0" borderId="21" xfId="423" applyFont="1" applyBorder="1">
      <alignment vertical="center" wrapText="1"/>
    </xf>
    <xf numFmtId="0" fontId="15" fillId="0" borderId="23" xfId="428" applyFont="1" applyBorder="1">
      <alignment horizontal="center" vertical="center" wrapText="1"/>
    </xf>
    <xf numFmtId="0" fontId="47" fillId="0" borderId="33" xfId="430" applyFont="1" applyBorder="1">
      <alignment horizontal="left" vertical="top" wrapText="1"/>
    </xf>
    <xf numFmtId="0" fontId="5" fillId="18" borderId="14" xfId="434" applyFont="1" applyFill="1" applyBorder="1">
      <alignment horizontal="center" vertical="center"/>
    </xf>
    <xf numFmtId="0" fontId="9" fillId="0" borderId="14" xfId="438" applyFont="1" applyBorder="1">
      <alignment vertical="center"/>
    </xf>
    <xf numFmtId="0" fontId="5" fillId="0" borderId="14" xfId="439" applyFont="1" applyBorder="1">
      <alignment vertical="center"/>
    </xf>
    <xf numFmtId="0" fontId="5" fillId="0" borderId="12" xfId="440" applyFont="1" applyBorder="1">
      <alignment vertical="center"/>
    </xf>
    <xf numFmtId="0" fontId="9" fillId="0" borderId="12" xfId="441" applyFont="1" applyBorder="1">
      <alignment horizontal="left" vertical="center"/>
    </xf>
    <xf numFmtId="0" fontId="5" fillId="0" borderId="11" xfId="445" applyFont="1" applyBorder="1">
      <alignment vertical="center"/>
    </xf>
    <xf numFmtId="0" fontId="5" fillId="0" borderId="14" xfId="446" applyFont="1" applyBorder="1">
      <alignment horizontal="right" vertical="top"/>
    </xf>
    <xf numFmtId="0" fontId="5" fillId="0" borderId="14" xfId="447" applyFont="1" applyBorder="1">
      <alignment vertical="top"/>
    </xf>
    <xf numFmtId="0" fontId="9" fillId="0" borderId="11" xfId="448" applyFont="1" applyBorder="1">
      <alignment vertical="center"/>
    </xf>
    <xf numFmtId="0" fontId="5" fillId="0" borderId="0" xfId="450" applyFont="1">
      <alignment vertical="top"/>
    </xf>
    <xf numFmtId="0" fontId="9" fillId="0" borderId="14" xfId="451" applyFont="1" applyBorder="1">
      <alignment vertical="top"/>
    </xf>
    <xf numFmtId="0" fontId="5" fillId="21" borderId="0" xfId="452" applyFont="1" applyFill="1">
      <alignment horizontal="right" vertical="center"/>
    </xf>
    <xf numFmtId="0" fontId="5" fillId="21" borderId="0" xfId="453" applyFont="1" applyFill="1">
      <alignment horizontal="left" vertical="center"/>
    </xf>
    <xf numFmtId="0" fontId="5" fillId="0" borderId="0" xfId="454" applyFont="1">
      <alignment horizontal="right" vertical="top"/>
    </xf>
    <xf numFmtId="0" fontId="48" fillId="21" borderId="0" xfId="456" applyFont="1" applyFill="1">
      <alignment horizontal="left" vertical="center"/>
    </xf>
    <xf numFmtId="0" fontId="5" fillId="0" borderId="12" xfId="459" applyFont="1" applyBorder="1">
      <alignment horizontal="left" vertical="center"/>
    </xf>
    <xf numFmtId="0" fontId="5" fillId="0" borderId="23" xfId="461" applyFont="1" applyBorder="1">
      <alignment vertical="top"/>
    </xf>
    <xf numFmtId="0" fontId="9" fillId="0" borderId="23" xfId="462" applyFont="1" applyBorder="1">
      <alignment vertical="center"/>
    </xf>
    <xf numFmtId="0" fontId="9" fillId="21" borderId="0" xfId="466" applyFont="1" applyFill="1">
      <alignment horizontal="left" vertical="center"/>
    </xf>
    <xf numFmtId="0" fontId="5" fillId="21" borderId="41" xfId="467" applyFont="1" applyFill="1" applyBorder="1">
      <alignment horizontal="center"/>
    </xf>
    <xf numFmtId="0" fontId="5" fillId="0" borderId="41" xfId="470" applyFont="1" applyBorder="1">
      <alignment horizontal="center"/>
    </xf>
    <xf numFmtId="0" fontId="28" fillId="0" borderId="0" xfId="473" applyFont="1">
      <alignment horizontal="center" vertical="center" wrapText="1"/>
    </xf>
    <xf numFmtId="0" fontId="5" fillId="10" borderId="40" xfId="476" applyFont="1" applyFill="1" applyBorder="1">
      <alignment horizontal="center" vertical="center"/>
    </xf>
    <xf numFmtId="0" fontId="2" fillId="0" borderId="42" xfId="478" applyFont="1" applyBorder="1">
      <alignment horizontal="center" vertical="center"/>
    </xf>
    <xf numFmtId="0" fontId="5" fillId="0" borderId="42" xfId="479" applyFont="1" applyBorder="1">
      <alignment horizontal="center" vertical="center"/>
    </xf>
    <xf numFmtId="0" fontId="5" fillId="16" borderId="14" xfId="482" applyFont="1" applyFill="1" applyBorder="1">
      <alignment horizontal="right" vertical="center"/>
    </xf>
    <xf numFmtId="0" fontId="9" fillId="0" borderId="0" xfId="485" applyFont="1">
      <alignment vertical="top"/>
    </xf>
    <xf numFmtId="0" fontId="9" fillId="10" borderId="26" xfId="488" applyFont="1" applyFill="1" applyBorder="1">
      <alignment horizontal="center" vertical="top"/>
    </xf>
    <xf numFmtId="0" fontId="9" fillId="10" borderId="26" xfId="489" applyFont="1" applyFill="1" applyBorder="1">
      <alignment horizontal="left" vertical="top"/>
    </xf>
    <xf numFmtId="0" fontId="5" fillId="0" borderId="43" xfId="490" applyFont="1" applyBorder="1">
      <alignment horizontal="center" vertical="center"/>
    </xf>
    <xf numFmtId="0" fontId="5" fillId="0" borderId="44" xfId="491" applyFont="1" applyBorder="1">
      <alignment horizontal="center" vertical="center"/>
    </xf>
    <xf numFmtId="0" fontId="9" fillId="0" borderId="14" xfId="492" applyFont="1" applyBorder="1">
      <alignment horizontal="left" vertical="top"/>
    </xf>
    <xf numFmtId="0" fontId="5" fillId="0" borderId="45" xfId="493" applyFont="1" applyBorder="1">
      <alignment horizontal="center" vertical="center"/>
    </xf>
    <xf numFmtId="0" fontId="5" fillId="21" borderId="0" xfId="496" applyFont="1" applyFill="1">
      <alignment horizontal="right" vertical="top" wrapText="1"/>
    </xf>
    <xf numFmtId="0" fontId="9" fillId="0" borderId="0" xfId="497" applyFont="1">
      <alignment horizontal="left" vertical="top" wrapText="1"/>
    </xf>
    <xf numFmtId="0" fontId="9" fillId="12" borderId="14" xfId="499" applyFont="1" applyFill="1" applyBorder="1">
      <alignment horizontal="center" vertical="center"/>
    </xf>
    <xf numFmtId="0" fontId="31" fillId="12" borderId="0" xfId="500" applyFont="1" applyFill="1">
      <alignment horizontal="center"/>
    </xf>
    <xf numFmtId="0" fontId="28" fillId="0" borderId="0" xfId="501" applyFont="1">
      <alignment vertical="top" wrapText="1"/>
    </xf>
    <xf numFmtId="0" fontId="19" fillId="0" borderId="21" xfId="502" applyFont="1" applyBorder="1">
      <alignment horizontal="center" vertical="center" wrapText="1"/>
    </xf>
    <xf numFmtId="0" fontId="19" fillId="0" borderId="14" xfId="503" applyFont="1" applyBorder="1">
      <alignment horizontal="center" vertical="center" wrapText="1"/>
    </xf>
    <xf numFmtId="0" fontId="28" fillId="0" borderId="20" xfId="507" applyFont="1" applyBorder="1">
      <alignment horizontal="center" vertical="center" wrapText="1"/>
    </xf>
    <xf numFmtId="0" fontId="35" fillId="0" borderId="23" xfId="510" applyFont="1" applyBorder="1">
      <alignment horizontal="center" vertical="center" wrapText="1"/>
    </xf>
    <xf numFmtId="0" fontId="28" fillId="0" borderId="14" xfId="513" applyFont="1" applyBorder="1">
      <alignment horizontal="center" vertical="center" wrapText="1"/>
    </xf>
    <xf numFmtId="0" fontId="9" fillId="12" borderId="0" xfId="516" applyFont="1" applyFill="1">
      <alignment horizontal="center" vertical="top" wrapText="1"/>
    </xf>
    <xf numFmtId="0" fontId="9" fillId="12" borderId="12" xfId="517" applyFont="1" applyFill="1" applyBorder="1">
      <alignment horizontal="center" vertical="center" wrapText="1"/>
    </xf>
    <xf numFmtId="0" fontId="25" fillId="12" borderId="14" xfId="518" applyFont="1" applyFill="1" applyBorder="1">
      <alignment horizontal="center" vertical="center" wrapText="1"/>
    </xf>
    <xf numFmtId="0" fontId="51" fillId="12" borderId="0" xfId="524" applyFont="1" applyFill="1">
      <alignment vertical="center" wrapText="1"/>
    </xf>
    <xf numFmtId="0" fontId="5" fillId="11" borderId="12" xfId="525" applyFont="1" applyFill="1" applyBorder="1">
      <alignment horizontal="left" vertical="center" wrapText="1" indent="2"/>
      <protection locked="0"/>
    </xf>
    <xf numFmtId="0" fontId="31" fillId="0" borderId="20" xfId="526" applyFont="1" applyBorder="1">
      <alignment horizontal="center" vertical="center" wrapText="1"/>
    </xf>
    <xf numFmtId="0" fontId="9" fillId="0" borderId="20" xfId="539" applyFont="1" applyBorder="1">
      <alignment vertical="top" wrapText="1"/>
    </xf>
    <xf numFmtId="0" fontId="9" fillId="14" borderId="12" xfId="544" applyFont="1" applyFill="1" applyBorder="1">
      <alignment vertical="center" wrapText="1"/>
    </xf>
    <xf numFmtId="0" fontId="9" fillId="14" borderId="16" xfId="545" applyFont="1" applyFill="1" applyBorder="1">
      <alignment vertical="center" wrapText="1"/>
    </xf>
    <xf numFmtId="0" fontId="5" fillId="10" borderId="33" xfId="547" applyFont="1" applyFill="1" applyBorder="1">
      <alignment horizontal="left" vertical="top" wrapText="1" indent="1"/>
    </xf>
    <xf numFmtId="0" fontId="9" fillId="10" borderId="33" xfId="554" applyFont="1" applyFill="1" applyBorder="1">
      <alignment horizontal="center" vertical="top" wrapText="1"/>
    </xf>
    <xf numFmtId="0" fontId="9" fillId="8" borderId="33" xfId="555" applyFont="1" applyFill="1" applyBorder="1">
      <alignment horizontal="left" vertical="top" wrapText="1"/>
      <protection locked="0"/>
    </xf>
    <xf numFmtId="0" fontId="52" fillId="0" borderId="46" xfId="556" applyFont="1" applyBorder="1">
      <alignment horizontal="left" vertical="center" indent="1"/>
    </xf>
    <xf numFmtId="0" fontId="52" fillId="0" borderId="47" xfId="557" applyFont="1" applyBorder="1">
      <alignment horizontal="left" vertical="center" indent="1"/>
    </xf>
    <xf numFmtId="0" fontId="5" fillId="0" borderId="47" xfId="558" applyFont="1" applyBorder="1">
      <alignment horizontal="left" vertical="center" wrapText="1"/>
    </xf>
    <xf numFmtId="0" fontId="9" fillId="0" borderId="47" xfId="559" applyFont="1" applyBorder="1">
      <alignment vertical="center" wrapText="1"/>
    </xf>
    <xf numFmtId="0" fontId="9" fillId="0" borderId="48" xfId="560" applyFont="1" applyBorder="1">
      <alignment vertical="center" wrapText="1"/>
    </xf>
    <xf numFmtId="0" fontId="9" fillId="0" borderId="49" xfId="561" applyFont="1" applyBorder="1">
      <alignment vertical="center" wrapText="1"/>
    </xf>
    <xf numFmtId="0" fontId="9" fillId="0" borderId="19" xfId="562" applyFont="1" applyBorder="1">
      <alignment vertical="center" wrapText="1"/>
    </xf>
    <xf numFmtId="0" fontId="53" fillId="0" borderId="14" xfId="571" applyFont="1" applyBorder="1">
      <alignment horizontal="center" vertical="center"/>
    </xf>
    <xf numFmtId="0" fontId="53" fillId="0" borderId="14" xfId="578" applyFont="1" applyBorder="1">
      <alignment horizontal="left" vertical="center" wrapText="1" indent="1"/>
    </xf>
    <xf numFmtId="0" fontId="5" fillId="14" borderId="52" xfId="585" applyFont="1" applyFill="1" applyBorder="1">
      <alignment horizontal="left" vertical="center"/>
    </xf>
    <xf numFmtId="0" fontId="9" fillId="14" borderId="52" xfId="587" applyFont="1" applyFill="1" applyBorder="1">
      <alignment vertical="center" wrapText="1"/>
    </xf>
    <xf numFmtId="0" fontId="9" fillId="14" borderId="53" xfId="588" applyFont="1" applyFill="1" applyBorder="1">
      <alignment vertical="center" wrapText="1"/>
    </xf>
    <xf numFmtId="0" fontId="30" fillId="0" borderId="14" xfId="594" applyFont="1" applyBorder="1">
      <alignment horizontal="center" vertical="center"/>
    </xf>
    <xf numFmtId="0" fontId="30" fillId="13" borderId="14" xfId="605" applyFont="1" applyFill="1" applyBorder="1">
      <alignment horizontal="left" vertical="center" wrapText="1" indent="1"/>
    </xf>
    <xf numFmtId="0" fontId="30" fillId="0" borderId="11" xfId="612" applyFont="1" applyBorder="1">
      <alignment horizontal="center" vertical="center"/>
    </xf>
    <xf numFmtId="0" fontId="52" fillId="0" borderId="54" xfId="623" applyFont="1" applyBorder="1">
      <alignment horizontal="left" vertical="center" indent="1"/>
    </xf>
    <xf numFmtId="0" fontId="9" fillId="0" borderId="55" xfId="625" applyFont="1" applyBorder="1">
      <alignment horizontal="right" vertical="center"/>
    </xf>
    <xf numFmtId="0" fontId="9" fillId="0" borderId="55" xfId="626" applyFont="1" applyBorder="1">
      <alignment horizontal="center" vertical="center"/>
    </xf>
    <xf numFmtId="0" fontId="9" fillId="0" borderId="16" xfId="627" applyFont="1" applyBorder="1">
      <alignment horizontal="right" vertical="center"/>
    </xf>
    <xf numFmtId="0" fontId="9" fillId="0" borderId="11" xfId="628" applyFont="1" applyBorder="1">
      <alignment horizontal="right" vertical="center"/>
    </xf>
    <xf numFmtId="0" fontId="9" fillId="0" borderId="14" xfId="629" applyFont="1" applyBorder="1">
      <alignment horizontal="right" vertical="center"/>
    </xf>
    <xf numFmtId="0" fontId="9" fillId="16" borderId="14" xfId="631" applyFont="1" applyFill="1" applyBorder="1">
      <alignment horizontal="right" vertical="center"/>
    </xf>
    <xf numFmtId="0" fontId="9" fillId="0" borderId="11" xfId="638" applyFont="1" applyBorder="1">
      <alignment horizontal="left" vertical="center" wrapText="1" indent="1"/>
    </xf>
    <xf numFmtId="0" fontId="57" fillId="0" borderId="0" xfId="640" applyFont="1">
      <alignment vertical="top"/>
    </xf>
    <xf numFmtId="0" fontId="58" fillId="0" borderId="0" xfId="641" applyFont="1">
      <alignment vertical="top"/>
    </xf>
    <xf numFmtId="0" fontId="9" fillId="0" borderId="21" xfId="643" applyFont="1" applyBorder="1">
      <alignment horizontal="left" vertical="center" wrapText="1"/>
    </xf>
    <xf numFmtId="0" fontId="25" fillId="0" borderId="19" xfId="646" applyFont="1" applyBorder="1">
      <alignment vertical="center" wrapText="1"/>
    </xf>
    <xf numFmtId="0" fontId="29" fillId="0" borderId="14" xfId="648" applyFont="1" applyBorder="1">
      <alignment horizontal="left" vertical="center" indent="1"/>
    </xf>
    <xf numFmtId="0" fontId="25" fillId="0" borderId="21" xfId="650" applyFont="1" applyBorder="1">
      <alignment vertical="center" wrapText="1"/>
    </xf>
    <xf numFmtId="0" fontId="25" fillId="0" borderId="14" xfId="657" applyFont="1" applyBorder="1">
      <alignment horizontal="left" vertical="center" indent="1"/>
    </xf>
    <xf numFmtId="0" fontId="9" fillId="0" borderId="14" xfId="661" applyFont="1" applyBorder="1">
      <alignment vertical="center" wrapText="1"/>
    </xf>
    <xf numFmtId="0" fontId="5" fillId="0" borderId="14" xfId="663" applyFont="1" applyBorder="1">
      <alignment horizontal="left" vertical="center" wrapText="1"/>
    </xf>
    <xf numFmtId="0" fontId="5" fillId="11" borderId="14" xfId="665" applyFont="1" applyFill="1" applyBorder="1">
      <alignment horizontal="left" vertical="center" wrapText="1"/>
      <protection locked="0"/>
    </xf>
    <xf numFmtId="0" fontId="5" fillId="0" borderId="14" xfId="667" applyFont="1" applyBorder="1">
      <alignment vertical="center" wrapText="1"/>
    </xf>
    <xf numFmtId="0" fontId="29" fillId="14" borderId="12" xfId="677" applyFont="1" applyFill="1" applyBorder="1">
      <alignment horizontal="left" vertical="center"/>
    </xf>
    <xf numFmtId="0" fontId="29" fillId="14" borderId="16" xfId="678" applyFont="1" applyFill="1" applyBorder="1">
      <alignment horizontal="left" vertical="center"/>
    </xf>
    <xf numFmtId="0" fontId="29" fillId="14" borderId="11" xfId="679" applyFont="1" applyFill="1" applyBorder="1">
      <alignment horizontal="left" vertical="center"/>
    </xf>
    <xf numFmtId="0" fontId="5" fillId="14" borderId="16" xfId="683" applyFont="1" applyFill="1" applyBorder="1">
      <alignment vertical="center"/>
    </xf>
    <xf numFmtId="0" fontId="29" fillId="0" borderId="33" xfId="688" applyFont="1" applyBorder="1">
      <alignment horizontal="left" vertical="center"/>
    </xf>
    <xf numFmtId="0" fontId="29" fillId="8" borderId="33" xfId="690" applyFont="1" applyFill="1" applyBorder="1">
      <alignment horizontal="left" vertical="center"/>
      <protection locked="0"/>
    </xf>
    <xf numFmtId="0" fontId="29" fillId="11" borderId="33" xfId="691" applyFont="1" applyFill="1" applyBorder="1">
      <alignment horizontal="left" vertical="center"/>
      <protection locked="0"/>
    </xf>
    <xf numFmtId="0" fontId="25" fillId="0" borderId="12" xfId="694" applyFont="1" applyBorder="1">
      <alignment horizontal="left" vertical="center"/>
    </xf>
    <xf numFmtId="0" fontId="25" fillId="0" borderId="16" xfId="695" applyFont="1" applyBorder="1">
      <alignment horizontal="left" vertical="center"/>
    </xf>
    <xf numFmtId="0" fontId="29" fillId="14" borderId="25" xfId="696" applyFont="1" applyFill="1" applyBorder="1">
      <alignment horizontal="left" vertical="center"/>
    </xf>
    <xf numFmtId="0" fontId="9" fillId="0" borderId="33" xfId="705" applyFont="1" applyBorder="1">
      <alignment horizontal="left" vertical="center" wrapText="1"/>
    </xf>
    <xf numFmtId="0" fontId="29" fillId="0" borderId="21" xfId="709" applyFont="1" applyBorder="1">
      <alignment horizontal="left" vertical="center"/>
    </xf>
    <xf numFmtId="0" fontId="29" fillId="14" borderId="24" xfId="710" applyFont="1" applyFill="1" applyBorder="1">
      <alignment horizontal="left" vertical="center"/>
    </xf>
    <xf numFmtId="0" fontId="29" fillId="14" borderId="24" xfId="715" applyFont="1" applyFill="1" applyBorder="1">
      <alignment vertical="center"/>
    </xf>
    <xf numFmtId="0" fontId="9" fillId="12" borderId="0" xfId="719" applyFont="1" applyFill="1">
      <alignment horizontal="right" vertical="center" wrapText="1"/>
    </xf>
    <xf numFmtId="0" fontId="9" fillId="12" borderId="0" xfId="720" applyFont="1" applyFill="1">
      <alignment horizontal="right" vertical="center"/>
    </xf>
    <xf numFmtId="0" fontId="5" fillId="0" borderId="14" xfId="721" applyFont="1" applyBorder="1">
      <alignment horizontal="left" vertical="center" wrapText="1" indent="1"/>
    </xf>
    <xf numFmtId="0" fontId="5" fillId="11" borderId="14" xfId="722" applyFont="1" applyFill="1" applyBorder="1">
      <alignment horizontal="left" vertical="center" wrapText="1" indent="2"/>
      <protection locked="0"/>
    </xf>
    <xf numFmtId="0" fontId="9" fillId="0" borderId="23" xfId="724" applyFont="1" applyBorder="1">
      <alignment vertical="center" wrapText="1"/>
    </xf>
    <xf numFmtId="0" fontId="37" fillId="0" borderId="14" xfId="728" applyFont="1" applyBorder="1">
      <alignment horizontal="left" vertical="center" wrapText="1" indent="2"/>
    </xf>
    <xf numFmtId="0" fontId="9" fillId="0" borderId="23" xfId="730" applyFont="1" applyBorder="1">
      <alignment vertical="top" wrapText="1"/>
    </xf>
    <xf numFmtId="0" fontId="9" fillId="0" borderId="21" xfId="731" applyFont="1" applyBorder="1">
      <alignment vertical="top" wrapText="1"/>
    </xf>
    <xf numFmtId="0" fontId="51" fillId="0" borderId="0" xfId="733" applyFont="1">
      <alignment vertical="center" wrapText="1"/>
    </xf>
    <xf numFmtId="0" fontId="9" fillId="0" borderId="33" xfId="734" applyFont="1" applyBorder="1">
      <alignment vertical="center" wrapText="1"/>
    </xf>
    <xf numFmtId="0" fontId="9" fillId="13" borderId="14" xfId="738" applyFont="1" applyFill="1" applyBorder="1">
      <alignment horizontal="left" vertical="center" wrapText="1"/>
    </xf>
    <xf numFmtId="0" fontId="5" fillId="0" borderId="33" xfId="739" applyFont="1" applyBorder="1">
      <alignment horizontal="center" vertical="center" wrapText="1"/>
    </xf>
    <xf numFmtId="0" fontId="9" fillId="0" borderId="0" xfId="740" applyFont="1">
      <alignment vertical="top" wrapText="1"/>
    </xf>
    <xf numFmtId="0" fontId="13" fillId="12" borderId="0" xfId="743" applyFont="1" applyFill="1">
      <alignment horizontal="center" vertical="center" wrapText="1"/>
    </xf>
    <xf numFmtId="0" fontId="5" fillId="12" borderId="12" xfId="744" applyFont="1" applyFill="1" applyBorder="1">
      <alignment horizontal="right" vertical="center" wrapText="1" indent="1"/>
    </xf>
    <xf numFmtId="0" fontId="9" fillId="10" borderId="14" xfId="746" applyFont="1" applyFill="1" applyBorder="1">
      <alignment horizontal="left" vertical="center" wrapText="1" indent="1"/>
    </xf>
    <xf numFmtId="0" fontId="9" fillId="12" borderId="23" xfId="747" applyFont="1" applyFill="1" applyBorder="1">
      <alignment horizontal="center" vertical="center" wrapText="1"/>
    </xf>
    <xf numFmtId="0" fontId="9" fillId="12" borderId="21" xfId="750" applyFont="1" applyFill="1" applyBorder="1">
      <alignment horizontal="center" vertical="center" wrapText="1"/>
    </xf>
    <xf numFmtId="0" fontId="9" fillId="0" borderId="14" xfId="760" applyFont="1" applyBorder="1">
      <alignment vertical="top" wrapText="1"/>
    </xf>
    <xf numFmtId="0" fontId="9" fillId="12" borderId="14" xfId="767" applyFont="1" applyFill="1" applyBorder="1">
      <alignment horizontal="left" vertical="center" wrapText="1"/>
    </xf>
    <xf numFmtId="0" fontId="9" fillId="0" borderId="14" xfId="768" applyFont="1" applyBorder="1">
      <alignment horizontal="left" vertical="center" wrapText="1" indent="6"/>
    </xf>
    <xf numFmtId="0" fontId="9" fillId="10" borderId="16" xfId="770" applyFont="1" applyFill="1" applyBorder="1">
      <alignment horizontal="left" vertical="center" wrapText="1"/>
    </xf>
    <xf numFmtId="0" fontId="30" fillId="0" borderId="14" xfId="772" applyFont="1" applyBorder="1">
      <alignment vertical="top" wrapText="1"/>
    </xf>
    <xf numFmtId="0" fontId="27" fillId="12" borderId="0" xfId="774" applyFont="1" applyFill="1">
      <alignment horizontal="center" vertical="center" wrapText="1"/>
    </xf>
    <xf numFmtId="0" fontId="9" fillId="0" borderId="20" xfId="775" applyFont="1" applyBorder="1">
      <alignment vertical="center" wrapText="1"/>
    </xf>
    <xf numFmtId="0" fontId="9" fillId="12" borderId="14" xfId="776" applyFont="1" applyFill="1" applyBorder="1">
      <alignment horizontal="left" vertical="center" wrapText="1" indent="1"/>
    </xf>
    <xf numFmtId="0" fontId="9" fillId="12" borderId="14" xfId="777" applyFont="1" applyFill="1" applyBorder="1">
      <alignment horizontal="left" vertical="center" wrapText="1" indent="2"/>
    </xf>
    <xf numFmtId="0" fontId="9" fillId="12" borderId="14" xfId="778" applyFont="1" applyFill="1" applyBorder="1">
      <alignment horizontal="left" vertical="center" wrapText="1" indent="3"/>
    </xf>
    <xf numFmtId="0" fontId="19" fillId="0" borderId="0" xfId="779" applyFont="1">
      <alignment horizontal="center" vertical="center"/>
    </xf>
    <xf numFmtId="0" fontId="25" fillId="0" borderId="20" xfId="780" applyFont="1" applyBorder="1">
      <alignment horizontal="center" vertical="center" wrapText="1"/>
    </xf>
    <xf numFmtId="0" fontId="9" fillId="12" borderId="14" xfId="781" applyFont="1" applyFill="1" applyBorder="1">
      <alignment horizontal="left" vertical="center" wrapText="1" indent="4"/>
    </xf>
    <xf numFmtId="0" fontId="25" fillId="0" borderId="20" xfId="785" applyFont="1" applyBorder="1">
      <alignment vertical="center" wrapText="1"/>
    </xf>
    <xf numFmtId="0" fontId="9" fillId="12" borderId="14" xfId="786" applyFont="1" applyFill="1" applyBorder="1">
      <alignment horizontal="left" vertical="center" wrapText="1" indent="5"/>
    </xf>
    <xf numFmtId="0" fontId="9" fillId="13" borderId="14" xfId="787" applyFont="1" applyFill="1" applyBorder="1">
      <alignment horizontal="left" vertical="center" wrapText="1" indent="6"/>
    </xf>
    <xf numFmtId="0" fontId="9" fillId="12" borderId="0" xfId="810" applyFont="1" applyFill="1">
      <alignment horizontal="left" vertical="center" wrapText="1"/>
    </xf>
    <xf numFmtId="0" fontId="5" fillId="12" borderId="14" xfId="811" applyFont="1" applyFill="1" applyBorder="1">
      <alignment horizontal="right" vertical="center" wrapText="1" indent="1"/>
    </xf>
    <xf numFmtId="0" fontId="5" fillId="0" borderId="16" xfId="812" applyFont="1" applyBorder="1">
      <alignment vertical="center"/>
    </xf>
    <xf numFmtId="0" fontId="9" fillId="12" borderId="36" xfId="813" applyFont="1" applyFill="1" applyBorder="1">
      <alignment vertical="center" wrapText="1"/>
    </xf>
    <xf numFmtId="0" fontId="31" fillId="0" borderId="36" xfId="814" applyFont="1" applyBorder="1">
      <alignment horizontal="center" vertical="center" wrapText="1"/>
    </xf>
    <xf numFmtId="0" fontId="9" fillId="0" borderId="21" xfId="822" applyFont="1" applyBorder="1">
      <alignment vertical="center" wrapText="1"/>
    </xf>
    <xf numFmtId="0" fontId="62" fillId="12" borderId="0" xfId="824" applyFont="1" applyFill="1">
      <alignment vertical="center" wrapText="1"/>
    </xf>
    <xf numFmtId="0" fontId="63" fillId="12" borderId="0" xfId="825" applyFont="1" applyFill="1">
      <alignment vertical="center" wrapText="1"/>
    </xf>
    <xf numFmtId="0" fontId="25" fillId="12" borderId="17" xfId="828" applyFont="1" applyFill="1" applyBorder="1">
      <alignment horizontal="center" vertical="center" wrapText="1"/>
    </xf>
    <xf numFmtId="0" fontId="46" fillId="12" borderId="17" xfId="829" applyFont="1" applyFill="1" applyBorder="1">
      <alignment horizontal="center" vertical="center" wrapText="1"/>
    </xf>
    <xf numFmtId="0" fontId="19" fillId="0" borderId="0" xfId="830" applyFont="1">
      <alignment horizontal="left" vertical="center" indent="1"/>
    </xf>
    <xf numFmtId="0" fontId="25" fillId="0" borderId="23" xfId="837" applyFont="1" applyBorder="1">
      <alignment horizontal="center" vertical="center" wrapText="1"/>
    </xf>
    <xf numFmtId="0" fontId="25" fillId="0" borderId="14" xfId="838" applyFont="1" applyBorder="1">
      <alignment horizontal="left" vertical="center" wrapText="1" indent="4"/>
    </xf>
    <xf numFmtId="0" fontId="25" fillId="0" borderId="14" xfId="839" applyFont="1" applyBorder="1">
      <alignment horizontal="left" vertical="center" wrapText="1" indent="6"/>
    </xf>
    <xf numFmtId="0" fontId="25" fillId="0" borderId="16" xfId="841" applyFont="1" applyBorder="1">
      <alignment horizontal="left" vertical="center" wrapText="1"/>
    </xf>
    <xf numFmtId="0" fontId="25" fillId="0" borderId="14" xfId="843" applyFont="1" applyBorder="1">
      <alignment vertical="top" wrapText="1"/>
    </xf>
    <xf numFmtId="0" fontId="25" fillId="0" borderId="0" xfId="848" applyFont="1">
      <alignment horizontal="center" vertical="center"/>
    </xf>
    <xf numFmtId="0" fontId="9" fillId="12" borderId="23" xfId="849" applyFont="1" applyFill="1" applyBorder="1">
      <alignment horizontal="left" vertical="center" wrapText="1"/>
    </xf>
    <xf numFmtId="0" fontId="9" fillId="12" borderId="23" xfId="850" applyFont="1" applyFill="1" applyBorder="1">
      <alignment horizontal="left" vertical="center" wrapText="1" indent="2"/>
    </xf>
    <xf numFmtId="0" fontId="9" fillId="0" borderId="23" xfId="851" applyFont="1" applyBorder="1">
      <alignment horizontal="left" vertical="center" wrapText="1" indent="6"/>
    </xf>
    <xf numFmtId="0" fontId="9" fillId="10" borderId="14" xfId="855" applyFont="1" applyFill="1" applyBorder="1">
      <alignment horizontal="left" vertical="center" wrapText="1"/>
    </xf>
    <xf numFmtId="0" fontId="30" fillId="0" borderId="11" xfId="856" applyFont="1" applyBorder="1">
      <alignment vertical="top" wrapText="1"/>
    </xf>
    <xf numFmtId="0" fontId="25" fillId="0" borderId="11" xfId="857" applyFont="1" applyBorder="1">
      <alignment vertical="top" wrapText="1"/>
    </xf>
    <xf numFmtId="0" fontId="9" fillId="12" borderId="21" xfId="858" applyFont="1" applyFill="1" applyBorder="1">
      <alignment horizontal="left" vertical="center" wrapText="1"/>
    </xf>
    <xf numFmtId="0" fontId="9" fillId="13" borderId="21" xfId="859" applyFont="1" applyFill="1" applyBorder="1">
      <alignment horizontal="left" vertical="center" wrapText="1" indent="6"/>
    </xf>
    <xf numFmtId="0" fontId="9" fillId="0" borderId="21" xfId="860" applyFont="1" applyBorder="1">
      <alignment horizontal="left" vertical="center" wrapText="1" indent="6"/>
    </xf>
    <xf numFmtId="0" fontId="9" fillId="0" borderId="0" xfId="866" applyFont="1">
      <alignment horizontal="center" vertical="center"/>
    </xf>
    <xf numFmtId="0" fontId="30" fillId="0" borderId="23" xfId="870" applyFont="1" applyBorder="1">
      <alignment vertical="top" wrapText="1"/>
    </xf>
    <xf numFmtId="0" fontId="9" fillId="8" borderId="14" xfId="871" applyFont="1" applyFill="1" applyBorder="1">
      <alignment horizontal="left" vertical="center" wrapText="1" indent="7"/>
      <protection locked="0"/>
    </xf>
    <xf numFmtId="0" fontId="9" fillId="14" borderId="16" xfId="874" applyFont="1" applyFill="1" applyBorder="1">
      <alignment horizontal="left" vertical="center" wrapText="1" indent="6"/>
    </xf>
    <xf numFmtId="0" fontId="36" fillId="0" borderId="0" xfId="882" applyFont="1">
      <alignment horizontal="left" vertical="center" indent="1"/>
    </xf>
    <xf numFmtId="0" fontId="36" fillId="0" borderId="0" xfId="883" applyFont="1">
      <alignment horizontal="center" vertical="center"/>
    </xf>
    <xf numFmtId="0" fontId="26" fillId="12" borderId="0" xfId="884" applyFont="1" applyFill="1">
      <alignment horizontal="center" vertical="center" wrapText="1"/>
    </xf>
    <xf numFmtId="0" fontId="25" fillId="0" borderId="14" xfId="885" applyFont="1" applyBorder="1">
      <alignment horizontal="left" vertical="center" wrapText="1" indent="5"/>
    </xf>
    <xf numFmtId="0" fontId="25" fillId="0" borderId="20" xfId="886" applyFont="1" applyBorder="1">
      <alignment horizontal="center" vertical="top" wrapText="1"/>
    </xf>
    <xf numFmtId="0" fontId="9" fillId="0" borderId="14" xfId="889" applyFont="1" applyBorder="1">
      <alignment horizontal="left" vertical="center" wrapText="1" indent="4"/>
    </xf>
    <xf numFmtId="0" fontId="25" fillId="0" borderId="20" xfId="902" applyFont="1" applyBorder="1">
      <alignment horizontal="left" vertical="center" wrapText="1" indent="1"/>
    </xf>
    <xf numFmtId="0" fontId="19" fillId="0" borderId="0" xfId="905" applyFont="1">
      <alignment horizontal="left" vertical="center"/>
    </xf>
    <xf numFmtId="0" fontId="64" fillId="12" borderId="0" xfId="906" applyFont="1" applyFill="1">
      <alignment vertical="center" wrapText="1"/>
    </xf>
    <xf numFmtId="0" fontId="5" fillId="12" borderId="24" xfId="908" applyFont="1" applyFill="1" applyBorder="1">
      <alignment horizontal="center" vertical="center" wrapText="1"/>
    </xf>
    <xf numFmtId="0" fontId="9" fillId="11" borderId="14" xfId="915" applyFont="1" applyFill="1" applyBorder="1">
      <alignment horizontal="center" vertical="center" wrapText="1"/>
      <protection locked="0"/>
    </xf>
    <xf numFmtId="0" fontId="9" fillId="0" borderId="14" xfId="920" applyFont="1" applyBorder="1">
      <alignment horizontal="left" vertical="center" wrapText="1" indent="1"/>
    </xf>
    <xf numFmtId="0" fontId="64" fillId="0" borderId="0" xfId="923" applyFont="1">
      <alignment vertical="center" wrapText="1"/>
    </xf>
    <xf numFmtId="0" fontId="9" fillId="0" borderId="0" xfId="938" applyFont="1">
      <alignment horizontal="left" vertical="center"/>
    </xf>
    <xf numFmtId="0" fontId="9" fillId="12" borderId="25" xfId="940" applyFont="1" applyFill="1" applyBorder="1">
      <alignment horizontal="center" vertical="center" wrapText="1"/>
    </xf>
    <xf numFmtId="0" fontId="5" fillId="0" borderId="14" xfId="942" applyFont="1" applyBorder="1">
      <alignment horizontal="left" vertical="center" wrapText="1" indent="2"/>
    </xf>
    <xf numFmtId="0" fontId="9" fillId="0" borderId="0" xfId="945" applyFont="1">
      <alignment horizontal="right" vertical="top" wrapText="1"/>
    </xf>
    <xf numFmtId="0" fontId="5" fillId="0" borderId="14" xfId="946" applyFont="1" applyBorder="1">
      <alignment horizontal="left" vertical="top" wrapText="1"/>
    </xf>
    <xf numFmtId="0" fontId="9" fillId="0" borderId="17" xfId="947" applyFont="1" applyBorder="1">
      <alignment vertical="center" wrapText="1"/>
    </xf>
    <xf numFmtId="0" fontId="9" fillId="0" borderId="17" xfId="951" applyFont="1" applyBorder="1">
      <alignment horizontal="left" vertical="top" wrapText="1"/>
    </xf>
    <xf numFmtId="0" fontId="9" fillId="0" borderId="12" xfId="952" applyFont="1" applyBorder="1">
      <alignment vertical="center" wrapText="1"/>
    </xf>
    <xf numFmtId="0" fontId="9" fillId="0" borderId="16" xfId="953" applyFont="1" applyBorder="1">
      <alignment horizontal="right" vertical="center" wrapText="1" indent="1"/>
    </xf>
    <xf numFmtId="0" fontId="9" fillId="0" borderId="11" xfId="954" applyFont="1" applyBorder="1">
      <alignment horizontal="right" vertical="center" wrapText="1" indent="1"/>
    </xf>
    <xf numFmtId="0" fontId="9" fillId="10" borderId="12" xfId="955" applyFont="1" applyFill="1" applyBorder="1">
      <alignment horizontal="left" vertical="top" wrapText="1" indent="1"/>
    </xf>
    <xf numFmtId="0" fontId="9" fillId="0" borderId="11" xfId="962" applyFont="1" applyBorder="1">
      <alignment vertical="center" wrapText="1"/>
    </xf>
    <xf numFmtId="0" fontId="68" fillId="0" borderId="0" xfId="966" applyFont="1">
      <alignment vertical="center" wrapText="1"/>
    </xf>
    <xf numFmtId="0" fontId="19" fillId="0" borderId="14" xfId="970" applyFont="1" applyBorder="1">
      <alignment vertical="top" wrapText="1"/>
    </xf>
    <xf numFmtId="0" fontId="5" fillId="0" borderId="12" xfId="971" applyFont="1" applyBorder="1">
      <alignment horizontal="center" vertical="center"/>
    </xf>
    <xf numFmtId="0" fontId="19" fillId="14" borderId="11" xfId="975" applyFont="1" applyFill="1" applyBorder="1">
      <alignment vertical="center" wrapText="1"/>
    </xf>
    <xf numFmtId="0" fontId="9" fillId="14" borderId="17" xfId="976" applyFont="1" applyFill="1" applyBorder="1">
      <alignment vertical="center" wrapText="1"/>
    </xf>
    <xf numFmtId="0" fontId="9" fillId="14" borderId="36" xfId="977" applyFont="1" applyFill="1" applyBorder="1">
      <alignment vertical="center" wrapText="1"/>
    </xf>
    <xf numFmtId="0" fontId="69" fillId="12" borderId="0" xfId="987" applyFont="1" applyFill="1">
      <alignment horizontal="center" vertical="center" wrapText="1"/>
    </xf>
    <xf numFmtId="0" fontId="25" fillId="12" borderId="14" xfId="988" applyFont="1" applyFill="1" applyBorder="1">
      <alignment horizontal="left" vertical="center" wrapText="1" indent="3"/>
    </xf>
    <xf numFmtId="0" fontId="9" fillId="0" borderId="57" xfId="995" applyFont="1" applyBorder="1">
      <alignment horizontal="center" vertical="center" wrapText="1"/>
    </xf>
    <xf numFmtId="0" fontId="9" fillId="11" borderId="14" xfId="996" applyFont="1" applyFill="1" applyBorder="1">
      <alignment horizontal="left" vertical="center" wrapText="1" indent="2"/>
      <protection locked="0"/>
    </xf>
    <xf numFmtId="0" fontId="25" fillId="0" borderId="57" xfId="997" applyFont="1" applyBorder="1">
      <alignment horizontal="center" vertical="center" wrapText="1"/>
    </xf>
    <xf numFmtId="0" fontId="25" fillId="0" borderId="14" xfId="998" applyFont="1" applyBorder="1">
      <alignment horizontal="left" vertical="center" wrapText="1" indent="2"/>
    </xf>
    <xf numFmtId="0" fontId="9" fillId="0" borderId="14" xfId="999" applyFont="1" applyBorder="1">
      <alignment horizontal="left" vertical="center" wrapText="1" indent="3"/>
    </xf>
    <xf numFmtId="0" fontId="9" fillId="8" borderId="14" xfId="1001" applyFont="1" applyFill="1" applyBorder="1">
      <alignment horizontal="left" vertical="center" wrapText="1"/>
      <protection locked="0"/>
    </xf>
    <xf numFmtId="0" fontId="9" fillId="0" borderId="11" xfId="1002" applyFont="1" applyBorder="1">
      <alignment vertical="top" wrapText="1"/>
    </xf>
    <xf numFmtId="0" fontId="9" fillId="0" borderId="18" xfId="1004" applyFont="1" applyBorder="1">
      <alignment vertical="center" wrapText="1"/>
    </xf>
    <xf numFmtId="0" fontId="61" fillId="12" borderId="0" xfId="1005" applyFont="1" applyFill="1">
      <alignment horizontal="right" vertical="center"/>
    </xf>
    <xf numFmtId="0" fontId="9" fillId="10" borderId="12" xfId="1006" applyFont="1" applyFill="1" applyBorder="1">
      <alignment horizontal="left" vertical="top" wrapText="1"/>
    </xf>
    <xf numFmtId="0" fontId="36" fillId="0" borderId="14" xfId="1011" applyFont="1" applyBorder="1">
      <alignment horizontal="left" vertical="center" wrapText="1" indent="2"/>
    </xf>
    <xf numFmtId="0" fontId="36" fillId="0" borderId="14" xfId="1012" applyFont="1" applyBorder="1">
      <alignment horizontal="center" vertical="center" wrapText="1"/>
    </xf>
    <xf numFmtId="0" fontId="36" fillId="0" borderId="14" xfId="1013" applyFont="1" applyBorder="1">
      <alignment vertical="center" wrapText="1"/>
    </xf>
    <xf numFmtId="0" fontId="36" fillId="0" borderId="57" xfId="1014" applyFont="1" applyBorder="1">
      <alignment horizontal="center" vertical="center" wrapText="1"/>
    </xf>
    <xf numFmtId="0" fontId="36" fillId="0" borderId="14" xfId="1015" applyFont="1" applyBorder="1">
      <alignment horizontal="left" vertical="center" wrapText="1" indent="3"/>
    </xf>
    <xf numFmtId="0" fontId="9" fillId="0" borderId="14" xfId="1018" applyFont="1" applyBorder="1">
      <alignment horizontal="left" vertical="center" wrapText="1" indent="2"/>
    </xf>
    <xf numFmtId="0" fontId="19" fillId="0" borderId="0" xfId="1021" applyFont="1">
      <alignment horizontal="left" vertical="center" wrapText="1"/>
    </xf>
    <xf numFmtId="0" fontId="25" fillId="0" borderId="14" xfId="1023" applyFont="1" applyBorder="1">
      <alignment horizontal="left" vertical="center" wrapText="1" indent="3"/>
    </xf>
    <xf numFmtId="0" fontId="25" fillId="0" borderId="23" xfId="1025" applyFont="1" applyBorder="1">
      <alignment vertical="top" wrapText="1"/>
    </xf>
    <xf numFmtId="0" fontId="9" fillId="0" borderId="12" xfId="1026" applyFont="1" applyBorder="1">
      <alignment horizontal="left" vertical="center" wrapText="1" indent="2"/>
    </xf>
    <xf numFmtId="0" fontId="9" fillId="0" borderId="12" xfId="1028" applyFont="1" applyBorder="1">
      <alignment horizontal="left" vertical="center" wrapText="1" indent="1"/>
    </xf>
    <xf numFmtId="0" fontId="25" fillId="0" borderId="33" xfId="1035" applyFont="1" applyBorder="1">
      <alignment horizontal="left" vertical="center" wrapText="1" indent="1"/>
    </xf>
    <xf numFmtId="0" fontId="25" fillId="0" borderId="33" xfId="1036" applyFont="1" applyBorder="1">
      <alignment horizontal="center" vertical="center" wrapText="1"/>
    </xf>
    <xf numFmtId="0" fontId="25" fillId="0" borderId="23" xfId="1037" applyFont="1" applyBorder="1">
      <alignment vertical="center" wrapText="1"/>
    </xf>
    <xf numFmtId="0" fontId="25" fillId="0" borderId="21" xfId="1041" applyFont="1" applyBorder="1">
      <alignment horizontal="left" vertical="center" wrapText="1" indent="1"/>
    </xf>
    <xf numFmtId="0" fontId="25" fillId="0" borderId="23" xfId="1042" applyFont="1" applyBorder="1">
      <alignment horizontal="left" vertical="center" wrapText="1" indent="1"/>
    </xf>
    <xf numFmtId="0" fontId="48" fillId="0" borderId="0" xfId="1044" applyFont="1">
      <alignment vertical="center" wrapText="1"/>
    </xf>
    <xf numFmtId="0" fontId="9" fillId="0" borderId="36" xfId="1045" applyFont="1" applyBorder="1">
      <alignment vertical="center" wrapText="1"/>
    </xf>
    <xf numFmtId="0" fontId="65" fillId="12" borderId="0" xfId="1046" applyFont="1" applyFill="1">
      <alignment horizontal="right" vertical="center"/>
    </xf>
    <xf numFmtId="0" fontId="25" fillId="0" borderId="12" xfId="1052" applyFont="1" applyBorder="1">
      <alignment vertical="center" wrapText="1"/>
    </xf>
    <xf numFmtId="0" fontId="25" fillId="0" borderId="12" xfId="1055" applyFont="1" applyBorder="1">
      <alignment horizontal="left" vertical="top" wrapText="1"/>
    </xf>
    <xf numFmtId="0" fontId="70" fillId="0" borderId="0" xfId="1057" applyFont="1">
      <alignment vertical="center" wrapText="1"/>
    </xf>
    <xf numFmtId="0" fontId="25" fillId="0" borderId="36" xfId="1064" applyFont="1" applyBorder="1">
      <alignment vertical="center" wrapText="1"/>
    </xf>
    <xf numFmtId="0" fontId="71" fillId="0" borderId="19" xfId="1068" applyFont="1" applyBorder="1">
      <alignment vertical="center" wrapText="1"/>
    </xf>
    <xf numFmtId="0" fontId="9" fillId="0" borderId="43" xfId="1073" applyFont="1" applyBorder="1">
      <alignment horizontal="left" vertical="center" wrapText="1"/>
    </xf>
    <xf numFmtId="0" fontId="9" fillId="0" borderId="45" xfId="1077" applyFont="1" applyBorder="1">
      <alignment horizontal="left" vertical="center" wrapText="1" indent="1"/>
    </xf>
    <xf numFmtId="0" fontId="9" fillId="0" borderId="45" xfId="1081" applyFont="1" applyBorder="1">
      <alignment horizontal="left" vertical="center" wrapText="1"/>
    </xf>
    <xf numFmtId="0" fontId="9" fillId="0" borderId="40" xfId="1083" applyFont="1" applyBorder="1">
      <alignment horizontal="left" vertical="center" wrapText="1" indent="1"/>
    </xf>
    <xf numFmtId="0" fontId="9" fillId="0" borderId="40" xfId="1085" applyFont="1" applyBorder="1">
      <alignment horizontal="left" vertical="center" wrapText="1"/>
    </xf>
    <xf numFmtId="0" fontId="9" fillId="0" borderId="40" xfId="1086" applyFont="1" applyBorder="1">
      <alignment horizontal="left" vertical="center" wrapText="1" indent="2"/>
    </xf>
    <xf numFmtId="0" fontId="9" fillId="0" borderId="62" xfId="1089" applyFont="1" applyBorder="1">
      <alignment horizontal="left" vertical="center" wrapText="1"/>
    </xf>
    <xf numFmtId="0" fontId="19" fillId="26" borderId="14" xfId="1097" applyFont="1" applyFill="1" applyBorder="1">
      <alignment horizontal="left" vertical="center" wrapText="1"/>
    </xf>
    <xf numFmtId="0" fontId="9" fillId="22" borderId="14" xfId="1098" applyFont="1" applyFill="1" applyBorder="1">
      <alignment vertical="center"/>
    </xf>
    <xf numFmtId="0" fontId="9" fillId="0" borderId="17" xfId="1102" applyFont="1" applyBorder="1">
      <alignment horizontal="right" vertical="center" wrapText="1" indent="1"/>
    </xf>
    <xf numFmtId="0" fontId="19" fillId="14" borderId="16" xfId="1104" applyFont="1" applyFill="1" applyBorder="1">
      <alignment vertical="center" wrapText="1"/>
    </xf>
    <xf numFmtId="0" fontId="5" fillId="12" borderId="23" xfId="1107" applyFont="1" applyFill="1" applyBorder="1">
      <alignment horizontal="center" vertical="center" wrapText="1"/>
    </xf>
    <xf numFmtId="0" fontId="9" fillId="14" borderId="25" xfId="1109" applyFont="1" applyFill="1" applyBorder="1">
      <alignment vertical="center" wrapText="1"/>
    </xf>
    <xf numFmtId="0" fontId="9" fillId="12" borderId="10" xfId="1110" applyFont="1" applyFill="1" applyBorder="1">
      <alignment vertical="center" wrapText="1"/>
    </xf>
    <xf numFmtId="0" fontId="13" fillId="12" borderId="10" xfId="1112" applyFont="1" applyFill="1" applyBorder="1">
      <alignment horizontal="center" wrapText="1"/>
    </xf>
    <xf numFmtId="0" fontId="9" fillId="0" borderId="4" xfId="1116" applyFont="1" applyBorder="1">
      <alignment vertical="center" wrapText="1"/>
    </xf>
    <xf numFmtId="0" fontId="9" fillId="12" borderId="17" xfId="1117" applyFont="1" applyFill="1" applyBorder="1">
      <alignment vertical="center" wrapText="1"/>
    </xf>
    <xf numFmtId="0" fontId="25" fillId="0" borderId="10" xfId="1118" applyFont="1" applyBorder="1">
      <alignment vertical="center" wrapText="1"/>
    </xf>
    <xf numFmtId="0" fontId="9" fillId="0" borderId="4" xfId="1121" applyFont="1" applyBorder="1">
      <alignment vertical="center"/>
    </xf>
    <xf numFmtId="0" fontId="28" fillId="0" borderId="14" xfId="1158" applyFont="1" applyBorder="1">
      <alignment horizontal="center" vertical="center"/>
    </xf>
    <xf numFmtId="0" fontId="9" fillId="0" borderId="23" xfId="1161" applyFont="1" applyBorder="1">
      <alignment horizontal="right" vertical="center"/>
    </xf>
    <xf numFmtId="0" fontId="9" fillId="0" borderId="23" xfId="1162" applyFont="1" applyBorder="1">
      <alignment horizontal="center" vertical="center"/>
    </xf>
    <xf numFmtId="0" fontId="74" fillId="12" borderId="0" xfId="1165" applyFont="1" applyFill="1">
      <alignment horizontal="center" vertical="center" wrapText="1"/>
    </xf>
    <xf numFmtId="0" fontId="10" fillId="12" borderId="0" xfId="1166" applyFont="1" applyFill="1"/>
    <xf numFmtId="0" fontId="9" fillId="0" borderId="0" xfId="1169" applyFont="1"/>
    <xf numFmtId="0" fontId="31" fillId="12" borderId="0" xfId="1170" applyFont="1" applyFill="1">
      <alignment horizontal="center" vertical="center"/>
    </xf>
    <xf numFmtId="0" fontId="9" fillId="12" borderId="23" xfId="1171" applyFont="1" applyFill="1" applyBorder="1">
      <alignment horizontal="center" vertical="center"/>
    </xf>
    <xf numFmtId="0" fontId="31" fillId="0" borderId="0" xfId="1173" applyFont="1">
      <alignment horizontal="center" vertical="center"/>
    </xf>
    <xf numFmtId="0" fontId="19" fillId="12" borderId="0" xfId="1175" applyFont="1" applyFill="1"/>
    <xf numFmtId="0" fontId="75" fillId="12" borderId="0" xfId="1176" applyFont="1" applyFill="1"/>
    <xf numFmtId="0" fontId="25" fillId="12" borderId="0" xfId="1177" applyFont="1" applyFill="1">
      <alignment horizontal="center" vertical="center" wrapText="1"/>
    </xf>
    <xf numFmtId="0" fontId="36" fillId="12" borderId="0" xfId="1179" applyFont="1" applyFill="1">
      <alignment vertical="center" wrapText="1"/>
    </xf>
    <xf numFmtId="0" fontId="25" fillId="12" borderId="14" xfId="1180" applyFont="1" applyFill="1" applyBorder="1">
      <alignment horizontal="center" vertical="center"/>
    </xf>
    <xf numFmtId="0" fontId="37" fillId="12" borderId="0" xfId="1182" applyFont="1" applyFill="1"/>
    <xf numFmtId="0" fontId="70" fillId="12" borderId="0" xfId="1184" applyFont="1" applyFill="1"/>
    <xf numFmtId="0" fontId="9" fillId="12" borderId="14" xfId="1185" applyFont="1" applyFill="1" applyBorder="1">
      <alignment horizontal="left" vertical="top" wrapText="1"/>
    </xf>
    <xf numFmtId="0" fontId="9" fillId="12" borderId="14" xfId="1187" applyFont="1" applyFill="1" applyBorder="1">
      <alignment vertical="top" wrapText="1"/>
    </xf>
    <xf numFmtId="0" fontId="19" fillId="0" borderId="33" xfId="1189" applyFont="1" applyBorder="1">
      <alignment horizontal="left" vertical="center" wrapText="1" indent="1"/>
    </xf>
    <xf numFmtId="0" fontId="76" fillId="0" borderId="0" xfId="1200" applyFont="1">
      <alignment vertical="center"/>
    </xf>
    <xf numFmtId="0" fontId="9" fillId="10" borderId="21" xfId="1206" applyFont="1" applyFill="1" applyBorder="1">
      <alignment horizontal="left" vertical="center" wrapText="1" indent="1"/>
    </xf>
    <xf numFmtId="0" fontId="9" fillId="12" borderId="33" xfId="1212" applyFont="1" applyFill="1" applyBorder="1">
      <alignment vertical="center" wrapText="1"/>
    </xf>
    <xf numFmtId="0" fontId="25" fillId="0" borderId="36" xfId="1213" applyFont="1" applyBorder="1">
      <alignment horizontal="center" vertical="center" wrapText="1"/>
    </xf>
    <xf numFmtId="0" fontId="9" fillId="12" borderId="19" xfId="1214" applyFont="1" applyFill="1" applyBorder="1">
      <alignment vertical="center" wrapText="1"/>
    </xf>
    <xf numFmtId="0" fontId="27" fillId="0" borderId="0" xfId="1218" applyFont="1">
      <alignment horizontal="center" vertical="center" wrapText="1"/>
    </xf>
    <xf numFmtId="0" fontId="5" fillId="0" borderId="0" xfId="1241" applyFont="1"/>
    <xf numFmtId="0" fontId="5" fillId="0" borderId="15" xfId="1243" applyFont="1" applyBorder="1">
      <alignment vertical="top" wrapText="1"/>
    </xf>
    <xf numFmtId="0" fontId="3" fillId="0" borderId="65" xfId="1244" applyFont="1" applyBorder="1">
      <alignment vertical="top" wrapText="1"/>
    </xf>
    <xf numFmtId="0" fontId="5" fillId="0" borderId="14" xfId="1245" applyFont="1" applyBorder="1">
      <alignment vertical="top" wrapText="1"/>
    </xf>
    <xf numFmtId="0" fontId="13" fillId="0" borderId="15" xfId="1247" applyFont="1" applyBorder="1">
      <alignment vertical="center" wrapText="1"/>
    </xf>
    <xf numFmtId="0" fontId="3" fillId="0" borderId="0" xfId="1248" applyFont="1">
      <alignment vertical="top" wrapText="1"/>
    </xf>
    <xf numFmtId="0" fontId="9" fillId="0" borderId="15" xfId="1249" applyFont="1" applyBorder="1">
      <alignment vertical="center" wrapText="1"/>
    </xf>
    <xf numFmtId="168" fontId="5" fillId="11" borderId="15" xfId="0" applyNumberFormat="1" applyFont="1" applyFill="1" applyBorder="1" applyAlignment="1" applyProtection="1">
      <alignment horizontal="left" vertical="center" wrapText="1" indent="1"/>
      <protection locked="0"/>
    </xf>
    <xf numFmtId="49" fontId="18" fillId="11" borderId="11" xfId="0" applyNumberFormat="1" applyFont="1" applyFill="1" applyBorder="1" applyAlignment="1" applyProtection="1">
      <alignment horizontal="left" vertical="center" wrapText="1"/>
      <protection locked="0"/>
    </xf>
    <xf numFmtId="49" fontId="18" fillId="11" borderId="14" xfId="0" applyNumberFormat="1" applyFont="1" applyFill="1" applyBorder="1" applyAlignment="1" applyProtection="1">
      <alignment horizontal="left" vertical="center" wrapText="1"/>
      <protection locked="0"/>
    </xf>
    <xf numFmtId="49" fontId="18" fillId="11" borderId="12" xfId="0" applyNumberFormat="1" applyFont="1" applyFill="1" applyBorder="1" applyAlignment="1" applyProtection="1">
      <alignment horizontal="left" vertical="center" wrapText="1"/>
      <protection locked="0"/>
    </xf>
    <xf numFmtId="49" fontId="34" fillId="11" borderId="14" xfId="0" applyNumberFormat="1" applyFont="1" applyFill="1" applyBorder="1" applyAlignment="1" applyProtection="1">
      <alignment horizontal="left" vertical="center" wrapText="1" indent="1"/>
      <protection locked="0"/>
    </xf>
    <xf numFmtId="0" fontId="5" fillId="11" borderId="14" xfId="0" applyFont="1" applyFill="1" applyBorder="1" applyAlignment="1" applyProtection="1">
      <alignment horizontal="left" vertical="center"/>
      <protection locked="0"/>
    </xf>
    <xf numFmtId="49" fontId="79" fillId="11" borderId="14" xfId="0" applyNumberFormat="1" applyFont="1" applyFill="1" applyBorder="1" applyAlignment="1" applyProtection="1">
      <alignment horizontal="left" vertical="center" wrapText="1"/>
      <protection locked="0"/>
    </xf>
    <xf numFmtId="49" fontId="79" fillId="11" borderId="11" xfId="0" applyNumberFormat="1" applyFont="1" applyFill="1" applyBorder="1" applyAlignment="1" applyProtection="1">
      <alignment horizontal="left" vertical="center" wrapText="1"/>
      <protection locked="0"/>
    </xf>
    <xf numFmtId="49" fontId="79" fillId="11" borderId="12" xfId="725" applyNumberFormat="1" applyFont="1" applyFill="1" applyBorder="1">
      <alignment horizontal="left" vertical="center" wrapText="1"/>
      <protection locked="0"/>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3" fillId="7" borderId="6" xfId="19" applyFont="1" applyFill="1" applyBorder="1">
      <alignment horizontal="right" vertical="center" wrapText="1" indent="1"/>
    </xf>
    <xf numFmtId="0" fontId="3" fillId="7" borderId="8" xfId="20" applyFont="1" applyFill="1" applyBorder="1">
      <alignment horizontal="right" vertical="center" wrapText="1" indent="1"/>
    </xf>
    <xf numFmtId="0" fontId="3" fillId="7" borderId="4" xfId="7" applyFont="1" applyFill="1" applyBorder="1">
      <alignment horizontal="right" vertical="center" wrapText="1" indent="1"/>
    </xf>
    <xf numFmtId="0" fontId="3" fillId="7" borderId="0" xfId="16" applyFont="1" applyFill="1">
      <alignment horizontal="right" vertical="center" wrapText="1" indent="1"/>
    </xf>
    <xf numFmtId="0" fontId="6" fillId="0" borderId="0" xfId="22" applyFont="1">
      <alignment vertical="center" wrapText="1"/>
    </xf>
    <xf numFmtId="0" fontId="0" fillId="0" borderId="0" xfId="0" applyFont="1">
      <alignment vertical="top"/>
    </xf>
    <xf numFmtId="0" fontId="3" fillId="7" borderId="5" xfId="8" applyFont="1" applyFill="1" applyBorder="1">
      <alignment horizontal="right" vertical="center" wrapText="1" indent="1"/>
    </xf>
    <xf numFmtId="0" fontId="3" fillId="7" borderId="9" xfId="24" applyFont="1" applyFill="1" applyBorder="1">
      <alignment horizontal="right" vertical="center" wrapText="1" indent="1"/>
    </xf>
    <xf numFmtId="0" fontId="3" fillId="7" borderId="10" xfId="25" applyFont="1" applyFill="1" applyBorder="1">
      <alignment horizontal="right" vertical="center" wrapText="1" indent="1"/>
    </xf>
    <xf numFmtId="0" fontId="6" fillId="0" borderId="0" xfId="23" applyFont="1">
      <alignment vertical="top" wrapText="1"/>
    </xf>
    <xf numFmtId="0" fontId="2" fillId="0" borderId="0" xfId="2" applyFont="1">
      <alignment vertical="center" wrapText="1"/>
    </xf>
    <xf numFmtId="0" fontId="2" fillId="0" borderId="0" xfId="3" applyFont="1">
      <alignment vertical="center"/>
    </xf>
    <xf numFmtId="0" fontId="3" fillId="6" borderId="1" xfId="4" applyFont="1" applyFill="1" applyBorder="1">
      <alignment horizontal="center" vertical="center" wrapText="1"/>
    </xf>
    <xf numFmtId="0" fontId="3" fillId="6" borderId="2" xfId="5" applyFont="1" applyFill="1" applyBorder="1">
      <alignment horizontal="center" vertical="center" wrapText="1"/>
    </xf>
    <xf numFmtId="0" fontId="3" fillId="6" borderId="3" xfId="6" applyFont="1" applyFill="1" applyBorder="1">
      <alignment horizontal="center" vertical="center" wrapText="1"/>
    </xf>
    <xf numFmtId="0" fontId="6" fillId="0" borderId="4" xfId="11" applyFont="1" applyBorder="1">
      <alignment vertical="center" wrapText="1"/>
    </xf>
    <xf numFmtId="0" fontId="6" fillId="0" borderId="4" xfId="13" applyFont="1" applyBorder="1">
      <alignment horizontal="left" vertical="center" wrapText="1"/>
    </xf>
    <xf numFmtId="0" fontId="9" fillId="0" borderId="11" xfId="37" applyFont="1" applyBorder="1">
      <alignment horizontal="center" vertical="center" wrapText="1"/>
    </xf>
    <xf numFmtId="0" fontId="9" fillId="0" borderId="12" xfId="38" applyFont="1" applyBorder="1">
      <alignment horizontal="center" vertical="center" wrapText="1"/>
    </xf>
    <xf numFmtId="0" fontId="20" fillId="0" borderId="0" xfId="63" applyFont="1">
      <alignment horizontal="left" vertical="center" wrapText="1"/>
    </xf>
    <xf numFmtId="14" fontId="17" fillId="0" borderId="14" xfId="51" applyNumberFormat="1" applyFont="1" applyBorder="1">
      <alignment horizontal="center" vertical="center" wrapText="1"/>
    </xf>
    <xf numFmtId="0" fontId="9" fillId="0" borderId="0" xfId="65" applyFont="1">
      <alignment horizontal="center" vertical="center" wrapText="1"/>
    </xf>
    <xf numFmtId="0" fontId="9" fillId="0" borderId="16" xfId="94" applyFont="1" applyBorder="1">
      <alignment horizontal="left" vertical="center" wrapText="1" indent="1"/>
    </xf>
    <xf numFmtId="0" fontId="9" fillId="0" borderId="16" xfId="95" applyFont="1" applyBorder="1">
      <alignment horizontal="center" vertical="center" wrapText="1"/>
    </xf>
    <xf numFmtId="4" fontId="9" fillId="0" borderId="14" xfId="96" applyNumberFormat="1" applyFont="1" applyBorder="1">
      <alignment horizontal="center" vertical="center" wrapText="1"/>
    </xf>
    <xf numFmtId="0" fontId="19" fillId="0" borderId="0" xfId="319" applyFont="1">
      <alignment horizontal="center" vertical="center" wrapText="1"/>
    </xf>
    <xf numFmtId="49" fontId="28" fillId="0" borderId="29" xfId="145" applyNumberFormat="1" applyFont="1" applyBorder="1">
      <alignment horizontal="center" vertical="center" wrapText="1"/>
    </xf>
    <xf numFmtId="49" fontId="28" fillId="0" borderId="30" xfId="146" applyNumberFormat="1" applyFont="1" applyBorder="1">
      <alignment horizontal="center" vertical="center" wrapText="1"/>
    </xf>
    <xf numFmtId="49" fontId="28" fillId="0" borderId="12" xfId="147" applyNumberFormat="1" applyFont="1" applyBorder="1">
      <alignment horizontal="center" vertical="center" wrapText="1"/>
    </xf>
    <xf numFmtId="49" fontId="28" fillId="0" borderId="11" xfId="148" applyNumberFormat="1" applyFont="1" applyBorder="1">
      <alignment horizontal="center" vertical="center" wrapText="1"/>
    </xf>
    <xf numFmtId="0" fontId="9" fillId="0" borderId="18" xfId="129" applyFont="1" applyBorder="1">
      <alignment horizontal="left" vertical="center" wrapText="1" indent="1"/>
    </xf>
    <xf numFmtId="0" fontId="9" fillId="0" borderId="23" xfId="130" applyFont="1" applyBorder="1">
      <alignment horizontal="left" vertical="center" wrapText="1" indent="1"/>
    </xf>
    <xf numFmtId="0" fontId="9" fillId="0" borderId="24" xfId="131" applyFont="1" applyBorder="1">
      <alignment horizontal="left" vertical="center" wrapText="1" indent="1"/>
    </xf>
    <xf numFmtId="0" fontId="9" fillId="0" borderId="25" xfId="132" applyFont="1" applyBorder="1">
      <alignment horizontal="left" vertical="center" indent="1"/>
    </xf>
    <xf numFmtId="0" fontId="9" fillId="0" borderId="21" xfId="133" applyFont="1" applyBorder="1">
      <alignment horizontal="left" vertical="center" indent="1"/>
    </xf>
    <xf numFmtId="0" fontId="9" fillId="0" borderId="26" xfId="134" applyFont="1" applyBorder="1">
      <alignment horizontal="left" vertical="center" indent="1"/>
    </xf>
    <xf numFmtId="0" fontId="9" fillId="15" borderId="0" xfId="137" applyFont="1" applyFill="1">
      <alignment horizontal="center" vertical="center" wrapText="1"/>
    </xf>
    <xf numFmtId="0" fontId="9" fillId="0" borderId="14" xfId="105" applyFont="1" applyBorder="1">
      <alignment horizontal="center" vertical="center" wrapText="1"/>
    </xf>
    <xf numFmtId="0" fontId="34" fillId="0" borderId="24" xfId="138" applyFont="1" applyBorder="1">
      <alignment horizontal="center" vertical="center" wrapText="1"/>
    </xf>
    <xf numFmtId="0" fontId="34" fillId="0" borderId="17" xfId="139" applyFont="1" applyBorder="1">
      <alignment horizontal="center" vertical="center" wrapText="1"/>
    </xf>
    <xf numFmtId="0" fontId="5" fillId="0" borderId="0" xfId="136" applyFont="1">
      <alignment horizontal="left" vertical="center" wrapText="1" indent="2"/>
    </xf>
    <xf numFmtId="0" fontId="34" fillId="0" borderId="14" xfId="140" applyFont="1" applyBorder="1">
      <alignment horizontal="center" vertical="center" wrapText="1"/>
    </xf>
    <xf numFmtId="0" fontId="9" fillId="0" borderId="27" xfId="141" applyFont="1" applyBorder="1">
      <alignment horizontal="center" vertical="center" wrapText="1"/>
    </xf>
    <xf numFmtId="0" fontId="9" fillId="0" borderId="28" xfId="142" applyFont="1" applyBorder="1">
      <alignment horizontal="center" vertical="center" wrapText="1"/>
    </xf>
    <xf numFmtId="0" fontId="9" fillId="13" borderId="23" xfId="159" applyFont="1" applyFill="1" applyBorder="1">
      <alignment horizontal="left" vertical="center" wrapText="1" indent="1"/>
    </xf>
    <xf numFmtId="0" fontId="9" fillId="13" borderId="21" xfId="165" applyFont="1" applyFill="1" applyBorder="1">
      <alignment horizontal="left" vertical="center" wrapText="1" indent="1"/>
    </xf>
    <xf numFmtId="49" fontId="9" fillId="13" borderId="14" xfId="160" applyNumberFormat="1" applyFont="1" applyFill="1" applyBorder="1">
      <alignment horizontal="center" vertical="center" wrapText="1"/>
    </xf>
    <xf numFmtId="49" fontId="9" fillId="0" borderId="14" xfId="154" applyNumberFormat="1" applyFont="1" applyBorder="1">
      <alignment horizontal="center" vertical="center" wrapText="1"/>
    </xf>
    <xf numFmtId="49" fontId="5" fillId="0" borderId="14" xfId="203" applyNumberFormat="1" applyFont="1" applyBorder="1">
      <alignment vertical="top"/>
    </xf>
    <xf numFmtId="0" fontId="9" fillId="13" borderId="23" xfId="155" applyFont="1" applyFill="1" applyBorder="1">
      <alignment horizontal="left" vertical="center" wrapText="1" indent="2"/>
    </xf>
    <xf numFmtId="0" fontId="9" fillId="13" borderId="33" xfId="164" applyFont="1" applyFill="1" applyBorder="1">
      <alignment horizontal="left" vertical="center" wrapText="1" indent="2"/>
    </xf>
    <xf numFmtId="0" fontId="9" fillId="13" borderId="21" xfId="167" applyFont="1" applyFill="1" applyBorder="1">
      <alignment horizontal="left" vertical="center" wrapText="1" indent="2"/>
    </xf>
    <xf numFmtId="49" fontId="9" fillId="13" borderId="21" xfId="156" applyNumberFormat="1" applyFont="1" applyFill="1" applyBorder="1">
      <alignment horizontal="center" vertical="center" wrapText="1"/>
    </xf>
    <xf numFmtId="14" fontId="35" fillId="0" borderId="32" xfId="157" applyNumberFormat="1" applyFont="1" applyBorder="1">
      <alignment horizontal="center" vertical="center" wrapText="1"/>
    </xf>
    <xf numFmtId="0" fontId="9" fillId="0" borderId="32" xfId="158" applyFont="1" applyBorder="1">
      <alignment horizontal="center" vertical="center" wrapText="1"/>
    </xf>
    <xf numFmtId="0" fontId="28" fillId="0" borderId="14" xfId="513" applyFont="1" applyBorder="1">
      <alignment horizontal="center" vertical="center" wrapText="1"/>
    </xf>
    <xf numFmtId="0" fontId="9" fillId="13" borderId="14" xfId="78" applyFont="1" applyFill="1" applyBorder="1">
      <alignment horizontal="left" vertical="center" wrapText="1" indent="1"/>
    </xf>
    <xf numFmtId="14" fontId="35" fillId="0" borderId="23" xfId="508" applyNumberFormat="1" applyFont="1" applyBorder="1">
      <alignment horizontal="center" vertical="center" wrapText="1"/>
    </xf>
    <xf numFmtId="14" fontId="35" fillId="0" borderId="33" xfId="511" applyNumberFormat="1" applyFont="1" applyBorder="1">
      <alignment horizontal="center" vertical="center" wrapText="1"/>
    </xf>
    <xf numFmtId="0" fontId="34" fillId="0" borderId="14" xfId="509" applyFont="1" applyBorder="1">
      <alignment horizontal="left" vertical="center" wrapText="1" indent="1"/>
    </xf>
    <xf numFmtId="0" fontId="34" fillId="0" borderId="14" xfId="512" applyFont="1" applyBorder="1">
      <alignment horizontal="left" vertical="top" indent="1"/>
    </xf>
    <xf numFmtId="0" fontId="28" fillId="0" borderId="20" xfId="507" applyFont="1" applyBorder="1">
      <alignment horizontal="center" vertical="center" wrapText="1"/>
    </xf>
    <xf numFmtId="49" fontId="5" fillId="0" borderId="17" xfId="197" applyNumberFormat="1" applyFont="1" applyBorder="1">
      <alignment horizontal="left" vertical="center" wrapText="1"/>
    </xf>
    <xf numFmtId="49" fontId="9" fillId="0" borderId="17" xfId="195" applyNumberFormat="1" applyFont="1" applyBorder="1">
      <alignment horizontal="center" vertical="center" wrapText="1"/>
    </xf>
    <xf numFmtId="0" fontId="9" fillId="0" borderId="14" xfId="190" applyFont="1" applyBorder="1">
      <alignment horizontal="left" vertical="top" wrapText="1"/>
    </xf>
    <xf numFmtId="49" fontId="5" fillId="0" borderId="14" xfId="204" applyNumberFormat="1" applyFont="1" applyBorder="1">
      <alignment horizontal="left" vertical="top"/>
    </xf>
    <xf numFmtId="0" fontId="5" fillId="0" borderId="24" xfId="192" applyFont="1" applyBorder="1">
      <alignment horizontal="center" vertical="center"/>
    </xf>
    <xf numFmtId="0" fontId="5" fillId="0" borderId="19" xfId="201" applyFont="1" applyBorder="1">
      <alignment horizontal="center" vertical="center"/>
    </xf>
    <xf numFmtId="0" fontId="5" fillId="0" borderId="17" xfId="193" applyFont="1" applyBorder="1">
      <alignment horizontal="center" vertical="center"/>
    </xf>
    <xf numFmtId="49" fontId="9" fillId="0" borderId="17" xfId="194" applyNumberFormat="1" applyFont="1" applyBorder="1">
      <alignment horizontal="left" vertical="center" wrapText="1"/>
    </xf>
    <xf numFmtId="0" fontId="5" fillId="0" borderId="17" xfId="196" applyFont="1" applyBorder="1">
      <alignment horizontal="left" vertical="center" wrapText="1"/>
    </xf>
    <xf numFmtId="0" fontId="5" fillId="0" borderId="14" xfId="189" applyFont="1" applyBorder="1">
      <alignment horizontal="center" vertical="top"/>
    </xf>
    <xf numFmtId="0" fontId="9" fillId="13" borderId="23" xfId="191" applyFont="1" applyFill="1" applyBorder="1">
      <alignment horizontal="center" vertical="top" wrapText="1"/>
    </xf>
    <xf numFmtId="0" fontId="9" fillId="13" borderId="33" xfId="200" applyFont="1" applyFill="1" applyBorder="1">
      <alignment horizontal="center" vertical="top" wrapText="1"/>
    </xf>
    <xf numFmtId="0" fontId="9" fillId="13" borderId="21" xfId="205" applyFont="1" applyFill="1" applyBorder="1">
      <alignment horizontal="center" vertical="top" wrapText="1"/>
    </xf>
    <xf numFmtId="0" fontId="5" fillId="0" borderId="0" xfId="220" quotePrefix="1" applyFont="1">
      <alignment horizontal="left" vertical="top" wrapText="1" indent="1"/>
    </xf>
    <xf numFmtId="0" fontId="5" fillId="0" borderId="0" xfId="219" applyFont="1">
      <alignment horizontal="left" vertical="top" wrapText="1"/>
    </xf>
    <xf numFmtId="0" fontId="5" fillId="0" borderId="23" xfId="213" applyFont="1" applyBorder="1">
      <alignment horizontal="center" vertical="top"/>
    </xf>
    <xf numFmtId="0" fontId="5" fillId="0" borderId="33" xfId="215" applyFont="1" applyBorder="1">
      <alignment horizontal="center" vertical="top"/>
    </xf>
    <xf numFmtId="0" fontId="5" fillId="0" borderId="21" xfId="217" applyFont="1" applyBorder="1">
      <alignment horizontal="center" vertical="top"/>
    </xf>
    <xf numFmtId="0" fontId="9" fillId="0" borderId="23" xfId="214" applyFont="1" applyBorder="1">
      <alignment horizontal="left" vertical="top" wrapText="1"/>
    </xf>
    <xf numFmtId="0" fontId="9" fillId="0" borderId="33" xfId="216" applyFont="1" applyBorder="1">
      <alignment horizontal="left" vertical="top" wrapText="1"/>
    </xf>
    <xf numFmtId="0" fontId="9" fillId="0" borderId="21" xfId="218" applyFont="1" applyBorder="1">
      <alignment horizontal="left" vertical="top" wrapText="1"/>
    </xf>
    <xf numFmtId="0" fontId="9" fillId="11" borderId="14" xfId="210" applyFont="1" applyFill="1" applyBorder="1">
      <alignment horizontal="left" vertical="top" wrapText="1"/>
      <protection locked="0"/>
    </xf>
    <xf numFmtId="0" fontId="5" fillId="11" borderId="14" xfId="212" applyFont="1" applyFill="1" applyBorder="1">
      <alignment horizontal="left" vertical="top"/>
      <protection locked="0"/>
    </xf>
    <xf numFmtId="49" fontId="25" fillId="12" borderId="36" xfId="184" applyNumberFormat="1" applyFont="1" applyFill="1" applyBorder="1">
      <alignment horizontal="center" vertical="center" wrapText="1"/>
    </xf>
    <xf numFmtId="0" fontId="9" fillId="0" borderId="18" xfId="174" applyFont="1" applyBorder="1">
      <alignment horizontal="left" vertical="top" wrapText="1" indent="1"/>
    </xf>
    <xf numFmtId="0" fontId="9" fillId="0" borderId="23" xfId="175" applyFont="1" applyBorder="1">
      <alignment horizontal="left" vertical="top" wrapText="1" indent="1"/>
    </xf>
    <xf numFmtId="0" fontId="9" fillId="0" borderId="24" xfId="176" applyFont="1" applyBorder="1">
      <alignment horizontal="left" vertical="top" wrapText="1" indent="1"/>
    </xf>
    <xf numFmtId="0" fontId="36" fillId="0" borderId="20" xfId="178" applyFont="1" applyBorder="1">
      <alignment horizontal="left" vertical="center" wrapText="1" indent="1"/>
    </xf>
    <xf numFmtId="0" fontId="36" fillId="0" borderId="33" xfId="179" applyFont="1" applyBorder="1">
      <alignment horizontal="left" vertical="center" wrapText="1" indent="1"/>
    </xf>
    <xf numFmtId="0" fontId="36" fillId="0" borderId="19" xfId="180" applyFont="1" applyBorder="1">
      <alignment horizontal="left" vertical="center" wrapText="1" indent="1"/>
    </xf>
    <xf numFmtId="0" fontId="9" fillId="0" borderId="36" xfId="177" applyFont="1" applyBorder="1">
      <alignment horizontal="left" vertical="center" indent="1"/>
    </xf>
    <xf numFmtId="0" fontId="5" fillId="0" borderId="14" xfId="182" applyFont="1" applyBorder="1">
      <alignment horizontal="center" vertical="center" wrapText="1"/>
    </xf>
    <xf numFmtId="0" fontId="9" fillId="0" borderId="17" xfId="224" applyFont="1" applyBorder="1">
      <alignment horizontal="left" vertical="center" wrapText="1" indent="1"/>
    </xf>
    <xf numFmtId="0" fontId="9" fillId="0" borderId="23" xfId="229" applyFont="1" applyBorder="1">
      <alignment horizontal="center" vertical="center" wrapText="1"/>
    </xf>
    <xf numFmtId="0" fontId="9" fillId="0" borderId="24" xfId="226" applyFont="1" applyBorder="1">
      <alignment horizontal="center" vertical="center" wrapText="1"/>
    </xf>
    <xf numFmtId="0" fontId="9" fillId="0" borderId="18" xfId="227" applyFont="1" applyBorder="1">
      <alignment horizontal="center" vertical="center" wrapText="1"/>
    </xf>
    <xf numFmtId="0" fontId="9" fillId="0" borderId="19" xfId="230" applyFont="1" applyBorder="1">
      <alignment horizontal="center" vertical="center" wrapText="1"/>
    </xf>
    <xf numFmtId="0" fontId="9" fillId="0" borderId="20" xfId="231" applyFont="1" applyBorder="1">
      <alignment horizontal="center" vertical="center" wrapText="1"/>
    </xf>
    <xf numFmtId="0" fontId="9" fillId="0" borderId="33" xfId="228" applyFont="1" applyBorder="1">
      <alignment horizontal="center" vertical="center" wrapText="1"/>
    </xf>
    <xf numFmtId="0" fontId="9" fillId="0" borderId="26" xfId="232" applyFont="1" applyBorder="1">
      <alignment horizontal="center" vertical="center" wrapText="1"/>
    </xf>
    <xf numFmtId="0" fontId="9" fillId="0" borderId="25" xfId="233" applyFont="1" applyBorder="1">
      <alignment horizontal="center" vertical="center" wrapText="1"/>
    </xf>
    <xf numFmtId="49" fontId="9" fillId="0" borderId="14" xfId="235" applyNumberFormat="1" applyFont="1" applyBorder="1">
      <alignment horizontal="center" vertical="center"/>
    </xf>
    <xf numFmtId="49" fontId="9" fillId="0" borderId="23" xfId="246" applyNumberFormat="1" applyFont="1" applyBorder="1">
      <alignment horizontal="center" vertical="center"/>
    </xf>
    <xf numFmtId="0" fontId="9" fillId="0" borderId="14" xfId="236" applyFont="1" applyBorder="1">
      <alignment horizontal="left" vertical="center" wrapText="1"/>
    </xf>
    <xf numFmtId="0" fontId="9" fillId="0" borderId="23" xfId="247" applyFont="1" applyBorder="1">
      <alignment horizontal="left" vertical="center" wrapText="1"/>
    </xf>
    <xf numFmtId="0" fontId="9" fillId="0" borderId="24" xfId="248" applyFont="1" applyBorder="1">
      <alignment horizontal="left" vertical="center" wrapText="1"/>
    </xf>
    <xf numFmtId="49" fontId="9" fillId="13" borderId="23" xfId="237" applyNumberFormat="1" applyFont="1" applyFill="1" applyBorder="1">
      <alignment horizontal="center" vertical="center" wrapText="1"/>
    </xf>
    <xf numFmtId="49" fontId="9" fillId="13" borderId="33" xfId="243" applyNumberFormat="1" applyFont="1" applyFill="1" applyBorder="1">
      <alignment horizontal="center" vertical="center" wrapText="1"/>
    </xf>
    <xf numFmtId="0" fontId="9" fillId="0" borderId="17" xfId="239" applyFont="1" applyBorder="1">
      <alignment horizontal="center" vertical="center"/>
    </xf>
    <xf numFmtId="0" fontId="29" fillId="0" borderId="36" xfId="207" applyFont="1" applyBorder="1">
      <alignment horizontal="left" vertical="center"/>
    </xf>
    <xf numFmtId="0" fontId="29" fillId="0" borderId="25" xfId="209" applyFont="1" applyBorder="1">
      <alignment horizontal="left" vertical="center"/>
    </xf>
    <xf numFmtId="0" fontId="29" fillId="0" borderId="20" xfId="202" applyFont="1" applyBorder="1">
      <alignment horizontal="left" vertical="center"/>
    </xf>
    <xf numFmtId="0" fontId="9" fillId="0" borderId="12" xfId="252" applyFont="1" applyBorder="1">
      <alignment horizontal="left" vertical="center" wrapText="1"/>
    </xf>
    <xf numFmtId="0" fontId="9" fillId="0" borderId="36" xfId="225" applyFont="1" applyBorder="1">
      <alignment horizontal="left" vertical="center" wrapText="1" indent="1"/>
    </xf>
    <xf numFmtId="49" fontId="9" fillId="12" borderId="0" xfId="276" applyNumberFormat="1" applyFont="1" applyFill="1">
      <alignment horizontal="center" vertical="center" wrapText="1"/>
    </xf>
    <xf numFmtId="49" fontId="5" fillId="12" borderId="14" xfId="261" applyNumberFormat="1" applyFont="1" applyFill="1" applyBorder="1">
      <alignment horizontal="center" vertical="center" wrapText="1"/>
    </xf>
    <xf numFmtId="49" fontId="9" fillId="12" borderId="14" xfId="262" applyNumberFormat="1" applyFont="1" applyFill="1" applyBorder="1">
      <alignment horizontal="center" vertical="center" wrapText="1"/>
    </xf>
    <xf numFmtId="0" fontId="30" fillId="0" borderId="0" xfId="310" applyFont="1">
      <alignment horizontal="left" vertical="top" wrapText="1" indent="1"/>
    </xf>
    <xf numFmtId="0" fontId="17" fillId="12" borderId="0" xfId="260" applyFont="1" applyFill="1">
      <alignment horizontal="left" vertical="center" wrapText="1"/>
    </xf>
    <xf numFmtId="0" fontId="5" fillId="12" borderId="14" xfId="263" applyFont="1" applyFill="1" applyBorder="1">
      <alignment horizontal="center" vertical="center" wrapText="1"/>
    </xf>
    <xf numFmtId="0" fontId="9" fillId="12" borderId="14" xfId="264" applyFont="1" applyFill="1" applyBorder="1">
      <alignment horizontal="center" vertical="center" wrapText="1"/>
    </xf>
    <xf numFmtId="0" fontId="9" fillId="12" borderId="23" xfId="294" applyFont="1" applyFill="1" applyBorder="1">
      <alignment horizontal="left" vertical="top" wrapText="1"/>
    </xf>
    <xf numFmtId="0" fontId="9" fillId="12" borderId="33" xfId="296" applyFont="1" applyFill="1" applyBorder="1">
      <alignment horizontal="left" vertical="top" wrapText="1"/>
    </xf>
    <xf numFmtId="0" fontId="9" fillId="12" borderId="21" xfId="300" applyFont="1" applyFill="1" applyBorder="1">
      <alignment horizontal="left" vertical="top" wrapText="1"/>
    </xf>
    <xf numFmtId="0" fontId="9" fillId="12" borderId="20" xfId="277" applyFont="1" applyFill="1" applyBorder="1">
      <alignment horizontal="center" vertical="center" wrapText="1"/>
    </xf>
    <xf numFmtId="0" fontId="5" fillId="0" borderId="12" xfId="327" applyFont="1" applyBorder="1">
      <alignment horizontal="center" vertical="center" wrapText="1"/>
    </xf>
    <xf numFmtId="0" fontId="5" fillId="0" borderId="23" xfId="330" applyFont="1" applyBorder="1">
      <alignment horizontal="center" vertical="center" wrapText="1"/>
    </xf>
    <xf numFmtId="0" fontId="5" fillId="0" borderId="21" xfId="333" applyFont="1" applyBorder="1">
      <alignment horizontal="center" vertical="center" wrapText="1"/>
    </xf>
    <xf numFmtId="0" fontId="5" fillId="0" borderId="18" xfId="332" applyFont="1" applyBorder="1">
      <alignment horizontal="center" vertical="center" wrapText="1"/>
    </xf>
    <xf numFmtId="0" fontId="5" fillId="0" borderId="25" xfId="335" applyFont="1" applyBorder="1">
      <alignment horizontal="center" vertical="center" wrapText="1"/>
    </xf>
    <xf numFmtId="0" fontId="5" fillId="0" borderId="24" xfId="331" applyFont="1" applyBorder="1">
      <alignment horizontal="center" vertical="center" wrapText="1"/>
    </xf>
    <xf numFmtId="0" fontId="5" fillId="0" borderId="26" xfId="334" applyFont="1" applyBorder="1">
      <alignment horizontal="center" vertical="center" wrapText="1"/>
    </xf>
    <xf numFmtId="0" fontId="5" fillId="0" borderId="23" xfId="351" applyFont="1" applyBorder="1">
      <alignment horizontal="left" vertical="top" wrapText="1"/>
    </xf>
    <xf numFmtId="0" fontId="5" fillId="0" borderId="21" xfId="357" applyFont="1" applyBorder="1">
      <alignment horizontal="left" vertical="top" wrapText="1"/>
    </xf>
    <xf numFmtId="0" fontId="9" fillId="0" borderId="25" xfId="323" applyFont="1" applyBorder="1">
      <alignment horizontal="left" vertical="center" wrapText="1" indent="1"/>
    </xf>
    <xf numFmtId="0" fontId="9" fillId="0" borderId="21" xfId="324" applyFont="1" applyBorder="1">
      <alignment horizontal="left" vertical="center" wrapText="1" indent="1"/>
    </xf>
    <xf numFmtId="0" fontId="9" fillId="0" borderId="26" xfId="325" applyFont="1" applyBorder="1">
      <alignment horizontal="left" vertical="center" wrapText="1" indent="1"/>
    </xf>
    <xf numFmtId="0" fontId="5" fillId="0" borderId="16" xfId="328" applyFont="1" applyBorder="1">
      <alignment horizontal="center" vertical="center" wrapText="1"/>
    </xf>
    <xf numFmtId="0" fontId="5" fillId="0" borderId="11" xfId="329" applyFont="1" applyBorder="1">
      <alignment horizontal="center" vertical="center" wrapText="1"/>
    </xf>
    <xf numFmtId="0" fontId="9" fillId="0" borderId="17" xfId="365" applyFont="1" applyBorder="1">
      <alignment horizontal="left" vertical="top" wrapText="1" indent="1"/>
    </xf>
    <xf numFmtId="49" fontId="5" fillId="0" borderId="24" xfId="358" applyNumberFormat="1" applyFont="1" applyBorder="1">
      <alignment horizontal="center" vertical="center" wrapText="1"/>
    </xf>
    <xf numFmtId="49" fontId="5" fillId="0" borderId="26" xfId="363" applyNumberFormat="1" applyFont="1" applyBorder="1">
      <alignment horizontal="center" vertical="center" wrapText="1"/>
    </xf>
    <xf numFmtId="0" fontId="9" fillId="13" borderId="17" xfId="359" applyFont="1" applyFill="1" applyBorder="1">
      <alignment horizontal="left" vertical="center" wrapText="1"/>
    </xf>
    <xf numFmtId="0" fontId="9" fillId="13" borderId="36" xfId="364" applyFont="1" applyFill="1" applyBorder="1">
      <alignment horizontal="left" vertical="center" wrapText="1"/>
    </xf>
    <xf numFmtId="0" fontId="9" fillId="0" borderId="21" xfId="110" applyFont="1" applyBorder="1">
      <alignment horizontal="center" vertical="center" wrapText="1"/>
    </xf>
    <xf numFmtId="0" fontId="5" fillId="0" borderId="33" xfId="374" applyFont="1" applyBorder="1">
      <alignment horizontal="left" vertical="top" wrapText="1"/>
    </xf>
    <xf numFmtId="0" fontId="9" fillId="13" borderId="12" xfId="344" applyFont="1" applyFill="1" applyBorder="1">
      <alignment horizontal="left" vertical="center" wrapText="1"/>
    </xf>
    <xf numFmtId="0" fontId="9" fillId="13" borderId="16" xfId="782" applyFont="1" applyFill="1" applyBorder="1">
      <alignment horizontal="left" vertical="center" wrapText="1"/>
    </xf>
    <xf numFmtId="0" fontId="9" fillId="13" borderId="11" xfId="783" applyFont="1" applyFill="1" applyBorder="1">
      <alignment horizontal="left" vertical="center" wrapText="1"/>
    </xf>
    <xf numFmtId="0" fontId="5" fillId="12" borderId="14" xfId="811" applyFont="1" applyFill="1" applyBorder="1">
      <alignment horizontal="right" vertical="center" wrapText="1" indent="1"/>
    </xf>
    <xf numFmtId="168" fontId="9" fillId="10" borderId="14" xfId="745" applyNumberFormat="1" applyFont="1" applyFill="1" applyBorder="1">
      <alignment horizontal="left" vertical="center" wrapText="1" indent="1"/>
    </xf>
    <xf numFmtId="0" fontId="9" fillId="10" borderId="14" xfId="746" applyFont="1" applyFill="1" applyBorder="1">
      <alignment horizontal="left" vertical="center" wrapText="1" indent="1"/>
    </xf>
    <xf numFmtId="0" fontId="9" fillId="10" borderId="12" xfId="769" applyFont="1" applyFill="1" applyBorder="1">
      <alignment horizontal="left" vertical="center" wrapText="1"/>
    </xf>
    <xf numFmtId="0" fontId="9" fillId="10" borderId="16" xfId="770" applyFont="1" applyFill="1" applyBorder="1">
      <alignment horizontal="left" vertical="center" wrapText="1"/>
    </xf>
    <xf numFmtId="0" fontId="9" fillId="10" borderId="11" xfId="771" applyFont="1" applyFill="1" applyBorder="1">
      <alignment horizontal="left" vertical="center" wrapText="1"/>
    </xf>
    <xf numFmtId="49" fontId="19" fillId="0" borderId="14" xfId="566" applyNumberFormat="1" applyFont="1" applyBorder="1">
      <alignment horizontal="center" vertical="center" wrapText="1"/>
    </xf>
    <xf numFmtId="168" fontId="19" fillId="0" borderId="14" xfId="808" applyNumberFormat="1" applyFont="1" applyBorder="1">
      <alignment horizontal="center" vertical="center" wrapText="1"/>
    </xf>
    <xf numFmtId="0" fontId="19" fillId="0" borderId="14" xfId="765" applyFont="1" applyBorder="1">
      <alignment horizontal="center" vertical="center"/>
    </xf>
    <xf numFmtId="0" fontId="19" fillId="0" borderId="12" xfId="773" applyFont="1" applyBorder="1">
      <alignment horizontal="center" vertical="center"/>
    </xf>
    <xf numFmtId="0" fontId="19" fillId="0" borderId="14" xfId="503" applyFont="1" applyBorder="1">
      <alignment horizontal="center" vertical="center" wrapText="1"/>
    </xf>
    <xf numFmtId="0" fontId="19" fillId="0" borderId="12" xfId="784" applyFont="1" applyBorder="1">
      <alignment horizontal="center" vertical="center" wrapText="1"/>
    </xf>
    <xf numFmtId="0" fontId="25" fillId="0" borderId="0" xfId="89" applyFont="1">
      <alignment horizontal="center" vertical="center" wrapText="1"/>
    </xf>
    <xf numFmtId="168" fontId="5" fillId="11" borderId="14" xfId="522" applyNumberFormat="1" applyFont="1" applyFill="1" applyBorder="1">
      <alignment horizontal="center" vertical="center" wrapText="1"/>
      <protection locked="0"/>
    </xf>
    <xf numFmtId="49" fontId="5" fillId="11" borderId="14" xfId="523" applyNumberFormat="1" applyFont="1" applyFill="1" applyBorder="1">
      <alignment horizontal="center" vertical="center" wrapText="1"/>
      <protection locked="0"/>
    </xf>
    <xf numFmtId="168" fontId="5" fillId="11" borderId="23" xfId="831" applyNumberFormat="1" applyFont="1" applyFill="1" applyBorder="1">
      <alignment horizontal="center" vertical="center" wrapText="1"/>
      <protection locked="0"/>
    </xf>
    <xf numFmtId="49" fontId="5" fillId="11" borderId="21" xfId="833" applyNumberFormat="1" applyFont="1" applyFill="1" applyBorder="1">
      <alignment horizontal="center" vertical="center" wrapText="1"/>
      <protection locked="0"/>
    </xf>
    <xf numFmtId="0" fontId="19" fillId="0" borderId="23" xfId="819" applyFont="1" applyBorder="1">
      <alignment horizontal="center" vertical="center" wrapText="1"/>
    </xf>
    <xf numFmtId="0" fontId="19" fillId="0" borderId="21" xfId="502" applyFont="1" applyBorder="1">
      <alignment horizontal="center" vertical="center" wrapText="1"/>
    </xf>
    <xf numFmtId="0" fontId="46" fillId="12" borderId="17" xfId="829" applyFont="1" applyFill="1" applyBorder="1">
      <alignment horizontal="center" vertical="center" wrapText="1"/>
    </xf>
    <xf numFmtId="0" fontId="31" fillId="0" borderId="36" xfId="814" applyFont="1" applyBorder="1">
      <alignment horizontal="center" vertical="center" wrapText="1"/>
    </xf>
    <xf numFmtId="0" fontId="9" fillId="12" borderId="14" xfId="767" applyFont="1" applyFill="1" applyBorder="1">
      <alignment horizontal="left" vertical="center" wrapText="1"/>
    </xf>
    <xf numFmtId="0" fontId="5" fillId="12" borderId="12" xfId="815" applyFont="1" applyFill="1" applyBorder="1">
      <alignment horizontal="center" vertical="center" wrapText="1"/>
    </xf>
    <xf numFmtId="0" fontId="5" fillId="12" borderId="16" xfId="816" applyFont="1" applyFill="1" applyBorder="1">
      <alignment horizontal="center" vertical="center" wrapText="1"/>
    </xf>
    <xf numFmtId="0" fontId="5" fillId="12" borderId="11" xfId="817" applyFont="1" applyFill="1" applyBorder="1">
      <alignment horizontal="center" vertical="center" wrapText="1"/>
    </xf>
    <xf numFmtId="0" fontId="9" fillId="12" borderId="23" xfId="747" applyFont="1" applyFill="1" applyBorder="1">
      <alignment horizontal="center" vertical="center" wrapText="1"/>
    </xf>
    <xf numFmtId="0" fontId="9" fillId="12" borderId="33" xfId="820" applyFont="1" applyFill="1" applyBorder="1">
      <alignment horizontal="center" vertical="center" wrapText="1"/>
    </xf>
    <xf numFmtId="0" fontId="9" fillId="12" borderId="21" xfId="750" applyFont="1" applyFill="1" applyBorder="1">
      <alignment horizontal="center" vertical="center" wrapText="1"/>
    </xf>
    <xf numFmtId="49" fontId="29" fillId="14" borderId="23" xfId="818" applyNumberFormat="1" applyFont="1" applyFill="1" applyBorder="1">
      <alignment horizontal="center" vertical="center" textRotation="90" wrapText="1"/>
    </xf>
    <xf numFmtId="49" fontId="29" fillId="14" borderId="33" xfId="821" applyNumberFormat="1" applyFont="1" applyFill="1" applyBorder="1">
      <alignment horizontal="center" vertical="center" textRotation="90" wrapText="1"/>
    </xf>
    <xf numFmtId="49" fontId="29" fillId="14" borderId="21" xfId="823" applyNumberFormat="1" applyFont="1" applyFill="1" applyBorder="1">
      <alignment horizontal="center" vertical="center" textRotation="90" wrapText="1"/>
    </xf>
    <xf numFmtId="0" fontId="30" fillId="0" borderId="23" xfId="791" applyFont="1" applyBorder="1">
      <alignment horizontal="left" vertical="top" wrapText="1"/>
    </xf>
    <xf numFmtId="0" fontId="30" fillId="0" borderId="33" xfId="793" applyFont="1" applyBorder="1">
      <alignment horizontal="left" vertical="top" wrapText="1"/>
    </xf>
    <xf numFmtId="0" fontId="30" fillId="0" borderId="21" xfId="797" applyFont="1" applyBorder="1">
      <alignment horizontal="left" vertical="top" wrapText="1"/>
    </xf>
    <xf numFmtId="0" fontId="9" fillId="0" borderId="14" xfId="864" applyFont="1" applyBorder="1">
      <alignment horizontal="center" vertical="center"/>
    </xf>
    <xf numFmtId="0" fontId="9" fillId="0" borderId="12" xfId="865" applyFont="1" applyBorder="1">
      <alignment horizontal="center" vertical="center"/>
    </xf>
    <xf numFmtId="0" fontId="25" fillId="0" borderId="23" xfId="837" applyFont="1" applyBorder="1">
      <alignment horizontal="center" vertical="center" wrapText="1"/>
    </xf>
    <xf numFmtId="0" fontId="25" fillId="0" borderId="21" xfId="111" applyFont="1" applyBorder="1">
      <alignment horizontal="center" vertical="center" wrapText="1"/>
    </xf>
    <xf numFmtId="0" fontId="5" fillId="12" borderId="17" xfId="836" applyFont="1" applyFill="1" applyBorder="1">
      <alignment horizontal="center" vertical="center" wrapText="1"/>
    </xf>
    <xf numFmtId="0" fontId="25" fillId="0" borderId="12" xfId="840" applyFont="1" applyBorder="1">
      <alignment horizontal="left" vertical="center" wrapText="1"/>
    </xf>
    <xf numFmtId="0" fontId="25" fillId="0" borderId="16" xfId="841" applyFont="1" applyBorder="1">
      <alignment horizontal="left" vertical="center" wrapText="1"/>
    </xf>
    <xf numFmtId="0" fontId="25" fillId="0" borderId="11" xfId="842" applyFont="1" applyBorder="1">
      <alignment horizontal="left" vertical="center" wrapText="1"/>
    </xf>
    <xf numFmtId="0" fontId="9" fillId="13" borderId="14" xfId="738" applyFont="1" applyFill="1" applyBorder="1">
      <alignment horizontal="left" vertical="center" wrapText="1"/>
    </xf>
    <xf numFmtId="168" fontId="5" fillId="11" borderId="21" xfId="863" applyNumberFormat="1" applyFont="1" applyFill="1" applyBorder="1">
      <alignment horizontal="center" vertical="center" wrapText="1"/>
      <protection locked="0"/>
    </xf>
    <xf numFmtId="0" fontId="9" fillId="10" borderId="24" xfId="852" applyFont="1" applyFill="1" applyBorder="1">
      <alignment horizontal="left" vertical="center" wrapText="1"/>
    </xf>
    <xf numFmtId="0" fontId="9" fillId="10" borderId="17" xfId="853" applyFont="1" applyFill="1" applyBorder="1">
      <alignment horizontal="left" vertical="center" wrapText="1"/>
    </xf>
    <xf numFmtId="0" fontId="9" fillId="10" borderId="18" xfId="854" applyFont="1" applyFill="1" applyBorder="1">
      <alignment horizontal="left" vertical="center" wrapText="1"/>
    </xf>
    <xf numFmtId="0" fontId="9" fillId="10" borderId="14" xfId="855" applyFont="1" applyFill="1" applyBorder="1">
      <alignment horizontal="left" vertical="center" wrapText="1"/>
    </xf>
    <xf numFmtId="0" fontId="25" fillId="0" borderId="14" xfId="268" applyFont="1" applyBorder="1">
      <alignment horizontal="left" vertical="center" wrapText="1"/>
    </xf>
    <xf numFmtId="0" fontId="5" fillId="0" borderId="33" xfId="739" applyFont="1" applyBorder="1">
      <alignment horizontal="center" vertical="center" wrapText="1"/>
    </xf>
    <xf numFmtId="0" fontId="9" fillId="0" borderId="17" xfId="880" applyFont="1" applyBorder="1">
      <alignment horizontal="center" vertical="center" wrapText="1"/>
    </xf>
    <xf numFmtId="0" fontId="9" fillId="0" borderId="36" xfId="881" applyFont="1" applyBorder="1">
      <alignment horizontal="center" vertical="center" wrapText="1"/>
    </xf>
    <xf numFmtId="0" fontId="9" fillId="13" borderId="18" xfId="867" applyFont="1" applyFill="1" applyBorder="1">
      <alignment horizontal="left" vertical="center" wrapText="1"/>
    </xf>
    <xf numFmtId="49" fontId="9" fillId="0" borderId="14" xfId="68" applyNumberFormat="1" applyFont="1" applyBorder="1">
      <alignment horizontal="left" vertical="center" wrapText="1" indent="1"/>
    </xf>
    <xf numFmtId="0" fontId="5" fillId="12" borderId="24" xfId="908" applyFont="1" applyFill="1" applyBorder="1">
      <alignment horizontal="center" vertical="center" wrapText="1"/>
    </xf>
    <xf numFmtId="0" fontId="5" fillId="12" borderId="18" xfId="909" applyFont="1" applyFill="1" applyBorder="1">
      <alignment horizontal="center" vertical="center" wrapText="1"/>
    </xf>
    <xf numFmtId="0" fontId="5" fillId="12" borderId="19" xfId="911" applyFont="1" applyFill="1" applyBorder="1">
      <alignment horizontal="center" vertical="center" wrapText="1"/>
    </xf>
    <xf numFmtId="0" fontId="5" fillId="12" borderId="0" xfId="912" applyFont="1" applyFill="1">
      <alignment horizontal="center" vertical="center" wrapText="1"/>
    </xf>
    <xf numFmtId="0" fontId="5" fillId="12" borderId="26" xfId="917" applyFont="1" applyFill="1" applyBorder="1">
      <alignment horizontal="center" vertical="center" wrapText="1"/>
    </xf>
    <xf numFmtId="0" fontId="5" fillId="12" borderId="36" xfId="918" applyFont="1" applyFill="1" applyBorder="1">
      <alignment horizontal="center" vertical="center" wrapText="1"/>
    </xf>
    <xf numFmtId="0" fontId="5" fillId="12" borderId="25" xfId="919" applyFont="1" applyFill="1" applyBorder="1">
      <alignment horizontal="center" vertical="center" wrapText="1"/>
    </xf>
    <xf numFmtId="0" fontId="31" fillId="0" borderId="14" xfId="888" applyFont="1" applyBorder="1">
      <alignment horizontal="center" vertical="center" wrapText="1"/>
    </xf>
    <xf numFmtId="49" fontId="9" fillId="11" borderId="23" xfId="887" applyNumberFormat="1" applyFont="1" applyFill="1" applyBorder="1">
      <alignment horizontal="left" vertical="center" wrapText="1" indent="6"/>
      <protection locked="0"/>
    </xf>
    <xf numFmtId="49" fontId="9" fillId="11" borderId="33" xfId="891" applyNumberFormat="1" applyFont="1" applyFill="1" applyBorder="1">
      <alignment horizontal="left" vertical="center" wrapText="1" indent="6"/>
      <protection locked="0"/>
    </xf>
    <xf numFmtId="49" fontId="9" fillId="11" borderId="21" xfId="896" applyNumberFormat="1" applyFont="1" applyFill="1" applyBorder="1">
      <alignment horizontal="left" vertical="center" wrapText="1" indent="6"/>
      <protection locked="0"/>
    </xf>
    <xf numFmtId="0" fontId="9" fillId="12" borderId="23" xfId="849" applyFont="1" applyFill="1" applyBorder="1">
      <alignment horizontal="left" vertical="center" wrapText="1"/>
    </xf>
    <xf numFmtId="0" fontId="9" fillId="12" borderId="33" xfId="890" applyFont="1" applyFill="1" applyBorder="1">
      <alignment horizontal="left" vertical="center" wrapText="1"/>
    </xf>
    <xf numFmtId="0" fontId="9" fillId="12" borderId="21" xfId="858" applyFont="1" applyFill="1" applyBorder="1">
      <alignment horizontal="left" vertical="center" wrapText="1"/>
    </xf>
    <xf numFmtId="0" fontId="25" fillId="0" borderId="20" xfId="886" applyFont="1" applyBorder="1">
      <alignment horizontal="center" vertical="top" wrapText="1"/>
    </xf>
    <xf numFmtId="0" fontId="5" fillId="12" borderId="20" xfId="913" applyFont="1" applyFill="1" applyBorder="1">
      <alignment horizontal="center" vertical="center" wrapText="1"/>
    </xf>
    <xf numFmtId="0" fontId="9" fillId="12" borderId="24" xfId="907" applyFont="1" applyFill="1" applyBorder="1">
      <alignment horizontal="center" vertical="center" wrapText="1"/>
    </xf>
    <xf numFmtId="0" fontId="9" fillId="12" borderId="19" xfId="910" applyFont="1" applyFill="1" applyBorder="1">
      <alignment horizontal="center" vertical="center" wrapText="1"/>
    </xf>
    <xf numFmtId="0" fontId="9" fillId="12" borderId="26" xfId="916" applyFont="1" applyFill="1" applyBorder="1">
      <alignment horizontal="center" vertical="center" wrapText="1"/>
    </xf>
    <xf numFmtId="0" fontId="9" fillId="11" borderId="14" xfId="915" applyFont="1" applyFill="1" applyBorder="1">
      <alignment horizontal="center" vertical="center" wrapText="1"/>
      <protection locked="0"/>
    </xf>
    <xf numFmtId="0" fontId="9" fillId="10" borderId="14" xfId="914" applyFont="1" applyFill="1" applyBorder="1">
      <alignment horizontal="center" vertical="center" wrapText="1"/>
    </xf>
    <xf numFmtId="49" fontId="9" fillId="13" borderId="14" xfId="50" applyNumberFormat="1" applyFont="1" applyFill="1" applyBorder="1">
      <alignment horizontal="left" vertical="center" wrapText="1" indent="1"/>
    </xf>
    <xf numFmtId="0" fontId="9" fillId="8" borderId="12" xfId="978" applyFont="1" applyFill="1" applyBorder="1">
      <alignment horizontal="left" vertical="center" wrapText="1"/>
      <protection locked="0"/>
    </xf>
    <xf numFmtId="0" fontId="9" fillId="8" borderId="16" xfId="979" applyFont="1" applyFill="1" applyBorder="1">
      <alignment horizontal="left" vertical="center" wrapText="1"/>
      <protection locked="0"/>
    </xf>
    <xf numFmtId="0" fontId="9" fillId="8" borderId="11" xfId="980" applyFont="1" applyFill="1" applyBorder="1">
      <alignment horizontal="left" vertical="center" wrapText="1"/>
      <protection locked="0"/>
    </xf>
    <xf numFmtId="49" fontId="9" fillId="8" borderId="12" xfId="968" applyNumberFormat="1" applyFont="1" applyFill="1" applyBorder="1">
      <alignment horizontal="left" vertical="center" wrapText="1"/>
      <protection locked="0"/>
    </xf>
    <xf numFmtId="49" fontId="9" fillId="8" borderId="16" xfId="981" applyNumberFormat="1" applyFont="1" applyFill="1" applyBorder="1">
      <alignment horizontal="left" vertical="center" wrapText="1"/>
      <protection locked="0"/>
    </xf>
    <xf numFmtId="49" fontId="9" fillId="8" borderId="11" xfId="982" applyNumberFormat="1" applyFont="1" applyFill="1" applyBorder="1">
      <alignment horizontal="left" vertical="center" wrapText="1"/>
      <protection locked="0"/>
    </xf>
    <xf numFmtId="0" fontId="30" fillId="0" borderId="14" xfId="985" applyFont="1" applyBorder="1">
      <alignment horizontal="left" vertical="top" wrapText="1"/>
    </xf>
    <xf numFmtId="0" fontId="9" fillId="11" borderId="11" xfId="939" applyFont="1" applyFill="1" applyBorder="1">
      <alignment horizontal="center" vertical="center" wrapText="1"/>
      <protection locked="0"/>
    </xf>
    <xf numFmtId="4" fontId="9" fillId="11" borderId="14" xfId="937" applyNumberFormat="1" applyFont="1" applyFill="1" applyBorder="1">
      <alignment horizontal="left" vertical="center" wrapText="1" indent="1"/>
      <protection locked="0"/>
    </xf>
    <xf numFmtId="49" fontId="9" fillId="8" borderId="23" xfId="936" applyNumberFormat="1" applyFont="1" applyFill="1" applyBorder="1">
      <alignment horizontal="left" vertical="center" wrapText="1" indent="6"/>
      <protection locked="0"/>
    </xf>
    <xf numFmtId="49" fontId="9" fillId="8" borderId="33" xfId="991" applyNumberFormat="1" applyFont="1" applyFill="1" applyBorder="1">
      <alignment horizontal="left" vertical="center" wrapText="1" indent="6"/>
      <protection locked="0"/>
    </xf>
    <xf numFmtId="49" fontId="9" fillId="8" borderId="21" xfId="993" applyNumberFormat="1" applyFont="1" applyFill="1" applyBorder="1">
      <alignment horizontal="left" vertical="center" wrapText="1" indent="6"/>
      <protection locked="0"/>
    </xf>
    <xf numFmtId="4" fontId="9" fillId="11" borderId="14" xfId="989" applyNumberFormat="1" applyFont="1" applyFill="1" applyBorder="1">
      <alignment horizontal="center" vertical="center" wrapText="1"/>
      <protection locked="0"/>
    </xf>
    <xf numFmtId="49" fontId="9" fillId="13" borderId="18" xfId="990" applyNumberFormat="1" applyFont="1" applyFill="1" applyBorder="1">
      <alignment horizontal="center" vertical="center" wrapText="1"/>
    </xf>
    <xf numFmtId="49" fontId="9" fillId="13" borderId="25" xfId="992" applyNumberFormat="1" applyFont="1" applyFill="1" applyBorder="1">
      <alignment horizontal="center" vertical="center" wrapText="1"/>
    </xf>
    <xf numFmtId="0" fontId="25" fillId="0" borderId="17" xfId="994" applyFont="1" applyBorder="1">
      <alignment horizontal="left" vertical="center" wrapText="1"/>
    </xf>
    <xf numFmtId="49" fontId="15" fillId="7" borderId="0" xfId="1008" applyNumberFormat="1" applyFont="1" applyFill="1">
      <alignment horizontal="center" vertical="center" textRotation="90" wrapText="1"/>
    </xf>
    <xf numFmtId="0" fontId="36" fillId="0" borderId="0" xfId="1009" applyFont="1">
      <alignment horizontal="center" vertical="center" wrapText="1"/>
    </xf>
    <xf numFmtId="0" fontId="9" fillId="0" borderId="16" xfId="953" applyFont="1" applyBorder="1">
      <alignment horizontal="right" vertical="center" wrapText="1" indent="1"/>
    </xf>
    <xf numFmtId="0" fontId="9" fillId="0" borderId="11" xfId="954" applyFont="1" applyBorder="1">
      <alignment horizontal="right" vertical="center" wrapText="1" indent="1"/>
    </xf>
    <xf numFmtId="0" fontId="9" fillId="0" borderId="12" xfId="957" applyFont="1" applyBorder="1">
      <alignment horizontal="right" vertical="center" wrapText="1"/>
    </xf>
    <xf numFmtId="0" fontId="9" fillId="0" borderId="16" xfId="958" applyFont="1" applyBorder="1">
      <alignment horizontal="right" vertical="center" wrapText="1"/>
    </xf>
    <xf numFmtId="49" fontId="25" fillId="0" borderId="23" xfId="1047" applyNumberFormat="1" applyFont="1" applyBorder="1">
      <alignment horizontal="center" vertical="center" wrapText="1"/>
    </xf>
    <xf numFmtId="49" fontId="25" fillId="0" borderId="33" xfId="1048" applyNumberFormat="1" applyFont="1" applyBorder="1">
      <alignment horizontal="center" vertical="center" wrapText="1"/>
    </xf>
    <xf numFmtId="49" fontId="25" fillId="0" borderId="21" xfId="1049" applyNumberFormat="1" applyFont="1" applyBorder="1">
      <alignment horizontal="center" vertical="center" wrapText="1"/>
    </xf>
    <xf numFmtId="0" fontId="5" fillId="10" borderId="14" xfId="43" applyFont="1" applyFill="1" applyBorder="1">
      <alignment horizontal="left" vertical="center" wrapText="1" indent="1"/>
    </xf>
    <xf numFmtId="0" fontId="9" fillId="0" borderId="21" xfId="643" applyFont="1" applyBorder="1">
      <alignment horizontal="left" vertical="center" wrapText="1"/>
    </xf>
    <xf numFmtId="0" fontId="5" fillId="0" borderId="12" xfId="635" applyFont="1" applyBorder="1">
      <alignment horizontal="right" vertical="center" wrapText="1" indent="1"/>
    </xf>
    <xf numFmtId="0" fontId="5" fillId="0" borderId="16" xfId="636" applyFont="1" applyBorder="1">
      <alignment horizontal="right" vertical="center" wrapText="1" indent="1"/>
    </xf>
    <xf numFmtId="0" fontId="5" fillId="0" borderId="11" xfId="637" applyFont="1" applyBorder="1">
      <alignment horizontal="right" vertical="center" wrapText="1" indent="1"/>
    </xf>
    <xf numFmtId="49" fontId="9" fillId="0" borderId="23" xfId="161" applyNumberFormat="1" applyFont="1" applyBorder="1">
      <alignment horizontal="center" vertical="center" wrapText="1"/>
    </xf>
    <xf numFmtId="49" fontId="9" fillId="0" borderId="33" xfId="642" applyNumberFormat="1" applyFont="1" applyBorder="1">
      <alignment horizontal="center" vertical="center" wrapText="1"/>
    </xf>
    <xf numFmtId="49" fontId="9" fillId="0" borderId="21" xfId="649" applyNumberFormat="1" applyFont="1" applyBorder="1">
      <alignment horizontal="center" vertical="center" wrapText="1"/>
    </xf>
    <xf numFmtId="0" fontId="9" fillId="12" borderId="12" xfId="517" applyFont="1" applyFill="1" applyBorder="1">
      <alignment horizontal="center" vertical="center" wrapText="1"/>
    </xf>
    <xf numFmtId="0" fontId="9" fillId="12" borderId="16" xfId="748" applyFont="1" applyFill="1" applyBorder="1">
      <alignment horizontal="center" vertical="center" wrapText="1"/>
    </xf>
    <xf numFmtId="0" fontId="9" fillId="12" borderId="18" xfId="1106" applyFont="1" applyFill="1" applyBorder="1">
      <alignment horizontal="center" vertical="center" wrapText="1"/>
    </xf>
    <xf numFmtId="0" fontId="9" fillId="12" borderId="14" xfId="499" applyFont="1" applyFill="1" applyBorder="1">
      <alignment horizontal="center" vertical="center"/>
    </xf>
    <xf numFmtId="0" fontId="25" fillId="0" borderId="16" xfId="1053" applyFont="1" applyBorder="1">
      <alignment horizontal="right" vertical="center" wrapText="1" indent="1"/>
    </xf>
    <xf numFmtId="0" fontId="25" fillId="0" borderId="11" xfId="1054" applyFont="1" applyBorder="1">
      <alignment horizontal="right" vertical="center" wrapText="1" indent="1"/>
    </xf>
    <xf numFmtId="0" fontId="9" fillId="0" borderId="0" xfId="497" applyFont="1">
      <alignment horizontal="left" vertical="top" wrapText="1"/>
    </xf>
    <xf numFmtId="0" fontId="9" fillId="10" borderId="12" xfId="1006" applyFont="1" applyFill="1" applyBorder="1">
      <alignment horizontal="left" vertical="top" wrapText="1"/>
    </xf>
    <xf numFmtId="0" fontId="9" fillId="10" borderId="11" xfId="1065" applyFont="1" applyFill="1" applyBorder="1">
      <alignment horizontal="left" vertical="top" wrapText="1"/>
    </xf>
    <xf numFmtId="49" fontId="9" fillId="25" borderId="0" xfId="1066" applyNumberFormat="1" applyFont="1" applyFill="1">
      <alignment horizontal="center" vertical="center" textRotation="90" wrapText="1"/>
    </xf>
    <xf numFmtId="0" fontId="9" fillId="10" borderId="12" xfId="955" applyFont="1" applyFill="1" applyBorder="1">
      <alignment horizontal="left" vertical="top" wrapText="1" indent="1"/>
    </xf>
    <xf numFmtId="0" fontId="9" fillId="10" borderId="11" xfId="956" applyFont="1" applyFill="1" applyBorder="1">
      <alignment horizontal="left" vertical="top" wrapText="1" indent="1"/>
    </xf>
    <xf numFmtId="49" fontId="5" fillId="0" borderId="14" xfId="343" applyNumberFormat="1" applyFont="1" applyBorder="1">
      <alignment horizontal="center" vertical="center" wrapText="1"/>
    </xf>
    <xf numFmtId="49" fontId="9" fillId="0" borderId="12" xfId="1108" applyNumberFormat="1" applyFont="1" applyBorder="1">
      <alignment horizontal="center" vertical="center" wrapText="1"/>
    </xf>
    <xf numFmtId="49" fontId="25" fillId="0" borderId="14" xfId="692" applyNumberFormat="1" applyFont="1" applyBorder="1">
      <alignment horizontal="center" vertical="center" wrapText="1"/>
    </xf>
    <xf numFmtId="49" fontId="9" fillId="0" borderId="14" xfId="369" applyNumberFormat="1" applyFont="1" applyBorder="1">
      <alignment horizontal="left" vertical="center" wrapText="1"/>
    </xf>
    <xf numFmtId="0" fontId="5" fillId="0" borderId="14" xfId="721" applyFont="1" applyBorder="1">
      <alignment horizontal="left" vertical="center" wrapText="1" indent="1"/>
    </xf>
    <xf numFmtId="49" fontId="9" fillId="0" borderId="14" xfId="527" applyNumberFormat="1" applyFont="1" applyBorder="1">
      <alignment horizontal="center" vertical="top" wrapText="1"/>
    </xf>
    <xf numFmtId="0" fontId="5" fillId="10" borderId="14" xfId="528" applyFont="1" applyFill="1" applyBorder="1">
      <alignment horizontal="left" vertical="top" wrapText="1" indent="1"/>
    </xf>
    <xf numFmtId="49" fontId="9" fillId="13" borderId="23" xfId="529" applyNumberFormat="1" applyFont="1" applyFill="1" applyBorder="1">
      <alignment horizontal="center" vertical="top" wrapText="1"/>
    </xf>
    <xf numFmtId="49" fontId="9" fillId="13" borderId="21" xfId="540" applyNumberFormat="1" applyFont="1" applyFill="1" applyBorder="1">
      <alignment horizontal="center" vertical="top" wrapText="1"/>
    </xf>
    <xf numFmtId="168" fontId="5" fillId="11" borderId="14" xfId="530" applyNumberFormat="1" applyFont="1" applyFill="1" applyBorder="1">
      <alignment horizontal="center" vertical="top" wrapText="1"/>
      <protection locked="0"/>
    </xf>
    <xf numFmtId="49" fontId="5" fillId="11" borderId="14" xfId="541" applyNumberFormat="1" applyFont="1" applyFill="1" applyBorder="1">
      <alignment horizontal="center" vertical="top" wrapText="1"/>
      <protection locked="0"/>
    </xf>
    <xf numFmtId="168" fontId="5" fillId="8" borderId="14" xfId="531" applyNumberFormat="1" applyFont="1" applyFill="1" applyBorder="1">
      <alignment horizontal="center" vertical="top" wrapText="1"/>
      <protection locked="0"/>
    </xf>
    <xf numFmtId="49" fontId="5" fillId="8" borderId="14" xfId="542" applyNumberFormat="1" applyFont="1" applyFill="1" applyBorder="1">
      <alignment horizontal="center" vertical="top" wrapText="1"/>
      <protection locked="0"/>
    </xf>
    <xf numFmtId="49" fontId="9" fillId="13" borderId="14" xfId="532" applyNumberFormat="1" applyFont="1" applyFill="1" applyBorder="1">
      <alignment horizontal="left" vertical="top" wrapText="1"/>
    </xf>
    <xf numFmtId="49" fontId="9" fillId="11" borderId="14" xfId="533" applyNumberFormat="1" applyFont="1" applyFill="1" applyBorder="1">
      <alignment horizontal="left" vertical="top" wrapText="1"/>
      <protection locked="0"/>
    </xf>
    <xf numFmtId="0" fontId="9" fillId="8" borderId="14" xfId="536" applyFont="1" applyFill="1" applyBorder="1">
      <alignment horizontal="left" vertical="top" wrapText="1"/>
      <protection locked="0"/>
    </xf>
    <xf numFmtId="49" fontId="9" fillId="13" borderId="14" xfId="537" applyNumberFormat="1" applyFont="1" applyFill="1" applyBorder="1">
      <alignment horizontal="center" vertical="top" wrapText="1"/>
    </xf>
    <xf numFmtId="49" fontId="9" fillId="13" borderId="12" xfId="543" applyNumberFormat="1" applyFont="1" applyFill="1" applyBorder="1">
      <alignment horizontal="center" vertical="top" wrapText="1"/>
    </xf>
    <xf numFmtId="49" fontId="5" fillId="10" borderId="14" xfId="534" applyNumberFormat="1" applyFont="1" applyFill="1" applyBorder="1">
      <alignment horizontal="center" vertical="top" wrapText="1"/>
    </xf>
    <xf numFmtId="0" fontId="9" fillId="10" borderId="14" xfId="535" applyFont="1" applyFill="1" applyBorder="1">
      <alignment horizontal="center" vertical="top" wrapText="1"/>
    </xf>
    <xf numFmtId="0" fontId="28" fillId="0" borderId="0" xfId="473" applyFont="1">
      <alignment horizontal="center" vertical="center" wrapText="1"/>
    </xf>
    <xf numFmtId="0" fontId="9" fillId="0" borderId="20" xfId="539" applyFont="1" applyBorder="1">
      <alignment vertical="top" wrapText="1"/>
    </xf>
    <xf numFmtId="0" fontId="9" fillId="12" borderId="25" xfId="940" applyFont="1" applyFill="1" applyBorder="1">
      <alignment horizontal="center" vertical="center" wrapText="1"/>
    </xf>
    <xf numFmtId="0" fontId="9" fillId="0" borderId="6" xfId="1113" applyFont="1" applyBorder="1">
      <alignment horizontal="center" vertical="center"/>
    </xf>
    <xf numFmtId="0" fontId="9" fillId="0" borderId="7" xfId="1114" applyFont="1" applyBorder="1">
      <alignment horizontal="center" vertical="center"/>
    </xf>
    <xf numFmtId="0" fontId="9" fillId="0" borderId="8" xfId="1115" applyFont="1" applyBorder="1">
      <alignment horizontal="center" vertical="center"/>
    </xf>
    <xf numFmtId="49" fontId="19" fillId="0" borderId="23" xfId="572" applyNumberFormat="1" applyFont="1" applyBorder="1">
      <alignment horizontal="left" vertical="center" wrapText="1" indent="1"/>
    </xf>
    <xf numFmtId="49" fontId="19" fillId="0" borderId="33" xfId="577" applyNumberFormat="1" applyFont="1" applyBorder="1">
      <alignment horizontal="left" vertical="center" wrapText="1" indent="1"/>
    </xf>
    <xf numFmtId="49" fontId="19" fillId="0" borderId="21" xfId="580" applyNumberFormat="1" applyFont="1" applyBorder="1">
      <alignment horizontal="left" vertical="center" wrapText="1" indent="1"/>
    </xf>
    <xf numFmtId="49" fontId="19" fillId="0" borderId="14" xfId="108" applyNumberFormat="1" applyFont="1" applyBorder="1">
      <alignment horizontal="left" vertical="center" wrapText="1"/>
    </xf>
    <xf numFmtId="49" fontId="9" fillId="0" borderId="11" xfId="514" applyNumberFormat="1" applyFont="1" applyBorder="1">
      <alignment horizontal="center" vertical="center" wrapText="1"/>
    </xf>
    <xf numFmtId="49" fontId="19" fillId="0" borderId="12" xfId="565" applyNumberFormat="1" applyFont="1" applyBorder="1">
      <alignment horizontal="center" vertical="center" wrapText="1"/>
    </xf>
    <xf numFmtId="49" fontId="29" fillId="14" borderId="53" xfId="586" applyNumberFormat="1" applyFont="1" applyFill="1" applyBorder="1">
      <alignment horizontal="left" vertical="center" indent="1"/>
    </xf>
    <xf numFmtId="49" fontId="9" fillId="10" borderId="14" xfId="505" applyNumberFormat="1" applyFont="1" applyFill="1" applyBorder="1">
      <alignment horizontal="center" vertical="center" wrapText="1"/>
    </xf>
    <xf numFmtId="49" fontId="5" fillId="10" borderId="33" xfId="589" applyNumberFormat="1" applyFont="1" applyFill="1" applyBorder="1">
      <alignment vertical="top"/>
    </xf>
    <xf numFmtId="49" fontId="5" fillId="0" borderId="33" xfId="590" applyNumberFormat="1" applyFont="1" applyBorder="1">
      <alignment vertical="top"/>
    </xf>
    <xf numFmtId="49" fontId="9" fillId="10" borderId="51" xfId="584" applyNumberFormat="1" applyFont="1" applyFill="1" applyBorder="1">
      <alignment horizontal="center" vertical="center" wrapText="1"/>
    </xf>
    <xf numFmtId="3" fontId="19" fillId="0" borderId="14" xfId="569" applyNumberFormat="1" applyFont="1" applyBorder="1">
      <alignment horizontal="center" vertical="center" wrapText="1"/>
    </xf>
    <xf numFmtId="49" fontId="19" fillId="0" borderId="11" xfId="563" applyNumberFormat="1" applyFont="1" applyBorder="1">
      <alignment horizontal="center" vertical="center" wrapText="1"/>
    </xf>
    <xf numFmtId="49" fontId="19" fillId="0" borderId="11" xfId="564" applyNumberFormat="1" applyFont="1" applyBorder="1">
      <alignment horizontal="left" vertical="center" wrapText="1"/>
    </xf>
    <xf numFmtId="49" fontId="54" fillId="0" borderId="11" xfId="570" applyNumberFormat="1" applyFont="1" applyBorder="1">
      <alignment horizontal="center" vertical="center" wrapText="1"/>
    </xf>
    <xf numFmtId="0" fontId="53" fillId="0" borderId="14" xfId="571" applyFont="1" applyBorder="1">
      <alignment horizontal="center" vertical="center"/>
    </xf>
    <xf numFmtId="49" fontId="9" fillId="13" borderId="11" xfId="613" applyNumberFormat="1" applyFont="1" applyFill="1" applyBorder="1">
      <alignment horizontal="left" vertical="center" wrapText="1"/>
    </xf>
    <xf numFmtId="49" fontId="9" fillId="13" borderId="14" xfId="0" applyNumberFormat="1" applyFont="1" applyFill="1" applyBorder="1" applyAlignment="1">
      <alignment horizontal="left" vertical="center" wrapText="1"/>
    </xf>
    <xf numFmtId="49" fontId="9" fillId="11" borderId="14" xfId="361" applyNumberFormat="1" applyFont="1" applyFill="1" applyBorder="1">
      <alignment horizontal="left" vertical="center" wrapText="1"/>
      <protection locked="0"/>
    </xf>
    <xf numFmtId="3" fontId="9" fillId="11" borderId="14" xfId="617" applyNumberFormat="1" applyFont="1" applyFill="1" applyBorder="1">
      <alignment horizontal="center" vertical="center" wrapText="1"/>
      <protection locked="0"/>
    </xf>
    <xf numFmtId="49" fontId="5" fillId="11" borderId="33" xfId="592" applyNumberFormat="1" applyFont="1" applyFill="1" applyBorder="1">
      <alignment vertical="top"/>
      <protection locked="0"/>
    </xf>
    <xf numFmtId="49" fontId="9" fillId="13" borderId="12" xfId="618" applyNumberFormat="1" applyFont="1" applyFill="1" applyBorder="1">
      <alignment horizontal="center" vertical="center" wrapText="1"/>
    </xf>
    <xf numFmtId="14" fontId="9" fillId="13" borderId="33" xfId="600" applyNumberFormat="1" applyFont="1" applyFill="1" applyBorder="1">
      <alignment horizontal="left" vertical="center" wrapText="1" indent="1"/>
    </xf>
    <xf numFmtId="14" fontId="9" fillId="13" borderId="19" xfId="601" applyNumberFormat="1" applyFont="1" applyFill="1" applyBorder="1">
      <alignment horizontal="left" vertical="center" wrapText="1" indent="1"/>
    </xf>
    <xf numFmtId="49" fontId="55" fillId="0" borderId="14" xfId="593" applyNumberFormat="1" applyFont="1" applyBorder="1">
      <alignment horizontal="center" vertical="center" wrapText="1"/>
    </xf>
    <xf numFmtId="0" fontId="30" fillId="0" borderId="11" xfId="612" applyFont="1" applyBorder="1">
      <alignment horizontal="center" vertical="center"/>
    </xf>
    <xf numFmtId="49" fontId="9" fillId="13" borderId="23" xfId="595" applyNumberFormat="1" applyFont="1" applyFill="1" applyBorder="1">
      <alignment horizontal="left" vertical="center" wrapText="1" indent="1"/>
    </xf>
    <xf numFmtId="49" fontId="9" fillId="13" borderId="33" xfId="603" applyNumberFormat="1" applyFont="1" applyFill="1" applyBorder="1">
      <alignment horizontal="left" vertical="center" wrapText="1" indent="1"/>
    </xf>
    <xf numFmtId="49" fontId="9" fillId="13" borderId="21" xfId="609" applyNumberFormat="1" applyFont="1" applyFill="1" applyBorder="1">
      <alignment horizontal="left" vertical="center" wrapText="1" indent="1"/>
    </xf>
    <xf numFmtId="49" fontId="9" fillId="12" borderId="14" xfId="0" applyNumberFormat="1" applyFont="1" applyFill="1" applyBorder="1" applyAlignment="1">
      <alignment horizontal="left" vertical="center" wrapText="1"/>
    </xf>
    <xf numFmtId="49" fontId="9" fillId="10" borderId="14" xfId="604" applyNumberFormat="1" applyFont="1" applyFill="1" applyBorder="1">
      <alignment horizontal="left" vertical="center" wrapText="1"/>
    </xf>
    <xf numFmtId="49" fontId="9" fillId="10" borderId="14" xfId="0" applyNumberFormat="1" applyFont="1" applyFill="1" applyBorder="1" applyAlignment="1">
      <alignment horizontal="left" vertical="center" wrapText="1"/>
    </xf>
    <xf numFmtId="49" fontId="9" fillId="13" borderId="14" xfId="304" applyNumberFormat="1" applyFont="1" applyFill="1" applyBorder="1">
      <alignment horizontal="left" vertical="center" wrapText="1"/>
    </xf>
    <xf numFmtId="49" fontId="9" fillId="13" borderId="14" xfId="0" applyNumberFormat="1" applyFont="1" applyFill="1" applyBorder="1" applyAlignment="1">
      <alignment horizontal="center" vertical="center" wrapText="1"/>
    </xf>
    <xf numFmtId="49" fontId="5" fillId="13" borderId="33" xfId="0" applyNumberFormat="1" applyFont="1" applyFill="1" applyBorder="1">
      <alignment vertical="top"/>
    </xf>
    <xf numFmtId="0" fontId="9" fillId="0" borderId="63" xfId="1119" applyFont="1" applyBorder="1">
      <alignment horizontal="center" vertical="center"/>
    </xf>
    <xf numFmtId="0" fontId="9" fillId="0" borderId="35" xfId="1120" applyFont="1" applyBorder="1">
      <alignment horizontal="center" vertical="center"/>
    </xf>
    <xf numFmtId="49" fontId="5" fillId="0" borderId="14" xfId="974" applyNumberFormat="1" applyFont="1" applyBorder="1">
      <alignment vertical="center" wrapText="1"/>
    </xf>
    <xf numFmtId="49" fontId="5" fillId="0" borderId="14" xfId="280" applyNumberFormat="1" applyFont="1" applyBorder="1">
      <alignment horizontal="left" vertical="center" wrapText="1"/>
    </xf>
    <xf numFmtId="49" fontId="5" fillId="0" borderId="23" xfId="1122" applyNumberFormat="1" applyFont="1" applyBorder="1">
      <alignment horizontal="center" vertical="center" wrapText="1"/>
    </xf>
    <xf numFmtId="49" fontId="5" fillId="0" borderId="33" xfId="1124" applyNumberFormat="1" applyFont="1" applyBorder="1">
      <alignment horizontal="center" vertical="center" wrapText="1"/>
    </xf>
    <xf numFmtId="49" fontId="5" fillId="0" borderId="21" xfId="1125" applyNumberFormat="1" applyFont="1" applyBorder="1">
      <alignment horizontal="center" vertical="center" wrapText="1"/>
    </xf>
    <xf numFmtId="0" fontId="5" fillId="10" borderId="14" xfId="735" applyFont="1" applyFill="1" applyBorder="1">
      <alignment horizontal="center" vertical="center" wrapText="1"/>
    </xf>
    <xf numFmtId="49" fontId="5" fillId="0" borderId="14" xfId="187" applyNumberFormat="1" applyFont="1" applyBorder="1">
      <alignment horizontal="center" vertical="center"/>
    </xf>
    <xf numFmtId="0" fontId="9" fillId="12" borderId="11" xfId="749" applyFont="1" applyFill="1" applyBorder="1">
      <alignment horizontal="center" vertical="center" wrapText="1"/>
    </xf>
    <xf numFmtId="0" fontId="9" fillId="16" borderId="14" xfId="1152" applyFont="1" applyFill="1" applyBorder="1">
      <alignment horizontal="center" vertical="center" wrapText="1"/>
    </xf>
    <xf numFmtId="0" fontId="9" fillId="16" borderId="12" xfId="1153" applyFont="1" applyFill="1" applyBorder="1">
      <alignment horizontal="center" vertical="center" wrapText="1"/>
    </xf>
    <xf numFmtId="49" fontId="9" fillId="20" borderId="12" xfId="1145" applyNumberFormat="1" applyFont="1" applyFill="1" applyBorder="1">
      <alignment horizontal="center" vertical="center" wrapText="1"/>
    </xf>
    <xf numFmtId="49" fontId="9" fillId="20" borderId="16" xfId="1146" applyNumberFormat="1" applyFont="1" applyFill="1" applyBorder="1">
      <alignment horizontal="center" vertical="center" wrapText="1"/>
    </xf>
    <xf numFmtId="49" fontId="9" fillId="16" borderId="17" xfId="1147" applyNumberFormat="1" applyFont="1" applyFill="1" applyBorder="1">
      <alignment horizontal="center" vertical="center" wrapText="1"/>
    </xf>
    <xf numFmtId="49" fontId="9" fillId="16" borderId="0" xfId="1148" applyNumberFormat="1" applyFont="1" applyFill="1">
      <alignment horizontal="center" vertical="center" wrapText="1"/>
    </xf>
    <xf numFmtId="49" fontId="9" fillId="16" borderId="36" xfId="1155" applyNumberFormat="1" applyFont="1" applyFill="1" applyBorder="1">
      <alignment horizontal="center" vertical="center" wrapText="1"/>
    </xf>
    <xf numFmtId="0" fontId="9" fillId="16" borderId="11" xfId="1154" applyFont="1" applyFill="1" applyBorder="1">
      <alignment horizontal="center" vertical="center" wrapText="1"/>
    </xf>
    <xf numFmtId="0" fontId="9" fillId="18" borderId="12" xfId="1136" applyFont="1" applyFill="1" applyBorder="1">
      <alignment horizontal="center" vertical="center" wrapText="1"/>
    </xf>
    <xf numFmtId="0" fontId="9" fillId="18" borderId="16" xfId="1137" applyFont="1" applyFill="1" applyBorder="1">
      <alignment horizontal="center" vertical="center" wrapText="1"/>
    </xf>
    <xf numFmtId="0" fontId="9" fillId="18" borderId="11" xfId="1138" applyFont="1" applyFill="1" applyBorder="1">
      <alignment horizontal="center" vertical="center" wrapText="1"/>
    </xf>
    <xf numFmtId="49" fontId="19" fillId="17" borderId="12" xfId="1139" applyNumberFormat="1" applyFont="1" applyFill="1" applyBorder="1">
      <alignment horizontal="center" vertical="center" wrapText="1"/>
    </xf>
    <xf numFmtId="49" fontId="19" fillId="17" borderId="16" xfId="1140" applyNumberFormat="1" applyFont="1" applyFill="1" applyBorder="1">
      <alignment horizontal="center" vertical="center" wrapText="1"/>
    </xf>
    <xf numFmtId="49" fontId="19" fillId="17" borderId="11" xfId="1141" applyNumberFormat="1" applyFont="1" applyFill="1" applyBorder="1">
      <alignment horizontal="center" vertical="center" wrapText="1"/>
    </xf>
    <xf numFmtId="49" fontId="19" fillId="19" borderId="12" xfId="1142" applyNumberFormat="1" applyFont="1" applyFill="1" applyBorder="1">
      <alignment horizontal="center" vertical="center" wrapText="1"/>
    </xf>
    <xf numFmtId="49" fontId="19" fillId="19" borderId="16" xfId="1143" applyNumberFormat="1" applyFont="1" applyFill="1" applyBorder="1">
      <alignment horizontal="center" vertical="center" wrapText="1"/>
    </xf>
    <xf numFmtId="49" fontId="19" fillId="19" borderId="11" xfId="1144" applyNumberFormat="1" applyFont="1" applyFill="1" applyBorder="1">
      <alignment horizontal="center" vertical="center" wrapText="1"/>
    </xf>
    <xf numFmtId="49" fontId="9" fillId="16" borderId="14" xfId="1151" applyNumberFormat="1" applyFont="1" applyFill="1" applyBorder="1">
      <alignment horizontal="center" vertical="center" wrapText="1"/>
    </xf>
    <xf numFmtId="49" fontId="9" fillId="0" borderId="16" xfId="1149" applyNumberFormat="1" applyFont="1" applyBorder="1">
      <alignment horizontal="center" vertical="center" wrapText="1"/>
    </xf>
    <xf numFmtId="0" fontId="9" fillId="0" borderId="18" xfId="1132" applyFont="1" applyBorder="1">
      <alignment horizontal="left" vertical="top" wrapText="1"/>
    </xf>
    <xf numFmtId="0" fontId="5" fillId="0" borderId="14" xfId="663" applyFont="1" applyBorder="1">
      <alignment horizontal="left" vertical="center" wrapText="1"/>
    </xf>
    <xf numFmtId="0" fontId="51" fillId="12" borderId="20" xfId="757" applyFont="1" applyFill="1" applyBorder="1">
      <alignment horizontal="center" vertical="top" wrapText="1"/>
    </xf>
    <xf numFmtId="0" fontId="9" fillId="0" borderId="16" xfId="742" applyFont="1" applyBorder="1">
      <alignment horizontal="left" vertical="top" wrapText="1" indent="1"/>
    </xf>
    <xf numFmtId="0" fontId="51" fillId="12" borderId="0" xfId="754" applyFont="1" applyFill="1">
      <alignment horizontal="center" vertical="top" wrapText="1"/>
    </xf>
    <xf numFmtId="49" fontId="28" fillId="12" borderId="17" xfId="751" applyNumberFormat="1" applyFont="1" applyFill="1" applyBorder="1">
      <alignment horizontal="center" vertical="center" wrapText="1"/>
    </xf>
    <xf numFmtId="0" fontId="5" fillId="0" borderId="23" xfId="753" applyFont="1" applyBorder="1">
      <alignment horizontal="left" vertical="center" wrapText="1"/>
    </xf>
    <xf numFmtId="0" fontId="5" fillId="10" borderId="12" xfId="755" applyFont="1" applyFill="1" applyBorder="1">
      <alignment horizontal="left" vertical="center" wrapText="1" indent="1"/>
    </xf>
    <xf numFmtId="49" fontId="5" fillId="12" borderId="21" xfId="758" applyNumberFormat="1" applyFont="1" applyFill="1" applyBorder="1">
      <alignment horizontal="center" vertical="center" wrapText="1"/>
    </xf>
    <xf numFmtId="0" fontId="5" fillId="10" borderId="21" xfId="759" applyFont="1" applyFill="1" applyBorder="1">
      <alignment horizontal="left" vertical="center" wrapText="1" indent="1"/>
    </xf>
    <xf numFmtId="0" fontId="5" fillId="12" borderId="23" xfId="1178" applyFont="1" applyFill="1" applyBorder="1">
      <alignment horizontal="left" vertical="top" wrapText="1"/>
    </xf>
    <xf numFmtId="0" fontId="5" fillId="12" borderId="33" xfId="1181" applyFont="1" applyFill="1" applyBorder="1">
      <alignment horizontal="left" vertical="top" wrapText="1"/>
    </xf>
    <xf numFmtId="0" fontId="5" fillId="12" borderId="21" xfId="1183" applyFont="1" applyFill="1" applyBorder="1">
      <alignment horizontal="left" vertical="top" wrapText="1"/>
    </xf>
    <xf numFmtId="4" fontId="9" fillId="0" borderId="23" xfId="1079" applyNumberFormat="1" applyFont="1" applyBorder="1">
      <alignment horizontal="center" vertical="center" wrapText="1"/>
    </xf>
    <xf numFmtId="4" fontId="9" fillId="0" borderId="21" xfId="1192" applyNumberFormat="1" applyFont="1" applyBorder="1">
      <alignment horizontal="center" vertical="center" wrapText="1"/>
    </xf>
    <xf numFmtId="4" fontId="9" fillId="0" borderId="33" xfId="1204" applyNumberFormat="1" applyFont="1" applyBorder="1">
      <alignment horizontal="center" vertical="center" wrapText="1"/>
    </xf>
    <xf numFmtId="0" fontId="9" fillId="0" borderId="25" xfId="1208" applyFont="1" applyBorder="1">
      <alignment horizontal="left" vertical="top" wrapText="1"/>
    </xf>
    <xf numFmtId="169" fontId="9" fillId="0" borderId="23" xfId="1191" applyNumberFormat="1" applyFont="1" applyBorder="1">
      <alignment horizontal="center" vertical="center" wrapText="1"/>
    </xf>
    <xf numFmtId="169" fontId="9" fillId="0" borderId="21" xfId="1205" applyNumberFormat="1" applyFont="1" applyBorder="1">
      <alignment horizontal="center" vertical="center" wrapText="1"/>
    </xf>
    <xf numFmtId="169" fontId="9" fillId="0" borderId="12" xfId="97" applyNumberFormat="1" applyFont="1" applyBorder="1">
      <alignment horizontal="center" vertical="center" wrapText="1"/>
    </xf>
    <xf numFmtId="169" fontId="9" fillId="0" borderId="16" xfId="1202" applyNumberFormat="1" applyFont="1" applyBorder="1">
      <alignment horizontal="center" vertical="center" wrapText="1"/>
    </xf>
    <xf numFmtId="169" fontId="9" fillId="0" borderId="11" xfId="1203" applyNumberFormat="1" applyFont="1" applyBorder="1">
      <alignment horizontal="center" vertical="center" wrapText="1"/>
    </xf>
    <xf numFmtId="49" fontId="9" fillId="0" borderId="14" xfId="1224" applyNumberFormat="1" applyFont="1" applyBorder="1">
      <alignment horizontal="left" vertical="top" wrapText="1"/>
    </xf>
    <xf numFmtId="49" fontId="77" fillId="0" borderId="14" xfId="1225" applyNumberFormat="1" applyFont="1" applyBorder="1">
      <alignment horizontal="left" vertical="top" wrapText="1"/>
    </xf>
    <xf numFmtId="0" fontId="9" fillId="0" borderId="16" xfId="1215" applyFont="1" applyBorder="1">
      <alignment horizontal="left" vertical="center" wrapText="1"/>
    </xf>
    <xf numFmtId="169" fontId="9" fillId="0" borderId="33" xfId="1219" applyNumberFormat="1" applyFont="1" applyBorder="1">
      <alignment horizontal="center" vertical="center" wrapText="1"/>
    </xf>
    <xf numFmtId="169" fontId="9" fillId="0" borderId="14" xfId="98" applyNumberFormat="1" applyFont="1" applyBorder="1">
      <alignment horizontal="center" vertical="center" wrapText="1"/>
    </xf>
    <xf numFmtId="169" fontId="30" fillId="0" borderId="17" xfId="1216" applyNumberFormat="1" applyFont="1" applyBorder="1">
      <alignment horizontal="center" vertical="center" wrapText="1"/>
    </xf>
    <xf numFmtId="49" fontId="9" fillId="13" borderId="26" xfId="1221" applyNumberFormat="1" applyFont="1" applyFill="1" applyBorder="1">
      <alignment horizontal="left" vertical="center" wrapText="1"/>
    </xf>
    <xf numFmtId="49" fontId="9" fillId="13" borderId="21" xfId="708" applyNumberFormat="1" applyFont="1" applyFill="1" applyBorder="1">
      <alignment horizontal="left" vertical="center" wrapText="1"/>
    </xf>
    <xf numFmtId="14" fontId="9" fillId="13" borderId="14" xfId="1193" applyNumberFormat="1" applyFont="1" applyFill="1" applyBorder="1">
      <alignment horizontal="left" vertical="center" wrapText="1"/>
    </xf>
    <xf numFmtId="49" fontId="9" fillId="13" borderId="12" xfId="306" applyNumberFormat="1" applyFont="1" applyFill="1" applyBorder="1">
      <alignment horizontal="left" vertical="center" wrapText="1"/>
    </xf>
    <xf numFmtId="0" fontId="9" fillId="10" borderId="25" xfId="1220" applyFont="1" applyFill="1" applyBorder="1">
      <alignment horizontal="left" vertical="center" wrapText="1"/>
    </xf>
    <xf numFmtId="14" fontId="9" fillId="13" borderId="21" xfId="377" applyNumberFormat="1" applyFont="1" applyFill="1" applyBorder="1">
      <alignment horizontal="left" vertical="center" wrapText="1"/>
    </xf>
    <xf numFmtId="49" fontId="9" fillId="0" borderId="0" xfId="1167" applyNumberFormat="1" applyFont="1">
      <alignment horizontal="left" vertical="top" wrapText="1"/>
    </xf>
    <xf numFmtId="0" fontId="9" fillId="0" borderId="11" xfId="638" applyFont="1" applyBorder="1">
      <alignment horizontal="left" vertical="center" wrapText="1" indent="1"/>
    </xf>
    <xf numFmtId="0" fontId="9" fillId="0" borderId="12" xfId="1028" applyFont="1" applyBorder="1">
      <alignment horizontal="left" vertical="center" wrapText="1" indent="1"/>
    </xf>
    <xf numFmtId="49" fontId="5" fillId="0" borderId="16" xfId="1239" applyNumberFormat="1" applyFont="1" applyBorder="1">
      <alignment horizontal="left" vertical="center" indent="1"/>
    </xf>
    <xf numFmtId="0" fontId="30" fillId="0" borderId="14" xfId="594" applyFont="1" applyBorder="1">
      <alignment horizontal="center" vertical="center"/>
    </xf>
    <xf numFmtId="0" fontId="5" fillId="0" borderId="14" xfId="186" applyFont="1" applyBorder="1">
      <alignment horizontal="center" vertical="center"/>
    </xf>
    <xf numFmtId="49" fontId="5" fillId="11" borderId="14" xfId="274" applyNumberFormat="1" applyFont="1" applyFill="1" applyBorder="1">
      <alignment horizontal="left" vertical="center" wrapText="1"/>
      <protection locked="0"/>
    </xf>
    <xf numFmtId="0" fontId="9" fillId="13" borderId="14" xfId="675" applyFont="1" applyFill="1" applyBorder="1">
      <alignment horizontal="left" vertical="top" wrapText="1"/>
    </xf>
    <xf numFmtId="49" fontId="5" fillId="13" borderId="14" xfId="680" applyNumberFormat="1" applyFont="1" applyFill="1" applyBorder="1">
      <alignment horizontal="left" vertical="top"/>
    </xf>
    <xf numFmtId="0" fontId="5" fillId="11" borderId="14" xfId="665" applyFont="1" applyFill="1" applyBorder="1">
      <alignment horizontal="left" vertical="center" wrapText="1"/>
      <protection locked="0"/>
    </xf>
    <xf numFmtId="49" fontId="5" fillId="11" borderId="12" xfId="666" applyNumberFormat="1" applyFont="1" applyFill="1" applyBorder="1">
      <alignment horizontal="left" vertical="center" wrapText="1"/>
      <protection locked="0"/>
    </xf>
    <xf numFmtId="49" fontId="31" fillId="0" borderId="23" xfId="659" applyNumberFormat="1" applyFont="1" applyBorder="1">
      <alignment horizontal="center" vertical="top" wrapText="1"/>
    </xf>
    <xf numFmtId="49" fontId="9" fillId="0" borderId="33" xfId="546" applyNumberFormat="1" applyFont="1" applyBorder="1">
      <alignment horizontal="center" vertical="top" wrapText="1"/>
    </xf>
    <xf numFmtId="49" fontId="9" fillId="0" borderId="21" xfId="672" applyNumberFormat="1" applyFont="1" applyBorder="1">
      <alignment horizontal="center" vertical="top" wrapText="1"/>
    </xf>
    <xf numFmtId="49" fontId="9" fillId="11" borderId="12" xfId="660" applyNumberFormat="1" applyFont="1" applyFill="1" applyBorder="1">
      <alignment horizontal="left" vertical="center" wrapText="1" indent="1"/>
      <protection locked="0"/>
    </xf>
    <xf numFmtId="49" fontId="9" fillId="11" borderId="14" xfId="60" applyNumberFormat="1" applyFont="1" applyFill="1" applyBorder="1">
      <alignment horizontal="left" vertical="center" wrapText="1" indent="1"/>
      <protection locked="0"/>
    </xf>
    <xf numFmtId="0" fontId="5" fillId="13" borderId="14" xfId="676" applyFont="1" applyFill="1" applyBorder="1">
      <alignment horizontal="left" vertical="center" wrapText="1"/>
    </xf>
    <xf numFmtId="49" fontId="5" fillId="13" borderId="14" xfId="682" applyNumberFormat="1" applyFont="1" applyFill="1" applyBorder="1">
      <alignment horizontal="left" vertical="center" wrapText="1"/>
    </xf>
    <xf numFmtId="49" fontId="9" fillId="8" borderId="14" xfId="303" applyNumberFormat="1" applyFont="1" applyFill="1" applyBorder="1">
      <alignment horizontal="left" vertical="center" wrapText="1"/>
      <protection locked="0"/>
    </xf>
    <xf numFmtId="49" fontId="5" fillId="8" borderId="14" xfId="681" applyNumberFormat="1" applyFont="1" applyFill="1" applyBorder="1">
      <alignment horizontal="left" vertical="top"/>
      <protection locked="0"/>
    </xf>
    <xf numFmtId="0" fontId="9" fillId="13" borderId="23" xfId="703" applyFont="1" applyFill="1" applyBorder="1">
      <alignment horizontal="left" vertical="center" wrapText="1"/>
    </xf>
    <xf numFmtId="0" fontId="9" fillId="13" borderId="33" xfId="707" applyFont="1" applyFill="1" applyBorder="1">
      <alignment horizontal="left" vertical="center" wrapText="1"/>
    </xf>
    <xf numFmtId="49" fontId="9" fillId="13" borderId="23" xfId="704" applyNumberFormat="1" applyFont="1" applyFill="1" applyBorder="1">
      <alignment horizontal="left" vertical="center" wrapText="1"/>
    </xf>
    <xf numFmtId="49" fontId="9" fillId="0" borderId="33" xfId="698" applyNumberFormat="1" applyFont="1" applyBorder="1">
      <alignment horizontal="center" vertical="center"/>
    </xf>
    <xf numFmtId="0" fontId="9" fillId="0" borderId="20" xfId="700" applyFont="1" applyBorder="1">
      <alignment horizontal="center" vertical="center"/>
    </xf>
    <xf numFmtId="49" fontId="9" fillId="8" borderId="23" xfId="716" applyNumberFormat="1" applyFont="1" applyFill="1" applyBorder="1">
      <alignment horizontal="left" vertical="center" wrapText="1"/>
      <protection locked="0"/>
    </xf>
    <xf numFmtId="0" fontId="29" fillId="14" borderId="16" xfId="678" applyFont="1" applyFill="1" applyBorder="1">
      <alignment horizontal="left" vertical="center"/>
    </xf>
    <xf numFmtId="0" fontId="29" fillId="14" borderId="11" xfId="679" applyFont="1" applyFill="1" applyBorder="1">
      <alignment horizontal="left" vertical="center"/>
    </xf>
    <xf numFmtId="0" fontId="29" fillId="14" borderId="17" xfId="711" applyFont="1" applyFill="1" applyBorder="1">
      <alignment horizontal="left" vertical="center"/>
    </xf>
    <xf numFmtId="0" fontId="29" fillId="14" borderId="18" xfId="712" applyFont="1" applyFill="1" applyBorder="1">
      <alignment horizontal="left" vertical="center"/>
    </xf>
    <xf numFmtId="49" fontId="9" fillId="11" borderId="23" xfId="713" applyNumberFormat="1" applyFont="1" applyFill="1" applyBorder="1">
      <alignment horizontal="left" vertical="center" wrapText="1"/>
      <protection locked="0"/>
    </xf>
    <xf numFmtId="49" fontId="47" fillId="0" borderId="14" xfId="394" applyNumberFormat="1" applyFont="1" applyBorder="1">
      <alignment horizontal="center" vertical="top" wrapText="1"/>
    </xf>
    <xf numFmtId="0" fontId="47" fillId="16" borderId="14" xfId="405" applyFont="1" applyFill="1" applyBorder="1">
      <alignment horizontal="center" vertical="center" wrapText="1"/>
    </xf>
    <xf numFmtId="49" fontId="47" fillId="0" borderId="24" xfId="409" applyNumberFormat="1" applyFont="1" applyBorder="1">
      <alignment horizontal="center" vertical="top" wrapText="1"/>
    </xf>
    <xf numFmtId="49" fontId="47" fillId="0" borderId="26" xfId="412" applyNumberFormat="1" applyFont="1" applyBorder="1">
      <alignment horizontal="center" vertical="top" wrapText="1"/>
    </xf>
    <xf numFmtId="49" fontId="47" fillId="0" borderId="12" xfId="400" applyNumberFormat="1" applyFont="1" applyBorder="1">
      <alignment horizontal="center" vertical="top" wrapText="1"/>
    </xf>
    <xf numFmtId="49" fontId="47" fillId="0" borderId="16" xfId="401" applyNumberFormat="1" applyFont="1" applyBorder="1">
      <alignment horizontal="center" vertical="top" wrapText="1"/>
    </xf>
    <xf numFmtId="49" fontId="47" fillId="0" borderId="11" xfId="402" applyNumberFormat="1" applyFont="1" applyBorder="1">
      <alignment horizontal="center" vertical="top" wrapText="1"/>
    </xf>
    <xf numFmtId="49" fontId="47" fillId="0" borderId="23" xfId="406" applyNumberFormat="1" applyFont="1" applyBorder="1">
      <alignment horizontal="center" vertical="top" wrapText="1"/>
    </xf>
    <xf numFmtId="49" fontId="47" fillId="0" borderId="33" xfId="407" applyNumberFormat="1" applyFont="1" applyBorder="1">
      <alignment horizontal="center" vertical="top" wrapText="1"/>
    </xf>
    <xf numFmtId="49" fontId="47" fillId="0" borderId="21" xfId="411" applyNumberFormat="1" applyFont="1" applyBorder="1">
      <alignment horizontal="center" vertical="top" wrapText="1"/>
    </xf>
    <xf numFmtId="4" fontId="9" fillId="10" borderId="14" xfId="926" applyNumberFormat="1" applyFont="1" applyFill="1" applyBorder="1">
      <alignment horizontal="left" vertical="center" wrapText="1"/>
    </xf>
    <xf numFmtId="0" fontId="3" fillId="0" borderId="17" xfId="924" applyFont="1" applyBorder="1">
      <alignment horizontal="left" vertical="center" wrapText="1" indent="1"/>
    </xf>
    <xf numFmtId="0" fontId="3" fillId="0" borderId="36" xfId="925" applyFont="1" applyBorder="1">
      <alignment horizontal="left" vertical="center" wrapText="1" indent="1"/>
    </xf>
    <xf numFmtId="49" fontId="5" fillId="0" borderId="14" xfId="1226" applyNumberFormat="1" applyFont="1" applyBorder="1">
      <alignment horizontal="center" vertical="top"/>
    </xf>
    <xf numFmtId="49" fontId="5" fillId="0" borderId="12" xfId="1227" applyNumberFormat="1" applyFont="1" applyBorder="1">
      <alignment horizontal="center" vertical="top"/>
    </xf>
  </cellXfs>
  <cellStyles count="1250">
    <cellStyle name="s1" xfId="1"/>
    <cellStyle name="s10" xfId="10"/>
    <cellStyle name="s100" xfId="100"/>
    <cellStyle name="s1000" xfId="1000"/>
    <cellStyle name="s1001" xfId="1001"/>
    <cellStyle name="s1002" xfId="1002"/>
    <cellStyle name="s1003" xfId="1003"/>
    <cellStyle name="s1004" xfId="1004"/>
    <cellStyle name="s1005" xfId="1005"/>
    <cellStyle name="s1006" xfId="1006"/>
    <cellStyle name="s1007" xfId="1007"/>
    <cellStyle name="s1008" xfId="1008"/>
    <cellStyle name="s1009" xfId="1009"/>
    <cellStyle name="s101" xfId="101"/>
    <cellStyle name="s1010" xfId="1010"/>
    <cellStyle name="s1011" xfId="1011"/>
    <cellStyle name="s1012" xfId="1012"/>
    <cellStyle name="s1013" xfId="1013"/>
    <cellStyle name="s1014" xfId="1014"/>
    <cellStyle name="s1015" xfId="1015"/>
    <cellStyle name="s1016" xfId="1016"/>
    <cellStyle name="s1017" xfId="1017"/>
    <cellStyle name="s1018" xfId="1018"/>
    <cellStyle name="s1019" xfId="1019"/>
    <cellStyle name="s102" xfId="102"/>
    <cellStyle name="s1020" xfId="1020"/>
    <cellStyle name="s1021" xfId="1021"/>
    <cellStyle name="s1022" xfId="1022"/>
    <cellStyle name="s1023" xfId="1023"/>
    <cellStyle name="s1024" xfId="1024"/>
    <cellStyle name="s1025" xfId="1025"/>
    <cellStyle name="s1026" xfId="1026"/>
    <cellStyle name="s1027" xfId="1027"/>
    <cellStyle name="s1028" xfId="1028"/>
    <cellStyle name="s1029" xfId="1029"/>
    <cellStyle name="s103" xfId="103"/>
    <cellStyle name="s1030" xfId="1030"/>
    <cellStyle name="s1031" xfId="1031"/>
    <cellStyle name="s1032" xfId="1032"/>
    <cellStyle name="s1033" xfId="1033"/>
    <cellStyle name="s1034" xfId="1034"/>
    <cellStyle name="s1035" xfId="1035"/>
    <cellStyle name="s1036" xfId="1036"/>
    <cellStyle name="s1037" xfId="1037"/>
    <cellStyle name="s1038" xfId="1038"/>
    <cellStyle name="s1039" xfId="1039"/>
    <cellStyle name="s104" xfId="104"/>
    <cellStyle name="s1040" xfId="1040"/>
    <cellStyle name="s1041" xfId="1041"/>
    <cellStyle name="s1042" xfId="1042"/>
    <cellStyle name="s1043" xfId="1043"/>
    <cellStyle name="s1044" xfId="1044"/>
    <cellStyle name="s1045" xfId="1045"/>
    <cellStyle name="s1046" xfId="1046"/>
    <cellStyle name="s1047" xfId="1047"/>
    <cellStyle name="s1048" xfId="1048"/>
    <cellStyle name="s1049" xfId="1049"/>
    <cellStyle name="s105" xfId="105"/>
    <cellStyle name="s1050" xfId="1050"/>
    <cellStyle name="s1051" xfId="1051"/>
    <cellStyle name="s1052" xfId="1052"/>
    <cellStyle name="s1053" xfId="1053"/>
    <cellStyle name="s1054" xfId="1054"/>
    <cellStyle name="s1055" xfId="1055"/>
    <cellStyle name="s1056" xfId="1056"/>
    <cellStyle name="s1057" xfId="1057"/>
    <cellStyle name="s1058" xfId="1058"/>
    <cellStyle name="s1059" xfId="1059"/>
    <cellStyle name="s106" xfId="106"/>
    <cellStyle name="s1060" xfId="1060"/>
    <cellStyle name="s1061" xfId="1061"/>
    <cellStyle name="s1062" xfId="1062"/>
    <cellStyle name="s1063" xfId="1063"/>
    <cellStyle name="s1064" xfId="1064"/>
    <cellStyle name="s1065" xfId="1065"/>
    <cellStyle name="s1066" xfId="1066"/>
    <cellStyle name="s1067" xfId="1067"/>
    <cellStyle name="s1068" xfId="1068"/>
    <cellStyle name="s1069" xfId="1069"/>
    <cellStyle name="s107" xfId="107"/>
    <cellStyle name="s1070" xfId="1070"/>
    <cellStyle name="s1071" xfId="1071"/>
    <cellStyle name="s1072" xfId="1072"/>
    <cellStyle name="s1073" xfId="1073"/>
    <cellStyle name="s1074" xfId="1074"/>
    <cellStyle name="s1075" xfId="1075"/>
    <cellStyle name="s1076" xfId="1076"/>
    <cellStyle name="s1077" xfId="1077"/>
    <cellStyle name="s1078" xfId="1078"/>
    <cellStyle name="s1079" xfId="1079"/>
    <cellStyle name="s108" xfId="108"/>
    <cellStyle name="s1080" xfId="1080"/>
    <cellStyle name="s1081" xfId="1081"/>
    <cellStyle name="s1082" xfId="1082"/>
    <cellStyle name="s1083" xfId="1083"/>
    <cellStyle name="s1084" xfId="1084"/>
    <cellStyle name="s1085" xfId="1085"/>
    <cellStyle name="s1086" xfId="1086"/>
    <cellStyle name="s1087" xfId="1087"/>
    <cellStyle name="s1088" xfId="1088"/>
    <cellStyle name="s1089" xfId="1089"/>
    <cellStyle name="s109" xfId="109"/>
    <cellStyle name="s1090" xfId="1090"/>
    <cellStyle name="s1091" xfId="1091"/>
    <cellStyle name="s1092" xfId="1092"/>
    <cellStyle name="s1093" xfId="1093"/>
    <cellStyle name="s1094" xfId="1094"/>
    <cellStyle name="s1095" xfId="1095"/>
    <cellStyle name="s1096" xfId="1096"/>
    <cellStyle name="s1097" xfId="1097"/>
    <cellStyle name="s1098" xfId="1098"/>
    <cellStyle name="s1099" xfId="1099"/>
    <cellStyle name="s11" xfId="11"/>
    <cellStyle name="s110" xfId="110"/>
    <cellStyle name="s1100" xfId="1100"/>
    <cellStyle name="s1101" xfId="1101"/>
    <cellStyle name="s1102" xfId="1102"/>
    <cellStyle name="s1103" xfId="1103"/>
    <cellStyle name="s1104" xfId="1104"/>
    <cellStyle name="s1105" xfId="1105"/>
    <cellStyle name="s1106" xfId="1106"/>
    <cellStyle name="s1107" xfId="1107"/>
    <cellStyle name="s1108" xfId="1108"/>
    <cellStyle name="s1109" xfId="1109"/>
    <cellStyle name="s111" xfId="111"/>
    <cellStyle name="s1110" xfId="1110"/>
    <cellStyle name="s1111" xfId="1111"/>
    <cellStyle name="s1112" xfId="1112"/>
    <cellStyle name="s1113" xfId="1113"/>
    <cellStyle name="s1114" xfId="1114"/>
    <cellStyle name="s1115" xfId="1115"/>
    <cellStyle name="s1116" xfId="1116"/>
    <cellStyle name="s1117" xfId="1117"/>
    <cellStyle name="s1118" xfId="1118"/>
    <cellStyle name="s1119" xfId="1119"/>
    <cellStyle name="s112" xfId="112"/>
    <cellStyle name="s1120" xfId="1120"/>
    <cellStyle name="s1121" xfId="1121"/>
    <cellStyle name="s1122" xfId="1122"/>
    <cellStyle name="s1123" xfId="1123"/>
    <cellStyle name="s1124" xfId="1124"/>
    <cellStyle name="s1125" xfId="1125"/>
    <cellStyle name="s1126" xfId="1126"/>
    <cellStyle name="s1127" xfId="1127"/>
    <cellStyle name="s1128" xfId="1128"/>
    <cellStyle name="s1129" xfId="1129"/>
    <cellStyle name="s113" xfId="113"/>
    <cellStyle name="s1130" xfId="1130"/>
    <cellStyle name="s1131" xfId="1131"/>
    <cellStyle name="s1132" xfId="1132"/>
    <cellStyle name="s1133" xfId="1133"/>
    <cellStyle name="s1134" xfId="1134"/>
    <cellStyle name="s1135" xfId="1135"/>
    <cellStyle name="s1136" xfId="1136"/>
    <cellStyle name="s1137" xfId="1137"/>
    <cellStyle name="s1138" xfId="1138"/>
    <cellStyle name="s1139" xfId="1139"/>
    <cellStyle name="s114" xfId="114"/>
    <cellStyle name="s1140" xfId="1140"/>
    <cellStyle name="s1141" xfId="1141"/>
    <cellStyle name="s1142" xfId="1142"/>
    <cellStyle name="s1143" xfId="1143"/>
    <cellStyle name="s1144" xfId="1144"/>
    <cellStyle name="s1145" xfId="1145"/>
    <cellStyle name="s1146" xfId="1146"/>
    <cellStyle name="s1147" xfId="1147"/>
    <cellStyle name="s1148" xfId="1148"/>
    <cellStyle name="s1149" xfId="1149"/>
    <cellStyle name="s115" xfId="115"/>
    <cellStyle name="s1150" xfId="1150"/>
    <cellStyle name="s1151" xfId="1151"/>
    <cellStyle name="s1152" xfId="1152"/>
    <cellStyle name="s1153" xfId="1153"/>
    <cellStyle name="s1154" xfId="1154"/>
    <cellStyle name="s1155" xfId="1155"/>
    <cellStyle name="s1156" xfId="1156"/>
    <cellStyle name="s1157" xfId="1157"/>
    <cellStyle name="s1158" xfId="1158"/>
    <cellStyle name="s1159" xfId="1159"/>
    <cellStyle name="s116" xfId="116"/>
    <cellStyle name="s1160" xfId="1160"/>
    <cellStyle name="s1161" xfId="1161"/>
    <cellStyle name="s1162" xfId="1162"/>
    <cellStyle name="s1163" xfId="1163"/>
    <cellStyle name="s1164" xfId="1164"/>
    <cellStyle name="s1165" xfId="1165"/>
    <cellStyle name="s1166" xfId="1166"/>
    <cellStyle name="s1167" xfId="1167"/>
    <cellStyle name="s1168" xfId="1168"/>
    <cellStyle name="s1169" xfId="1169"/>
    <cellStyle name="s117" xfId="117"/>
    <cellStyle name="s1170" xfId="1170"/>
    <cellStyle name="s1171" xfId="1171"/>
    <cellStyle name="s1172" xfId="1172"/>
    <cellStyle name="s1173" xfId="1173"/>
    <cellStyle name="s1174" xfId="1174"/>
    <cellStyle name="s1175" xfId="1175"/>
    <cellStyle name="s1176" xfId="1176"/>
    <cellStyle name="s1177" xfId="1177"/>
    <cellStyle name="s1178" xfId="1178"/>
    <cellStyle name="s1179" xfId="1179"/>
    <cellStyle name="s118" xfId="118"/>
    <cellStyle name="s1180" xfId="1180"/>
    <cellStyle name="s1181" xfId="1181"/>
    <cellStyle name="s1182" xfId="1182"/>
    <cellStyle name="s1183" xfId="1183"/>
    <cellStyle name="s1184" xfId="1184"/>
    <cellStyle name="s1185" xfId="1185"/>
    <cellStyle name="s1186" xfId="1186"/>
    <cellStyle name="s1187" xfId="1187"/>
    <cellStyle name="s1188" xfId="1188"/>
    <cellStyle name="s1189" xfId="1189"/>
    <cellStyle name="s119" xfId="119"/>
    <cellStyle name="s1190" xfId="1190"/>
    <cellStyle name="s1191" xfId="1191"/>
    <cellStyle name="s1192" xfId="1192"/>
    <cellStyle name="s1193" xfId="1193"/>
    <cellStyle name="s1194" xfId="1194"/>
    <cellStyle name="s1195" xfId="1195"/>
    <cellStyle name="s1196" xfId="1196"/>
    <cellStyle name="s1197" xfId="1197"/>
    <cellStyle name="s1198" xfId="1198"/>
    <cellStyle name="s1199" xfId="1199"/>
    <cellStyle name="s12" xfId="12"/>
    <cellStyle name="s120" xfId="120"/>
    <cellStyle name="s1200" xfId="1200"/>
    <cellStyle name="s1201" xfId="1201"/>
    <cellStyle name="s1202" xfId="1202"/>
    <cellStyle name="s1203" xfId="1203"/>
    <cellStyle name="s1204" xfId="1204"/>
    <cellStyle name="s1205" xfId="1205"/>
    <cellStyle name="s1206" xfId="1206"/>
    <cellStyle name="s1207" xfId="1207"/>
    <cellStyle name="s1208" xfId="1208"/>
    <cellStyle name="s1209" xfId="1209"/>
    <cellStyle name="s121" xfId="121"/>
    <cellStyle name="s1210" xfId="1210"/>
    <cellStyle name="s1211" xfId="1211"/>
    <cellStyle name="s1212" xfId="1212"/>
    <cellStyle name="s1213" xfId="1213"/>
    <cellStyle name="s1214" xfId="1214"/>
    <cellStyle name="s1215" xfId="1215"/>
    <cellStyle name="s1216" xfId="1216"/>
    <cellStyle name="s1217" xfId="1217"/>
    <cellStyle name="s1218" xfId="1218"/>
    <cellStyle name="s1219" xfId="1219"/>
    <cellStyle name="s122" xfId="122"/>
    <cellStyle name="s1220" xfId="1220"/>
    <cellStyle name="s1221" xfId="1221"/>
    <cellStyle name="s1222" xfId="1222"/>
    <cellStyle name="s1223" xfId="1223"/>
    <cellStyle name="s1224" xfId="1224"/>
    <cellStyle name="s1225" xfId="1225"/>
    <cellStyle name="s1226" xfId="1226"/>
    <cellStyle name="s1227" xfId="1227"/>
    <cellStyle name="s1228" xfId="1228"/>
    <cellStyle name="s1229" xfId="1229"/>
    <cellStyle name="s123" xfId="123"/>
    <cellStyle name="s1230" xfId="1230"/>
    <cellStyle name="s1231" xfId="1231"/>
    <cellStyle name="s1232" xfId="1232"/>
    <cellStyle name="s1233" xfId="1233"/>
    <cellStyle name="s1234" xfId="1234"/>
    <cellStyle name="s1235" xfId="1235"/>
    <cellStyle name="s1236" xfId="1236"/>
    <cellStyle name="s1237" xfId="1237"/>
    <cellStyle name="s1238" xfId="1238"/>
    <cellStyle name="s1239" xfId="1239"/>
    <cellStyle name="s124" xfId="124"/>
    <cellStyle name="s1240" xfId="1240"/>
    <cellStyle name="s1241" xfId="1241"/>
    <cellStyle name="s1242" xfId="1242"/>
    <cellStyle name="s1243" xfId="1243"/>
    <cellStyle name="s1244" xfId="1244"/>
    <cellStyle name="s1245" xfId="1245"/>
    <cellStyle name="s1246" xfId="1246"/>
    <cellStyle name="s1247" xfId="1247"/>
    <cellStyle name="s1248" xfId="1248"/>
    <cellStyle name="s1249" xfId="1249"/>
    <cellStyle name="s125" xfId="125"/>
    <cellStyle name="s126" xfId="126"/>
    <cellStyle name="s127" xfId="127"/>
    <cellStyle name="s128" xfId="128"/>
    <cellStyle name="s129" xfId="129"/>
    <cellStyle name="s13" xfId="13"/>
    <cellStyle name="s130" xfId="130"/>
    <cellStyle name="s131" xfId="131"/>
    <cellStyle name="s132" xfId="132"/>
    <cellStyle name="s133" xfId="133"/>
    <cellStyle name="s134" xfId="134"/>
    <cellStyle name="s135" xfId="135"/>
    <cellStyle name="s136" xfId="136"/>
    <cellStyle name="s137" xfId="137"/>
    <cellStyle name="s138" xfId="138"/>
    <cellStyle name="s139" xfId="139"/>
    <cellStyle name="s14" xfId="14"/>
    <cellStyle name="s140" xfId="140"/>
    <cellStyle name="s141" xfId="141"/>
    <cellStyle name="s142" xfId="142"/>
    <cellStyle name="s143" xfId="143"/>
    <cellStyle name="s144" xfId="144"/>
    <cellStyle name="s145" xfId="145"/>
    <cellStyle name="s146" xfId="146"/>
    <cellStyle name="s147" xfId="147"/>
    <cellStyle name="s148" xfId="148"/>
    <cellStyle name="s149" xfId="149"/>
    <cellStyle name="s15" xfId="15"/>
    <cellStyle name="s150" xfId="150"/>
    <cellStyle name="s151" xfId="151"/>
    <cellStyle name="s152" xfId="152"/>
    <cellStyle name="s153" xfId="153"/>
    <cellStyle name="s154" xfId="154"/>
    <cellStyle name="s155" xfId="155"/>
    <cellStyle name="s156" xfId="156"/>
    <cellStyle name="s157" xfId="157"/>
    <cellStyle name="s158" xfId="158"/>
    <cellStyle name="s159" xfId="159"/>
    <cellStyle name="s16" xfId="16"/>
    <cellStyle name="s160" xfId="160"/>
    <cellStyle name="s161" xfId="161"/>
    <cellStyle name="s162" xfId="162"/>
    <cellStyle name="s163" xfId="163"/>
    <cellStyle name="s164" xfId="164"/>
    <cellStyle name="s165" xfId="165"/>
    <cellStyle name="s166" xfId="166"/>
    <cellStyle name="s167" xfId="167"/>
    <cellStyle name="s168" xfId="168"/>
    <cellStyle name="s169" xfId="169"/>
    <cellStyle name="s17" xfId="17"/>
    <cellStyle name="s170" xfId="170"/>
    <cellStyle name="s171" xfId="171"/>
    <cellStyle name="s172" xfId="172"/>
    <cellStyle name="s173" xfId="173"/>
    <cellStyle name="s174" xfId="174"/>
    <cellStyle name="s175" xfId="175"/>
    <cellStyle name="s176" xfId="176"/>
    <cellStyle name="s177" xfId="177"/>
    <cellStyle name="s178" xfId="178"/>
    <cellStyle name="s179" xfId="179"/>
    <cellStyle name="s18" xfId="18"/>
    <cellStyle name="s180" xfId="180"/>
    <cellStyle name="s181" xfId="181"/>
    <cellStyle name="s182" xfId="182"/>
    <cellStyle name="s183" xfId="183"/>
    <cellStyle name="s184" xfId="184"/>
    <cellStyle name="s185" xfId="185"/>
    <cellStyle name="s186" xfId="186"/>
    <cellStyle name="s187" xfId="187"/>
    <cellStyle name="s188" xfId="188"/>
    <cellStyle name="s189" xfId="189"/>
    <cellStyle name="s19" xfId="19"/>
    <cellStyle name="s190" xfId="190"/>
    <cellStyle name="s191" xfId="191"/>
    <cellStyle name="s192" xfId="192"/>
    <cellStyle name="s193" xfId="193"/>
    <cellStyle name="s194" xfId="194"/>
    <cellStyle name="s195" xfId="195"/>
    <cellStyle name="s196" xfId="196"/>
    <cellStyle name="s197" xfId="197"/>
    <cellStyle name="s198" xfId="198"/>
    <cellStyle name="s199" xfId="199"/>
    <cellStyle name="s2" xfId="2"/>
    <cellStyle name="s20" xfId="20"/>
    <cellStyle name="s200" xfId="200"/>
    <cellStyle name="s201" xfId="201"/>
    <cellStyle name="s202" xfId="202"/>
    <cellStyle name="s203" xfId="203"/>
    <cellStyle name="s204" xfId="204"/>
    <cellStyle name="s205" xfId="205"/>
    <cellStyle name="s206" xfId="206"/>
    <cellStyle name="s207" xfId="207"/>
    <cellStyle name="s208" xfId="208"/>
    <cellStyle name="s209" xfId="209"/>
    <cellStyle name="s21" xfId="21"/>
    <cellStyle name="s210" xfId="210"/>
    <cellStyle name="s211" xfId="211"/>
    <cellStyle name="s212" xfId="212"/>
    <cellStyle name="s213" xfId="213"/>
    <cellStyle name="s214" xfId="214"/>
    <cellStyle name="s215" xfId="215"/>
    <cellStyle name="s216" xfId="216"/>
    <cellStyle name="s217" xfId="217"/>
    <cellStyle name="s218" xfId="218"/>
    <cellStyle name="s219" xfId="219"/>
    <cellStyle name="s22" xfId="22"/>
    <cellStyle name="s220" xfId="220"/>
    <cellStyle name="s221" xfId="221"/>
    <cellStyle name="s222" xfId="222"/>
    <cellStyle name="s223" xfId="223"/>
    <cellStyle name="s224" xfId="224"/>
    <cellStyle name="s225" xfId="225"/>
    <cellStyle name="s226" xfId="226"/>
    <cellStyle name="s227" xfId="227"/>
    <cellStyle name="s228" xfId="228"/>
    <cellStyle name="s229" xfId="229"/>
    <cellStyle name="s23" xfId="23"/>
    <cellStyle name="s230" xfId="230"/>
    <cellStyle name="s231" xfId="231"/>
    <cellStyle name="s232" xfId="232"/>
    <cellStyle name="s233" xfId="233"/>
    <cellStyle name="s234" xfId="234"/>
    <cellStyle name="s235" xfId="235"/>
    <cellStyle name="s236" xfId="236"/>
    <cellStyle name="s237" xfId="237"/>
    <cellStyle name="s238" xfId="238"/>
    <cellStyle name="s239" xfId="239"/>
    <cellStyle name="s24" xfId="24"/>
    <cellStyle name="s240" xfId="240"/>
    <cellStyle name="s241" xfId="241"/>
    <cellStyle name="s242" xfId="242"/>
    <cellStyle name="s243" xfId="243"/>
    <cellStyle name="s244" xfId="244"/>
    <cellStyle name="s245" xfId="245"/>
    <cellStyle name="s246" xfId="246"/>
    <cellStyle name="s247" xfId="247"/>
    <cellStyle name="s248" xfId="248"/>
    <cellStyle name="s249" xfId="249"/>
    <cellStyle name="s25" xfId="25"/>
    <cellStyle name="s250" xfId="250"/>
    <cellStyle name="s251" xfId="251"/>
    <cellStyle name="s252" xfId="252"/>
    <cellStyle name="s253" xfId="253"/>
    <cellStyle name="s254" xfId="254"/>
    <cellStyle name="s255" xfId="255"/>
    <cellStyle name="s256" xfId="256"/>
    <cellStyle name="s257" xfId="257"/>
    <cellStyle name="s258" xfId="258"/>
    <cellStyle name="s259" xfId="259"/>
    <cellStyle name="s26" xfId="26"/>
    <cellStyle name="s260" xfId="260"/>
    <cellStyle name="s261" xfId="261"/>
    <cellStyle name="s262" xfId="262"/>
    <cellStyle name="s263" xfId="263"/>
    <cellStyle name="s264" xfId="264"/>
    <cellStyle name="s265" xfId="265"/>
    <cellStyle name="s266" xfId="266"/>
    <cellStyle name="s267" xfId="267"/>
    <cellStyle name="s268" xfId="268"/>
    <cellStyle name="s269" xfId="269"/>
    <cellStyle name="s27" xfId="27"/>
    <cellStyle name="s270" xfId="270"/>
    <cellStyle name="s271" xfId="271"/>
    <cellStyle name="s272" xfId="272"/>
    <cellStyle name="s273" xfId="273"/>
    <cellStyle name="s274" xfId="274"/>
    <cellStyle name="s275" xfId="275"/>
    <cellStyle name="s276" xfId="276"/>
    <cellStyle name="s277" xfId="277"/>
    <cellStyle name="s278" xfId="278"/>
    <cellStyle name="s279" xfId="279"/>
    <cellStyle name="s28" xfId="28"/>
    <cellStyle name="s280" xfId="280"/>
    <cellStyle name="s281" xfId="281"/>
    <cellStyle name="s282" xfId="282"/>
    <cellStyle name="s283" xfId="283"/>
    <cellStyle name="s284" xfId="284"/>
    <cellStyle name="s285" xfId="285"/>
    <cellStyle name="s286" xfId="286"/>
    <cellStyle name="s287" xfId="287"/>
    <cellStyle name="s288" xfId="288"/>
    <cellStyle name="s289" xfId="289"/>
    <cellStyle name="s29" xfId="29"/>
    <cellStyle name="s290" xfId="290"/>
    <cellStyle name="s291" xfId="291"/>
    <cellStyle name="s292" xfId="292"/>
    <cellStyle name="s293" xfId="293"/>
    <cellStyle name="s294" xfId="294"/>
    <cellStyle name="s295" xfId="295"/>
    <cellStyle name="s296" xfId="296"/>
    <cellStyle name="s297" xfId="297"/>
    <cellStyle name="s298" xfId="298"/>
    <cellStyle name="s299" xfId="299"/>
    <cellStyle name="s3" xfId="3"/>
    <cellStyle name="s30" xfId="30"/>
    <cellStyle name="s300" xfId="300"/>
    <cellStyle name="s301" xfId="301"/>
    <cellStyle name="s302" xfId="302"/>
    <cellStyle name="s303" xfId="303"/>
    <cellStyle name="s304" xfId="304"/>
    <cellStyle name="s305" xfId="305"/>
    <cellStyle name="s306" xfId="306"/>
    <cellStyle name="s307" xfId="307"/>
    <cellStyle name="s308" xfId="308"/>
    <cellStyle name="s309" xfId="309"/>
    <cellStyle name="s31" xfId="31"/>
    <cellStyle name="s310" xfId="310"/>
    <cellStyle name="s311" xfId="311"/>
    <cellStyle name="s312" xfId="312"/>
    <cellStyle name="s313" xfId="313"/>
    <cellStyle name="s314" xfId="314"/>
    <cellStyle name="s315" xfId="315"/>
    <cellStyle name="s316" xfId="316"/>
    <cellStyle name="s317" xfId="317"/>
    <cellStyle name="s318" xfId="318"/>
    <cellStyle name="s319" xfId="319"/>
    <cellStyle name="s32" xfId="32"/>
    <cellStyle name="s320" xfId="320"/>
    <cellStyle name="s321" xfId="321"/>
    <cellStyle name="s322" xfId="322"/>
    <cellStyle name="s323" xfId="323"/>
    <cellStyle name="s324" xfId="324"/>
    <cellStyle name="s325" xfId="325"/>
    <cellStyle name="s326" xfId="326"/>
    <cellStyle name="s327" xfId="327"/>
    <cellStyle name="s328" xfId="328"/>
    <cellStyle name="s329" xfId="329"/>
    <cellStyle name="s33" xfId="33"/>
    <cellStyle name="s330" xfId="330"/>
    <cellStyle name="s331" xfId="331"/>
    <cellStyle name="s332" xfId="332"/>
    <cellStyle name="s333" xfId="333"/>
    <cellStyle name="s334" xfId="334"/>
    <cellStyle name="s335" xfId="335"/>
    <cellStyle name="s336" xfId="336"/>
    <cellStyle name="s337" xfId="337"/>
    <cellStyle name="s338" xfId="338"/>
    <cellStyle name="s339" xfId="339"/>
    <cellStyle name="s34" xfId="34"/>
    <cellStyle name="s340" xfId="340"/>
    <cellStyle name="s341" xfId="341"/>
    <cellStyle name="s342" xfId="342"/>
    <cellStyle name="s343" xfId="343"/>
    <cellStyle name="s344" xfId="344"/>
    <cellStyle name="s345" xfId="345"/>
    <cellStyle name="s346" xfId="346"/>
    <cellStyle name="s347" xfId="347"/>
    <cellStyle name="s348" xfId="348"/>
    <cellStyle name="s349" xfId="349"/>
    <cellStyle name="s35" xfId="35"/>
    <cellStyle name="s350" xfId="350"/>
    <cellStyle name="s351" xfId="351"/>
    <cellStyle name="s352" xfId="352"/>
    <cellStyle name="s353" xfId="353"/>
    <cellStyle name="s354" xfId="354"/>
    <cellStyle name="s355" xfId="355"/>
    <cellStyle name="s356" xfId="356"/>
    <cellStyle name="s357" xfId="357"/>
    <cellStyle name="s358" xfId="358"/>
    <cellStyle name="s359" xfId="359"/>
    <cellStyle name="s36" xfId="36"/>
    <cellStyle name="s360" xfId="360"/>
    <cellStyle name="s361" xfId="361"/>
    <cellStyle name="s362" xfId="362"/>
    <cellStyle name="s363" xfId="363"/>
    <cellStyle name="s364" xfId="364"/>
    <cellStyle name="s365" xfId="365"/>
    <cellStyle name="s366" xfId="366"/>
    <cellStyle name="s367" xfId="367"/>
    <cellStyle name="s368" xfId="368"/>
    <cellStyle name="s369" xfId="369"/>
    <cellStyle name="s37" xfId="37"/>
    <cellStyle name="s370" xfId="370"/>
    <cellStyle name="s371" xfId="371"/>
    <cellStyle name="s372" xfId="372"/>
    <cellStyle name="s373" xfId="373"/>
    <cellStyle name="s374" xfId="374"/>
    <cellStyle name="s375" xfId="375"/>
    <cellStyle name="s376" xfId="376"/>
    <cellStyle name="s377" xfId="377"/>
    <cellStyle name="s378" xfId="378"/>
    <cellStyle name="s379" xfId="379"/>
    <cellStyle name="s38" xfId="38"/>
    <cellStyle name="s380" xfId="380"/>
    <cellStyle name="s381" xfId="381"/>
    <cellStyle name="s382" xfId="382"/>
    <cellStyle name="s383" xfId="383"/>
    <cellStyle name="s384" xfId="384"/>
    <cellStyle name="s385" xfId="385"/>
    <cellStyle name="s386" xfId="386"/>
    <cellStyle name="s387" xfId="387"/>
    <cellStyle name="s388" xfId="388"/>
    <cellStyle name="s389" xfId="389"/>
    <cellStyle name="s39" xfId="39"/>
    <cellStyle name="s390" xfId="390"/>
    <cellStyle name="s391" xfId="391"/>
    <cellStyle name="s392" xfId="392"/>
    <cellStyle name="s393" xfId="393"/>
    <cellStyle name="s394" xfId="394"/>
    <cellStyle name="s395" xfId="395"/>
    <cellStyle name="s396" xfId="396"/>
    <cellStyle name="s397" xfId="397"/>
    <cellStyle name="s398" xfId="398"/>
    <cellStyle name="s399" xfId="399"/>
    <cellStyle name="s4" xfId="4"/>
    <cellStyle name="s40" xfId="40"/>
    <cellStyle name="s400" xfId="400"/>
    <cellStyle name="s401" xfId="401"/>
    <cellStyle name="s402" xfId="402"/>
    <cellStyle name="s403" xfId="403"/>
    <cellStyle name="s404" xfId="404"/>
    <cellStyle name="s405" xfId="405"/>
    <cellStyle name="s406" xfId="406"/>
    <cellStyle name="s407" xfId="407"/>
    <cellStyle name="s408" xfId="408"/>
    <cellStyle name="s409" xfId="409"/>
    <cellStyle name="s41" xfId="41"/>
    <cellStyle name="s410" xfId="410"/>
    <cellStyle name="s411" xfId="411"/>
    <cellStyle name="s412" xfId="412"/>
    <cellStyle name="s413" xfId="413"/>
    <cellStyle name="s414" xfId="414"/>
    <cellStyle name="s415" xfId="415"/>
    <cellStyle name="s416" xfId="416"/>
    <cellStyle name="s417" xfId="417"/>
    <cellStyle name="s418" xfId="418"/>
    <cellStyle name="s419" xfId="419"/>
    <cellStyle name="s42" xfId="42"/>
    <cellStyle name="s420" xfId="420"/>
    <cellStyle name="s421" xfId="421"/>
    <cellStyle name="s422" xfId="422"/>
    <cellStyle name="s423" xfId="423"/>
    <cellStyle name="s424" xfId="424"/>
    <cellStyle name="s425" xfId="425"/>
    <cellStyle name="s426" xfId="426"/>
    <cellStyle name="s427" xfId="427"/>
    <cellStyle name="s428" xfId="428"/>
    <cellStyle name="s429" xfId="429"/>
    <cellStyle name="s43" xfId="43"/>
    <cellStyle name="s430" xfId="430"/>
    <cellStyle name="s431" xfId="431"/>
    <cellStyle name="s432" xfId="432"/>
    <cellStyle name="s433" xfId="433"/>
    <cellStyle name="s434" xfId="434"/>
    <cellStyle name="s435" xfId="435"/>
    <cellStyle name="s436" xfId="436"/>
    <cellStyle name="s437" xfId="437"/>
    <cellStyle name="s438" xfId="438"/>
    <cellStyle name="s439" xfId="439"/>
    <cellStyle name="s44" xfId="44"/>
    <cellStyle name="s440" xfId="440"/>
    <cellStyle name="s441" xfId="441"/>
    <cellStyle name="s442" xfId="442"/>
    <cellStyle name="s443" xfId="443"/>
    <cellStyle name="s444" xfId="444"/>
    <cellStyle name="s445" xfId="445"/>
    <cellStyle name="s446" xfId="446"/>
    <cellStyle name="s447" xfId="447"/>
    <cellStyle name="s448" xfId="448"/>
    <cellStyle name="s449" xfId="449"/>
    <cellStyle name="s45" xfId="45"/>
    <cellStyle name="s450" xfId="450"/>
    <cellStyle name="s451" xfId="451"/>
    <cellStyle name="s452" xfId="452"/>
    <cellStyle name="s453" xfId="453"/>
    <cellStyle name="s454" xfId="454"/>
    <cellStyle name="s455" xfId="455"/>
    <cellStyle name="s456" xfId="456"/>
    <cellStyle name="s457" xfId="457"/>
    <cellStyle name="s458" xfId="458"/>
    <cellStyle name="s459" xfId="459"/>
    <cellStyle name="s46" xfId="46"/>
    <cellStyle name="s460" xfId="460"/>
    <cellStyle name="s461" xfId="461"/>
    <cellStyle name="s462" xfId="462"/>
    <cellStyle name="s463" xfId="463"/>
    <cellStyle name="s464" xfId="464"/>
    <cellStyle name="s465" xfId="465"/>
    <cellStyle name="s466" xfId="466"/>
    <cellStyle name="s467" xfId="467"/>
    <cellStyle name="s468" xfId="468"/>
    <cellStyle name="s469" xfId="469"/>
    <cellStyle name="s47" xfId="47"/>
    <cellStyle name="s470" xfId="470"/>
    <cellStyle name="s471" xfId="471"/>
    <cellStyle name="s472" xfId="472"/>
    <cellStyle name="s473" xfId="473"/>
    <cellStyle name="s474" xfId="474"/>
    <cellStyle name="s475" xfId="475"/>
    <cellStyle name="s476" xfId="476"/>
    <cellStyle name="s477" xfId="477"/>
    <cellStyle name="s478" xfId="478"/>
    <cellStyle name="s479" xfId="479"/>
    <cellStyle name="s48" xfId="48"/>
    <cellStyle name="s480" xfId="480"/>
    <cellStyle name="s481" xfId="481"/>
    <cellStyle name="s482" xfId="482"/>
    <cellStyle name="s483" xfId="483"/>
    <cellStyle name="s484" xfId="484"/>
    <cellStyle name="s485" xfId="485"/>
    <cellStyle name="s486" xfId="486"/>
    <cellStyle name="s487" xfId="487"/>
    <cellStyle name="s488" xfId="488"/>
    <cellStyle name="s489" xfId="489"/>
    <cellStyle name="s49" xfId="49"/>
    <cellStyle name="s490" xfId="490"/>
    <cellStyle name="s491" xfId="491"/>
    <cellStyle name="s492" xfId="492"/>
    <cellStyle name="s493" xfId="493"/>
    <cellStyle name="s494" xfId="494"/>
    <cellStyle name="s495" xfId="495"/>
    <cellStyle name="s496" xfId="496"/>
    <cellStyle name="s497" xfId="497"/>
    <cellStyle name="s498" xfId="498"/>
    <cellStyle name="s499" xfId="499"/>
    <cellStyle name="s5" xfId="5"/>
    <cellStyle name="s50" xfId="50"/>
    <cellStyle name="s500" xfId="500"/>
    <cellStyle name="s501" xfId="501"/>
    <cellStyle name="s502" xfId="502"/>
    <cellStyle name="s503" xfId="503"/>
    <cellStyle name="s504" xfId="504"/>
    <cellStyle name="s505" xfId="505"/>
    <cellStyle name="s506" xfId="506"/>
    <cellStyle name="s507" xfId="507"/>
    <cellStyle name="s508" xfId="508"/>
    <cellStyle name="s509" xfId="509"/>
    <cellStyle name="s51" xfId="51"/>
    <cellStyle name="s510" xfId="510"/>
    <cellStyle name="s511" xfId="511"/>
    <cellStyle name="s512" xfId="512"/>
    <cellStyle name="s513" xfId="513"/>
    <cellStyle name="s514" xfId="514"/>
    <cellStyle name="s515" xfId="515"/>
    <cellStyle name="s516" xfId="516"/>
    <cellStyle name="s517" xfId="517"/>
    <cellStyle name="s518" xfId="518"/>
    <cellStyle name="s519" xfId="519"/>
    <cellStyle name="s52" xfId="52"/>
    <cellStyle name="s520" xfId="520"/>
    <cellStyle name="s521" xfId="521"/>
    <cellStyle name="s522" xfId="522"/>
    <cellStyle name="s523" xfId="523"/>
    <cellStyle name="s524" xfId="524"/>
    <cellStyle name="s525" xfId="525"/>
    <cellStyle name="s526" xfId="526"/>
    <cellStyle name="s527" xfId="527"/>
    <cellStyle name="s528" xfId="528"/>
    <cellStyle name="s529" xfId="529"/>
    <cellStyle name="s53" xfId="53"/>
    <cellStyle name="s530" xfId="530"/>
    <cellStyle name="s531" xfId="531"/>
    <cellStyle name="s532" xfId="532"/>
    <cellStyle name="s533" xfId="533"/>
    <cellStyle name="s534" xfId="534"/>
    <cellStyle name="s535" xfId="535"/>
    <cellStyle name="s536" xfId="536"/>
    <cellStyle name="s537" xfId="537"/>
    <cellStyle name="s538" xfId="538"/>
    <cellStyle name="s539" xfId="539"/>
    <cellStyle name="s54" xfId="54"/>
    <cellStyle name="s540" xfId="540"/>
    <cellStyle name="s541" xfId="541"/>
    <cellStyle name="s542" xfId="542"/>
    <cellStyle name="s543" xfId="543"/>
    <cellStyle name="s544" xfId="544"/>
    <cellStyle name="s545" xfId="545"/>
    <cellStyle name="s546" xfId="546"/>
    <cellStyle name="s547" xfId="547"/>
    <cellStyle name="s548" xfId="548"/>
    <cellStyle name="s549" xfId="549"/>
    <cellStyle name="s55" xfId="55"/>
    <cellStyle name="s550" xfId="550"/>
    <cellStyle name="s551" xfId="551"/>
    <cellStyle name="s552" xfId="552"/>
    <cellStyle name="s553" xfId="553"/>
    <cellStyle name="s554" xfId="554"/>
    <cellStyle name="s555" xfId="555"/>
    <cellStyle name="s556" xfId="556"/>
    <cellStyle name="s557" xfId="557"/>
    <cellStyle name="s558" xfId="558"/>
    <cellStyle name="s559" xfId="559"/>
    <cellStyle name="s56" xfId="56"/>
    <cellStyle name="s560" xfId="560"/>
    <cellStyle name="s561" xfId="561"/>
    <cellStyle name="s562" xfId="562"/>
    <cellStyle name="s563" xfId="563"/>
    <cellStyle name="s564" xfId="564"/>
    <cellStyle name="s565" xfId="565"/>
    <cellStyle name="s566" xfId="566"/>
    <cellStyle name="s567" xfId="567"/>
    <cellStyle name="s568" xfId="568"/>
    <cellStyle name="s569" xfId="569"/>
    <cellStyle name="s57" xfId="57"/>
    <cellStyle name="s570" xfId="570"/>
    <cellStyle name="s571" xfId="571"/>
    <cellStyle name="s572" xfId="572"/>
    <cellStyle name="s573" xfId="573"/>
    <cellStyle name="s574" xfId="574"/>
    <cellStyle name="s575" xfId="575"/>
    <cellStyle name="s576" xfId="576"/>
    <cellStyle name="s577" xfId="577"/>
    <cellStyle name="s578" xfId="578"/>
    <cellStyle name="s579" xfId="579"/>
    <cellStyle name="s58" xfId="58"/>
    <cellStyle name="s580" xfId="580"/>
    <cellStyle name="s581" xfId="581"/>
    <cellStyle name="s582" xfId="582"/>
    <cellStyle name="s583" xfId="583"/>
    <cellStyle name="s584" xfId="584"/>
    <cellStyle name="s585" xfId="585"/>
    <cellStyle name="s586" xfId="586"/>
    <cellStyle name="s587" xfId="587"/>
    <cellStyle name="s588" xfId="588"/>
    <cellStyle name="s589" xfId="589"/>
    <cellStyle name="s59" xfId="59"/>
    <cellStyle name="s590" xfId="590"/>
    <cellStyle name="s591" xfId="591"/>
    <cellStyle name="s592" xfId="592"/>
    <cellStyle name="s593" xfId="593"/>
    <cellStyle name="s594" xfId="594"/>
    <cellStyle name="s595" xfId="595"/>
    <cellStyle name="s596" xfId="596"/>
    <cellStyle name="s597" xfId="597"/>
    <cellStyle name="s598" xfId="598"/>
    <cellStyle name="s599" xfId="599"/>
    <cellStyle name="s6" xfId="6"/>
    <cellStyle name="s60" xfId="60"/>
    <cellStyle name="s600" xfId="600"/>
    <cellStyle name="s601" xfId="601"/>
    <cellStyle name="s602" xfId="602"/>
    <cellStyle name="s603" xfId="603"/>
    <cellStyle name="s604" xfId="604"/>
    <cellStyle name="s605" xfId="605"/>
    <cellStyle name="s606" xfId="606"/>
    <cellStyle name="s607" xfId="607"/>
    <cellStyle name="s608" xfId="608"/>
    <cellStyle name="s609" xfId="609"/>
    <cellStyle name="s61" xfId="61"/>
    <cellStyle name="s610" xfId="610"/>
    <cellStyle name="s611" xfId="611"/>
    <cellStyle name="s612" xfId="612"/>
    <cellStyle name="s613" xfId="613"/>
    <cellStyle name="s614" xfId="614"/>
    <cellStyle name="s615" xfId="615"/>
    <cellStyle name="s616" xfId="616"/>
    <cellStyle name="s617" xfId="617"/>
    <cellStyle name="s618" xfId="618"/>
    <cellStyle name="s619" xfId="619"/>
    <cellStyle name="s62" xfId="62"/>
    <cellStyle name="s620" xfId="620"/>
    <cellStyle name="s621" xfId="621"/>
    <cellStyle name="s622" xfId="622"/>
    <cellStyle name="s623" xfId="623"/>
    <cellStyle name="s624" xfId="624"/>
    <cellStyle name="s625" xfId="625"/>
    <cellStyle name="s626" xfId="626"/>
    <cellStyle name="s627" xfId="627"/>
    <cellStyle name="s628" xfId="628"/>
    <cellStyle name="s629" xfId="629"/>
    <cellStyle name="s63" xfId="63"/>
    <cellStyle name="s630" xfId="630"/>
    <cellStyle name="s631" xfId="631"/>
    <cellStyle name="s632" xfId="632"/>
    <cellStyle name="s633" xfId="633"/>
    <cellStyle name="s634" xfId="634"/>
    <cellStyle name="s635" xfId="635"/>
    <cellStyle name="s636" xfId="636"/>
    <cellStyle name="s637" xfId="637"/>
    <cellStyle name="s638" xfId="638"/>
    <cellStyle name="s639" xfId="639"/>
    <cellStyle name="s64" xfId="64"/>
    <cellStyle name="s640" xfId="640"/>
    <cellStyle name="s641" xfId="641"/>
    <cellStyle name="s642" xfId="642"/>
    <cellStyle name="s643" xfId="643"/>
    <cellStyle name="s644" xfId="644"/>
    <cellStyle name="s645" xfId="645"/>
    <cellStyle name="s646" xfId="646"/>
    <cellStyle name="s647" xfId="647"/>
    <cellStyle name="s648" xfId="648"/>
    <cellStyle name="s649" xfId="649"/>
    <cellStyle name="s65" xfId="65"/>
    <cellStyle name="s650" xfId="650"/>
    <cellStyle name="s651" xfId="651"/>
    <cellStyle name="s652" xfId="652"/>
    <cellStyle name="s653" xfId="653"/>
    <cellStyle name="s654" xfId="654"/>
    <cellStyle name="s655" xfId="655"/>
    <cellStyle name="s656" xfId="656"/>
    <cellStyle name="s657" xfId="657"/>
    <cellStyle name="s658" xfId="658"/>
    <cellStyle name="s659" xfId="659"/>
    <cellStyle name="s66" xfId="66"/>
    <cellStyle name="s660" xfId="660"/>
    <cellStyle name="s661" xfId="661"/>
    <cellStyle name="s662" xfId="662"/>
    <cellStyle name="s663" xfId="663"/>
    <cellStyle name="s664" xfId="664"/>
    <cellStyle name="s665" xfId="665"/>
    <cellStyle name="s666" xfId="666"/>
    <cellStyle name="s667" xfId="667"/>
    <cellStyle name="s668" xfId="668"/>
    <cellStyle name="s669" xfId="669"/>
    <cellStyle name="s67" xfId="67"/>
    <cellStyle name="s670" xfId="670"/>
    <cellStyle name="s671" xfId="671"/>
    <cellStyle name="s672" xfId="672"/>
    <cellStyle name="s673" xfId="673"/>
    <cellStyle name="s674" xfId="674"/>
    <cellStyle name="s675" xfId="675"/>
    <cellStyle name="s676" xfId="676"/>
    <cellStyle name="s677" xfId="677"/>
    <cellStyle name="s678" xfId="678"/>
    <cellStyle name="s679" xfId="679"/>
    <cellStyle name="s68" xfId="68"/>
    <cellStyle name="s680" xfId="680"/>
    <cellStyle name="s681" xfId="681"/>
    <cellStyle name="s682" xfId="682"/>
    <cellStyle name="s683" xfId="683"/>
    <cellStyle name="s684" xfId="684"/>
    <cellStyle name="s685" xfId="685"/>
    <cellStyle name="s686" xfId="686"/>
    <cellStyle name="s687" xfId="687"/>
    <cellStyle name="s688" xfId="688"/>
    <cellStyle name="s689" xfId="689"/>
    <cellStyle name="s69" xfId="69"/>
    <cellStyle name="s690" xfId="690"/>
    <cellStyle name="s691" xfId="691"/>
    <cellStyle name="s692" xfId="692"/>
    <cellStyle name="s693" xfId="693"/>
    <cellStyle name="s694" xfId="694"/>
    <cellStyle name="s695" xfId="695"/>
    <cellStyle name="s696" xfId="696"/>
    <cellStyle name="s697" xfId="697"/>
    <cellStyle name="s698" xfId="698"/>
    <cellStyle name="s699" xfId="699"/>
    <cellStyle name="s7" xfId="7"/>
    <cellStyle name="s70" xfId="70"/>
    <cellStyle name="s700" xfId="700"/>
    <cellStyle name="s701" xfId="701"/>
    <cellStyle name="s702" xfId="702"/>
    <cellStyle name="s703" xfId="703"/>
    <cellStyle name="s704" xfId="704"/>
    <cellStyle name="s705" xfId="705"/>
    <cellStyle name="s706" xfId="706"/>
    <cellStyle name="s707" xfId="707"/>
    <cellStyle name="s708" xfId="708"/>
    <cellStyle name="s709" xfId="709"/>
    <cellStyle name="s71" xfId="71"/>
    <cellStyle name="s710" xfId="710"/>
    <cellStyle name="s711" xfId="711"/>
    <cellStyle name="s712" xfId="712"/>
    <cellStyle name="s713" xfId="713"/>
    <cellStyle name="s714" xfId="714"/>
    <cellStyle name="s715" xfId="715"/>
    <cellStyle name="s716" xfId="716"/>
    <cellStyle name="s717" xfId="717"/>
    <cellStyle name="s718" xfId="718"/>
    <cellStyle name="s719" xfId="719"/>
    <cellStyle name="s72" xfId="72"/>
    <cellStyle name="s720" xfId="720"/>
    <cellStyle name="s721" xfId="721"/>
    <cellStyle name="s722" xfId="722"/>
    <cellStyle name="s723" xfId="723"/>
    <cellStyle name="s724" xfId="724"/>
    <cellStyle name="s725" xfId="725"/>
    <cellStyle name="s726" xfId="726"/>
    <cellStyle name="s727" xfId="727"/>
    <cellStyle name="s728" xfId="728"/>
    <cellStyle name="s729" xfId="729"/>
    <cellStyle name="s73" xfId="73"/>
    <cellStyle name="s730" xfId="730"/>
    <cellStyle name="s731" xfId="731"/>
    <cellStyle name="s732" xfId="732"/>
    <cellStyle name="s733" xfId="733"/>
    <cellStyle name="s734" xfId="734"/>
    <cellStyle name="s735" xfId="735"/>
    <cellStyle name="s736" xfId="736"/>
    <cellStyle name="s737" xfId="737"/>
    <cellStyle name="s738" xfId="738"/>
    <cellStyle name="s739" xfId="739"/>
    <cellStyle name="s74" xfId="74"/>
    <cellStyle name="s740" xfId="740"/>
    <cellStyle name="s741" xfId="741"/>
    <cellStyle name="s742" xfId="742"/>
    <cellStyle name="s743" xfId="743"/>
    <cellStyle name="s744" xfId="744"/>
    <cellStyle name="s745" xfId="745"/>
    <cellStyle name="s746" xfId="746"/>
    <cellStyle name="s747" xfId="747"/>
    <cellStyle name="s748" xfId="748"/>
    <cellStyle name="s749" xfId="749"/>
    <cellStyle name="s75" xfId="75"/>
    <cellStyle name="s750" xfId="750"/>
    <cellStyle name="s751" xfId="751"/>
    <cellStyle name="s752" xfId="752"/>
    <cellStyle name="s753" xfId="753"/>
    <cellStyle name="s754" xfId="754"/>
    <cellStyle name="s755" xfId="755"/>
    <cellStyle name="s756" xfId="756"/>
    <cellStyle name="s757" xfId="757"/>
    <cellStyle name="s758" xfId="758"/>
    <cellStyle name="s759" xfId="759"/>
    <cellStyle name="s76" xfId="76"/>
    <cellStyle name="s760" xfId="760"/>
    <cellStyle name="s761" xfId="761"/>
    <cellStyle name="s762" xfId="762"/>
    <cellStyle name="s763" xfId="763"/>
    <cellStyle name="s764" xfId="764"/>
    <cellStyle name="s765" xfId="765"/>
    <cellStyle name="s766" xfId="766"/>
    <cellStyle name="s767" xfId="767"/>
    <cellStyle name="s768" xfId="768"/>
    <cellStyle name="s769" xfId="769"/>
    <cellStyle name="s77" xfId="77"/>
    <cellStyle name="s770" xfId="770"/>
    <cellStyle name="s771" xfId="771"/>
    <cellStyle name="s772" xfId="772"/>
    <cellStyle name="s773" xfId="773"/>
    <cellStyle name="s774" xfId="774"/>
    <cellStyle name="s775" xfId="775"/>
    <cellStyle name="s776" xfId="776"/>
    <cellStyle name="s777" xfId="777"/>
    <cellStyle name="s778" xfId="778"/>
    <cellStyle name="s779" xfId="779"/>
    <cellStyle name="s78" xfId="78"/>
    <cellStyle name="s780" xfId="780"/>
    <cellStyle name="s781" xfId="781"/>
    <cellStyle name="s782" xfId="782"/>
    <cellStyle name="s783" xfId="783"/>
    <cellStyle name="s784" xfId="784"/>
    <cellStyle name="s785" xfId="785"/>
    <cellStyle name="s786" xfId="786"/>
    <cellStyle name="s787" xfId="787"/>
    <cellStyle name="s788" xfId="788"/>
    <cellStyle name="s789" xfId="789"/>
    <cellStyle name="s79" xfId="79"/>
    <cellStyle name="s790" xfId="790"/>
    <cellStyle name="s791" xfId="791"/>
    <cellStyle name="s792" xfId="792"/>
    <cellStyle name="s793" xfId="793"/>
    <cellStyle name="s794" xfId="794"/>
    <cellStyle name="s795" xfId="795"/>
    <cellStyle name="s796" xfId="796"/>
    <cellStyle name="s797" xfId="797"/>
    <cellStyle name="s798" xfId="798"/>
    <cellStyle name="s799" xfId="799"/>
    <cellStyle name="s8" xfId="8"/>
    <cellStyle name="s80" xfId="80"/>
    <cellStyle name="s800" xfId="800"/>
    <cellStyle name="s801" xfId="801"/>
    <cellStyle name="s802" xfId="802"/>
    <cellStyle name="s803" xfId="803"/>
    <cellStyle name="s804" xfId="804"/>
    <cellStyle name="s805" xfId="805"/>
    <cellStyle name="s806" xfId="806"/>
    <cellStyle name="s807" xfId="807"/>
    <cellStyle name="s808" xfId="808"/>
    <cellStyle name="s809" xfId="809"/>
    <cellStyle name="s81" xfId="81"/>
    <cellStyle name="s810" xfId="810"/>
    <cellStyle name="s811" xfId="811"/>
    <cellStyle name="s812" xfId="812"/>
    <cellStyle name="s813" xfId="813"/>
    <cellStyle name="s814" xfId="814"/>
    <cellStyle name="s815" xfId="815"/>
    <cellStyle name="s816" xfId="816"/>
    <cellStyle name="s817" xfId="817"/>
    <cellStyle name="s818" xfId="818"/>
    <cellStyle name="s819" xfId="819"/>
    <cellStyle name="s82" xfId="82"/>
    <cellStyle name="s820" xfId="820"/>
    <cellStyle name="s821" xfId="821"/>
    <cellStyle name="s822" xfId="822"/>
    <cellStyle name="s823" xfId="823"/>
    <cellStyle name="s824" xfId="824"/>
    <cellStyle name="s825" xfId="825"/>
    <cellStyle name="s826" xfId="826"/>
    <cellStyle name="s827" xfId="827"/>
    <cellStyle name="s828" xfId="828"/>
    <cellStyle name="s829" xfId="829"/>
    <cellStyle name="s83" xfId="83"/>
    <cellStyle name="s830" xfId="830"/>
    <cellStyle name="s831" xfId="831"/>
    <cellStyle name="s832" xfId="832"/>
    <cellStyle name="s833" xfId="833"/>
    <cellStyle name="s834" xfId="834"/>
    <cellStyle name="s835" xfId="835"/>
    <cellStyle name="s836" xfId="836"/>
    <cellStyle name="s837" xfId="837"/>
    <cellStyle name="s838" xfId="838"/>
    <cellStyle name="s839" xfId="839"/>
    <cellStyle name="s84" xfId="84"/>
    <cellStyle name="s840" xfId="840"/>
    <cellStyle name="s841" xfId="841"/>
    <cellStyle name="s842" xfId="842"/>
    <cellStyle name="s843" xfId="843"/>
    <cellStyle name="s844" xfId="844"/>
    <cellStyle name="s845" xfId="845"/>
    <cellStyle name="s846" xfId="846"/>
    <cellStyle name="s847" xfId="847"/>
    <cellStyle name="s848" xfId="848"/>
    <cellStyle name="s849" xfId="849"/>
    <cellStyle name="s85" xfId="85"/>
    <cellStyle name="s850" xfId="850"/>
    <cellStyle name="s851" xfId="851"/>
    <cellStyle name="s852" xfId="852"/>
    <cellStyle name="s853" xfId="853"/>
    <cellStyle name="s854" xfId="854"/>
    <cellStyle name="s855" xfId="855"/>
    <cellStyle name="s856" xfId="856"/>
    <cellStyle name="s857" xfId="857"/>
    <cellStyle name="s858" xfId="858"/>
    <cellStyle name="s859" xfId="859"/>
    <cellStyle name="s86" xfId="86"/>
    <cellStyle name="s860" xfId="860"/>
    <cellStyle name="s861" xfId="861"/>
    <cellStyle name="s862" xfId="862"/>
    <cellStyle name="s863" xfId="863"/>
    <cellStyle name="s864" xfId="864"/>
    <cellStyle name="s865" xfId="865"/>
    <cellStyle name="s866" xfId="866"/>
    <cellStyle name="s867" xfId="867"/>
    <cellStyle name="s868" xfId="868"/>
    <cellStyle name="s869" xfId="869"/>
    <cellStyle name="s87" xfId="87"/>
    <cellStyle name="s870" xfId="870"/>
    <cellStyle name="s871" xfId="871"/>
    <cellStyle name="s872" xfId="872"/>
    <cellStyle name="s873" xfId="873"/>
    <cellStyle name="s874" xfId="874"/>
    <cellStyle name="s875" xfId="875"/>
    <cellStyle name="s876" xfId="876"/>
    <cellStyle name="s877" xfId="877"/>
    <cellStyle name="s878" xfId="878"/>
    <cellStyle name="s879" xfId="879"/>
    <cellStyle name="s88" xfId="88"/>
    <cellStyle name="s880" xfId="880"/>
    <cellStyle name="s881" xfId="881"/>
    <cellStyle name="s882" xfId="882"/>
    <cellStyle name="s883" xfId="883"/>
    <cellStyle name="s884" xfId="884"/>
    <cellStyle name="s885" xfId="885"/>
    <cellStyle name="s886" xfId="886"/>
    <cellStyle name="s887" xfId="887"/>
    <cellStyle name="s888" xfId="888"/>
    <cellStyle name="s889" xfId="889"/>
    <cellStyle name="s89" xfId="89"/>
    <cellStyle name="s890" xfId="890"/>
    <cellStyle name="s891" xfId="891"/>
    <cellStyle name="s892" xfId="892"/>
    <cellStyle name="s893" xfId="893"/>
    <cellStyle name="s894" xfId="894"/>
    <cellStyle name="s895" xfId="895"/>
    <cellStyle name="s896" xfId="896"/>
    <cellStyle name="s897" xfId="897"/>
    <cellStyle name="s898" xfId="898"/>
    <cellStyle name="s899" xfId="899"/>
    <cellStyle name="s9" xfId="9"/>
    <cellStyle name="s90" xfId="90"/>
    <cellStyle name="s900" xfId="900"/>
    <cellStyle name="s901" xfId="901"/>
    <cellStyle name="s902" xfId="902"/>
    <cellStyle name="s903" xfId="903"/>
    <cellStyle name="s904" xfId="904"/>
    <cellStyle name="s905" xfId="905"/>
    <cellStyle name="s906" xfId="906"/>
    <cellStyle name="s907" xfId="907"/>
    <cellStyle name="s908" xfId="908"/>
    <cellStyle name="s909" xfId="909"/>
    <cellStyle name="s91" xfId="91"/>
    <cellStyle name="s910" xfId="910"/>
    <cellStyle name="s911" xfId="911"/>
    <cellStyle name="s912" xfId="912"/>
    <cellStyle name="s913" xfId="913"/>
    <cellStyle name="s914" xfId="914"/>
    <cellStyle name="s915" xfId="915"/>
    <cellStyle name="s916" xfId="916"/>
    <cellStyle name="s917" xfId="917"/>
    <cellStyle name="s918" xfId="918"/>
    <cellStyle name="s919" xfId="919"/>
    <cellStyle name="s92" xfId="92"/>
    <cellStyle name="s920" xfId="920"/>
    <cellStyle name="s921" xfId="921"/>
    <cellStyle name="s922" xfId="922"/>
    <cellStyle name="s923" xfId="923"/>
    <cellStyle name="s924" xfId="924"/>
    <cellStyle name="s925" xfId="925"/>
    <cellStyle name="s926" xfId="926"/>
    <cellStyle name="s927" xfId="927"/>
    <cellStyle name="s928" xfId="928"/>
    <cellStyle name="s929" xfId="929"/>
    <cellStyle name="s93" xfId="93"/>
    <cellStyle name="s930" xfId="930"/>
    <cellStyle name="s931" xfId="931"/>
    <cellStyle name="s932" xfId="932"/>
    <cellStyle name="s933" xfId="933"/>
    <cellStyle name="s934" xfId="934"/>
    <cellStyle name="s935" xfId="935"/>
    <cellStyle name="s936" xfId="936"/>
    <cellStyle name="s937" xfId="937"/>
    <cellStyle name="s938" xfId="938"/>
    <cellStyle name="s939" xfId="939"/>
    <cellStyle name="s94" xfId="94"/>
    <cellStyle name="s940" xfId="940"/>
    <cellStyle name="s941" xfId="941"/>
    <cellStyle name="s942" xfId="942"/>
    <cellStyle name="s943" xfId="943"/>
    <cellStyle name="s944" xfId="944"/>
    <cellStyle name="s945" xfId="945"/>
    <cellStyle name="s946" xfId="946"/>
    <cellStyle name="s947" xfId="947"/>
    <cellStyle name="s948" xfId="948"/>
    <cellStyle name="s949" xfId="949"/>
    <cellStyle name="s95" xfId="95"/>
    <cellStyle name="s950" xfId="950"/>
    <cellStyle name="s951" xfId="951"/>
    <cellStyle name="s952" xfId="952"/>
    <cellStyle name="s953" xfId="953"/>
    <cellStyle name="s954" xfId="954"/>
    <cellStyle name="s955" xfId="955"/>
    <cellStyle name="s956" xfId="956"/>
    <cellStyle name="s957" xfId="957"/>
    <cellStyle name="s958" xfId="958"/>
    <cellStyle name="s959" xfId="959"/>
    <cellStyle name="s96" xfId="96"/>
    <cellStyle name="s960" xfId="960"/>
    <cellStyle name="s961" xfId="961"/>
    <cellStyle name="s962" xfId="962"/>
    <cellStyle name="s963" xfId="963"/>
    <cellStyle name="s964" xfId="964"/>
    <cellStyle name="s965" xfId="965"/>
    <cellStyle name="s966" xfId="966"/>
    <cellStyle name="s967" xfId="967"/>
    <cellStyle name="s968" xfId="968"/>
    <cellStyle name="s969" xfId="969"/>
    <cellStyle name="s97" xfId="97"/>
    <cellStyle name="s970" xfId="970"/>
    <cellStyle name="s971" xfId="971"/>
    <cellStyle name="s972" xfId="972"/>
    <cellStyle name="s973" xfId="973"/>
    <cellStyle name="s974" xfId="974"/>
    <cellStyle name="s975" xfId="975"/>
    <cellStyle name="s976" xfId="976"/>
    <cellStyle name="s977" xfId="977"/>
    <cellStyle name="s978" xfId="978"/>
    <cellStyle name="s979" xfId="979"/>
    <cellStyle name="s98" xfId="98"/>
    <cellStyle name="s980" xfId="980"/>
    <cellStyle name="s981" xfId="981"/>
    <cellStyle name="s982" xfId="982"/>
    <cellStyle name="s983" xfId="983"/>
    <cellStyle name="s984" xfId="984"/>
    <cellStyle name="s985" xfId="985"/>
    <cellStyle name="s986" xfId="986"/>
    <cellStyle name="s987" xfId="987"/>
    <cellStyle name="s988" xfId="988"/>
    <cellStyle name="s989" xfId="989"/>
    <cellStyle name="s99" xfId="99"/>
    <cellStyle name="s990" xfId="990"/>
    <cellStyle name="s991" xfId="991"/>
    <cellStyle name="s992" xfId="992"/>
    <cellStyle name="s993" xfId="993"/>
    <cellStyle name="s994" xfId="994"/>
    <cellStyle name="s995" xfId="995"/>
    <cellStyle name="s996" xfId="996"/>
    <cellStyle name="s997" xfId="997"/>
    <cellStyle name="s998" xfId="998"/>
    <cellStyle name="s999" xfId="999"/>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cb685ced-3882-4134-8457-213c11d7d79a" TargetMode="External"/><Relationship Id="rId2" Type="http://schemas.openxmlformats.org/officeDocument/2006/relationships/hyperlink" Target="https://portal.eias.ru/Portal/DownloadPage.aspx?type=12&amp;guid=cb685ced-3882-4134-8457-213c11d7d79a" TargetMode="External"/><Relationship Id="rId1" Type="http://schemas.openxmlformats.org/officeDocument/2006/relationships/hyperlink" Target="https://portal.eias.ru/Portal/DownloadPage.aspx?type=12&amp;guid=cb685ced-3882-4134-8457-213c11d7d79a"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https://portal.eias.ru/Portal/DownloadPage.aspx?type=12&amp;guid=ad591e7f-f2ff-42f0-98a3-8bff77a82dc1" TargetMode="External"/><Relationship Id="rId3" Type="http://schemas.openxmlformats.org/officeDocument/2006/relationships/hyperlink" Target="https://portal.eias.ru/Portal/DownloadPage.aspx?type=12&amp;guid=942217bc-b013-418a-a306-ea174c4244ad" TargetMode="External"/><Relationship Id="rId7" Type="http://schemas.openxmlformats.org/officeDocument/2006/relationships/hyperlink" Target="https://portal.eias.ru/Portal/DownloadPage.aspx?type=12&amp;guid=ad591e7f-f2ff-42f0-98a3-8bff77a82dc1" TargetMode="External"/><Relationship Id="rId12" Type="http://schemas.openxmlformats.org/officeDocument/2006/relationships/hyperlink" Target="https://portal.eias.ru/Portal/DownloadPage.aspx?type=12&amp;guid=eb3d8af6-c79b-4d27-bf7b-1b8b5769317e" TargetMode="External"/><Relationship Id="rId2" Type="http://schemas.openxmlformats.org/officeDocument/2006/relationships/hyperlink" Target="https://portal.eias.ru/Portal/DownloadPage.aspx?type=12&amp;guid=8927f305-6f6c-4ed9-b22a-11942abeba0b" TargetMode="External"/><Relationship Id="rId1" Type="http://schemas.openxmlformats.org/officeDocument/2006/relationships/hyperlink" Target="https://portal.eias.ru/Portal/DownloadPage.aspx?type=12&amp;guid=942217bc-b013-418a-a306-ea174c4244ad" TargetMode="External"/><Relationship Id="rId6" Type="http://schemas.openxmlformats.org/officeDocument/2006/relationships/hyperlink" Target="'&#1055;&#1086;&#1082;&#1072;&#1079;&#1072;&#1090;&#1077;&#1083;&#1080;%20&#1050;&#1053;&#1069;'!$M$98" TargetMode="External"/><Relationship Id="rId11" Type="http://schemas.openxmlformats.org/officeDocument/2006/relationships/hyperlink" Target="https://portal.eias.ru/Portal/DownloadPage.aspx?type=12&amp;guid=eb3d8af6-c79b-4d27-bf7b-1b8b5769317e" TargetMode="External"/><Relationship Id="rId5" Type="http://schemas.openxmlformats.org/officeDocument/2006/relationships/hyperlink" Target="https://portal.eias.ru/Portal/DownloadPage.aspx?type=12&amp;guid=8927f305-6f6c-4ed9-b22a-11942abeba0b" TargetMode="External"/><Relationship Id="rId10" Type="http://schemas.openxmlformats.org/officeDocument/2006/relationships/hyperlink" Target="https://portal.eias.ru/Portal/DownloadPage.aspx?type=12&amp;guid=eb3d8af6-c79b-4d27-bf7b-1b8b5769317e" TargetMode="External"/><Relationship Id="rId4" Type="http://schemas.openxmlformats.org/officeDocument/2006/relationships/hyperlink" Target="https://portal.eias.ru/Portal/DownloadPage.aspx?type=12&amp;guid=942217bc-b013-418a-a306-ea174c4244ad" TargetMode="External"/><Relationship Id="rId9" Type="http://schemas.openxmlformats.org/officeDocument/2006/relationships/hyperlink" Target="https://portal.eias.ru/Portal/DownloadPage.aspx?type=12&amp;guid=ad591e7f-f2ff-42f0-98a3-8bff77a82dc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showGridLines="0" showRowColHeaders="0" workbookViewId="0"/>
  </sheetViews>
  <sheetFormatPr defaultColWidth="11" defaultRowHeight="12.75" customHeight="1"/>
  <cols>
    <col min="1" max="1" width="5.42578125" style="1005" customWidth="1"/>
    <col min="2" max="2" width="9.140625" style="1006" customWidth="1"/>
    <col min="3" max="3" width="16.42578125" style="1007" customWidth="1"/>
    <col min="4" max="4" width="6.28515625" style="1008" customWidth="1"/>
    <col min="5" max="5" width="6.28515625" style="1009" customWidth="1"/>
    <col min="6" max="6" width="6.28515625" style="1010" customWidth="1"/>
    <col min="7" max="7" width="6.28515625" style="1011" customWidth="1"/>
    <col min="8" max="8" width="6.28515625" style="1012" customWidth="1"/>
    <col min="9" max="9" width="6.28515625" style="1013" customWidth="1"/>
    <col min="10" max="10" width="6.28515625" style="1014" customWidth="1"/>
    <col min="11" max="11" width="6.28515625" style="1015" customWidth="1"/>
    <col min="12" max="12" width="6.28515625" style="1016" customWidth="1"/>
    <col min="13" max="13" width="6.28515625" style="1017" customWidth="1"/>
    <col min="14" max="14" width="6.28515625" style="1018" customWidth="1"/>
    <col min="15" max="15" width="6.28515625" style="1019" customWidth="1"/>
    <col min="16" max="16" width="6.28515625" style="1020" customWidth="1"/>
    <col min="17" max="17" width="6.28515625" style="1021" customWidth="1"/>
    <col min="18" max="18" width="6.28515625" style="1022" customWidth="1"/>
    <col min="19" max="19" width="6.28515625" style="1023" customWidth="1"/>
    <col min="20" max="20" width="6.28515625" style="1024" customWidth="1"/>
    <col min="21" max="21" width="6.28515625" style="1025" customWidth="1"/>
    <col min="22" max="22" width="6.28515625" style="1026" customWidth="1"/>
    <col min="23" max="23" width="6.28515625" style="1027" customWidth="1"/>
    <col min="24" max="24" width="6.28515625" style="1028" customWidth="1"/>
    <col min="25" max="25" width="6.28515625" style="1029" customWidth="1"/>
  </cols>
  <sheetData>
    <row r="1" spans="2:27" ht="15.75" customHeight="1">
      <c r="AA1" s="1" t="s">
        <v>0</v>
      </c>
    </row>
    <row r="2" spans="2:27" ht="17.25" customHeight="1">
      <c r="B2" s="1043" t="s">
        <v>1</v>
      </c>
      <c r="C2" s="1038"/>
      <c r="D2" s="1038"/>
      <c r="E2" s="1038"/>
      <c r="F2" s="1038"/>
      <c r="G2" s="1038"/>
      <c r="H2" s="1038"/>
      <c r="I2" s="1038"/>
      <c r="J2" s="1038"/>
      <c r="K2" s="1038"/>
      <c r="L2" s="1038"/>
      <c r="M2" s="1038"/>
      <c r="N2" s="1038"/>
      <c r="O2" s="1038"/>
      <c r="P2" s="1038"/>
    </row>
    <row r="3" spans="2:27" ht="15.75" customHeight="1">
      <c r="B3" s="1044" t="s">
        <v>2</v>
      </c>
      <c r="C3" s="1038"/>
      <c r="D3" s="1038"/>
      <c r="E3" s="1038"/>
      <c r="F3" s="1038"/>
      <c r="G3" s="1038"/>
      <c r="H3" s="1038"/>
      <c r="I3" s="1038"/>
      <c r="J3" s="1038"/>
      <c r="K3" s="1038"/>
      <c r="L3" s="1038"/>
      <c r="M3" s="1038"/>
      <c r="N3" s="1038"/>
      <c r="O3" s="1038"/>
      <c r="P3" s="1038"/>
    </row>
    <row r="4" spans="2:27" ht="17.25" customHeight="1"/>
    <row r="5" spans="2:27" ht="22.5" customHeight="1">
      <c r="B5" s="1045"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046"/>
      <c r="D5" s="1046"/>
      <c r="E5" s="1046"/>
      <c r="F5" s="1046"/>
      <c r="G5" s="1046"/>
      <c r="H5" s="1046"/>
      <c r="I5" s="1046"/>
      <c r="J5" s="1046"/>
      <c r="K5" s="1046"/>
      <c r="L5" s="1046"/>
      <c r="M5" s="1046"/>
      <c r="N5" s="1046"/>
      <c r="O5" s="1046"/>
      <c r="P5" s="1046"/>
      <c r="Q5" s="1046"/>
      <c r="R5" s="1046"/>
      <c r="S5" s="1046"/>
      <c r="T5" s="1046"/>
      <c r="U5" s="1046"/>
      <c r="V5" s="1046"/>
      <c r="W5" s="1046"/>
      <c r="X5" s="1046"/>
      <c r="Y5" s="1047"/>
    </row>
    <row r="6" spans="2:27" ht="15" customHeight="1">
      <c r="B6" s="1035" t="s">
        <v>3</v>
      </c>
      <c r="C6" s="1039"/>
      <c r="Z6" s="524"/>
    </row>
    <row r="7" spans="2:27" ht="15" customHeight="1">
      <c r="B7" s="1035"/>
      <c r="C7" s="1039"/>
      <c r="Z7" s="524"/>
    </row>
    <row r="8" spans="2:27" ht="15" customHeight="1">
      <c r="B8" s="1035"/>
      <c r="C8" s="1039"/>
      <c r="E8" s="525" t="s">
        <v>4</v>
      </c>
      <c r="F8" s="1048" t="s">
        <v>5</v>
      </c>
      <c r="G8" s="1038"/>
      <c r="H8" s="1038"/>
      <c r="I8" s="1038"/>
      <c r="J8" s="1038"/>
      <c r="K8" s="1038"/>
      <c r="L8" s="1038"/>
      <c r="M8" s="1038"/>
      <c r="O8" s="526" t="s">
        <v>4</v>
      </c>
      <c r="P8" s="1049" t="s">
        <v>6</v>
      </c>
      <c r="Q8" s="1038"/>
      <c r="R8" s="1038"/>
      <c r="S8" s="1038"/>
      <c r="T8" s="1038"/>
      <c r="U8" s="1038"/>
      <c r="V8" s="1038"/>
      <c r="W8" s="1038"/>
      <c r="X8" s="1038"/>
      <c r="Z8" s="524"/>
    </row>
    <row r="9" spans="2:27" ht="15" customHeight="1">
      <c r="B9" s="1035"/>
      <c r="C9" s="1039"/>
      <c r="E9" s="527" t="s">
        <v>4</v>
      </c>
      <c r="F9" s="1048" t="s">
        <v>7</v>
      </c>
      <c r="G9" s="1038"/>
      <c r="H9" s="1038"/>
      <c r="I9" s="1038"/>
      <c r="J9" s="1038"/>
      <c r="K9" s="1038"/>
      <c r="L9" s="1038"/>
      <c r="M9" s="1038"/>
      <c r="O9" s="528" t="s">
        <v>4</v>
      </c>
      <c r="P9" s="1049" t="s">
        <v>8</v>
      </c>
      <c r="Q9" s="1038"/>
      <c r="R9" s="1038"/>
      <c r="S9" s="1038"/>
      <c r="T9" s="1038"/>
      <c r="U9" s="1038"/>
      <c r="V9" s="1038"/>
      <c r="W9" s="1038"/>
      <c r="X9" s="1038"/>
      <c r="Z9" s="524"/>
    </row>
    <row r="10" spans="2:27" ht="30" customHeight="1">
      <c r="B10" s="1035"/>
      <c r="C10" s="1036"/>
      <c r="D10" s="529"/>
      <c r="E10" s="530"/>
      <c r="O10" s="530"/>
      <c r="Z10" s="524"/>
    </row>
    <row r="11" spans="2:27" ht="19.5" customHeight="1">
      <c r="B11" s="1033" t="s">
        <v>9</v>
      </c>
      <c r="C11" s="1034"/>
      <c r="Z11" s="524"/>
    </row>
    <row r="12" spans="2:27" ht="69" customHeight="1">
      <c r="B12" s="1035"/>
      <c r="C12" s="1036"/>
      <c r="D12" s="531"/>
      <c r="E12" s="1037" t="s">
        <v>10</v>
      </c>
      <c r="F12" s="1038"/>
      <c r="G12" s="1038"/>
      <c r="H12" s="1038"/>
      <c r="I12" s="1038"/>
      <c r="J12" s="1038"/>
      <c r="K12" s="1038"/>
      <c r="L12" s="1038"/>
      <c r="M12" s="1038"/>
      <c r="N12" s="1038"/>
      <c r="O12" s="1038"/>
      <c r="P12" s="1038"/>
      <c r="Q12" s="1038"/>
      <c r="R12" s="1038"/>
      <c r="S12" s="1038"/>
      <c r="T12" s="1038"/>
      <c r="U12" s="1038"/>
      <c r="V12" s="1038"/>
      <c r="W12" s="1038"/>
      <c r="X12" s="1038"/>
      <c r="Z12" s="524"/>
    </row>
    <row r="13" spans="2:27" ht="15" customHeight="1">
      <c r="B13" s="1033" t="s">
        <v>11</v>
      </c>
      <c r="C13" s="1034"/>
      <c r="Z13" s="524"/>
    </row>
    <row r="14" spans="2:27" ht="57" customHeight="1">
      <c r="B14" s="1035"/>
      <c r="C14" s="1039"/>
      <c r="E14" s="1042" t="s">
        <v>12</v>
      </c>
      <c r="F14" s="1038"/>
      <c r="G14" s="1038"/>
      <c r="H14" s="1038"/>
      <c r="I14" s="1038"/>
      <c r="J14" s="1038"/>
      <c r="K14" s="1038"/>
      <c r="L14" s="1038"/>
      <c r="M14" s="1038"/>
      <c r="N14" s="1038"/>
      <c r="O14" s="1038"/>
      <c r="P14" s="1038"/>
      <c r="Q14" s="1038"/>
      <c r="R14" s="1038"/>
      <c r="S14" s="1038"/>
      <c r="T14" s="1038"/>
      <c r="U14" s="1038"/>
      <c r="V14" s="1038"/>
      <c r="W14" s="1038"/>
      <c r="X14" s="1038"/>
      <c r="Z14" s="524"/>
    </row>
    <row r="15" spans="2:27" ht="16.5" customHeight="1">
      <c r="B15" s="1040"/>
      <c r="C15" s="1041"/>
      <c r="D15" s="532"/>
      <c r="E15" s="533"/>
      <c r="F15" s="533"/>
      <c r="G15" s="533"/>
      <c r="H15" s="533"/>
      <c r="I15" s="533"/>
      <c r="J15" s="533"/>
      <c r="K15" s="533"/>
      <c r="L15" s="533"/>
      <c r="M15" s="533"/>
      <c r="N15" s="533"/>
      <c r="O15" s="533"/>
      <c r="P15" s="533"/>
      <c r="Q15" s="533"/>
      <c r="R15" s="533"/>
      <c r="S15" s="533"/>
      <c r="T15" s="533"/>
      <c r="U15" s="533"/>
      <c r="V15" s="533"/>
      <c r="W15" s="533"/>
      <c r="X15" s="533"/>
      <c r="Y15" s="534"/>
      <c r="Z15" s="524"/>
    </row>
    <row r="16" spans="2:27" ht="95.25" customHeight="1">
      <c r="B16" s="1038"/>
      <c r="C16" s="1038"/>
      <c r="D16" s="1038"/>
      <c r="E16" s="1038"/>
      <c r="F16" s="1038"/>
      <c r="G16" s="1038"/>
      <c r="H16" s="1038"/>
      <c r="I16" s="1038"/>
      <c r="J16" s="1038"/>
      <c r="K16" s="1038"/>
      <c r="L16" s="1038"/>
      <c r="M16" s="1038"/>
      <c r="N16" s="1038"/>
      <c r="O16" s="1038"/>
      <c r="P16" s="1038"/>
      <c r="Q16" s="1038"/>
      <c r="R16" s="1038"/>
      <c r="S16" s="1038"/>
      <c r="T16" s="1038"/>
      <c r="U16" s="1038"/>
      <c r="V16" s="1038"/>
      <c r="W16" s="1038"/>
      <c r="X16" s="1038"/>
      <c r="Y16" s="1038"/>
    </row>
    <row r="17" ht="14.25" customHeight="1"/>
    <row r="18" ht="14.25" customHeight="1"/>
    <row r="19" ht="14.25" customHeight="1"/>
    <row r="20" ht="14.25" customHeight="1"/>
    <row r="21" ht="14.25" customHeight="1"/>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3" width="9.140625" style="1030" hidden="1" customWidth="1"/>
    <col min="4" max="4" width="3" style="1030" customWidth="1"/>
    <col min="5" max="5" width="6" style="1030" customWidth="1"/>
    <col min="6" max="6" width="1.7109375" style="1030" hidden="1" customWidth="1"/>
    <col min="7" max="8" width="30" style="1030" customWidth="1"/>
    <col min="9" max="9" width="8" style="1030" customWidth="1"/>
    <col min="10" max="10" width="12.140625" style="1030" customWidth="1"/>
    <col min="11" max="11" width="46" style="1030" customWidth="1"/>
    <col min="12" max="12" width="100" style="1030" customWidth="1"/>
    <col min="13" max="13" width="7" style="1030" customWidth="1"/>
    <col min="14" max="22" width="10" style="1030" customWidth="1"/>
    <col min="23" max="23" width="10.5703125" style="1030" hidden="1"/>
  </cols>
  <sheetData>
    <row r="1" spans="1:23" ht="5.25" hidden="1" customHeight="1">
      <c r="G1" s="578" t="s">
        <v>82</v>
      </c>
      <c r="H1" s="578" t="s">
        <v>83</v>
      </c>
      <c r="I1" s="578" t="s">
        <v>84</v>
      </c>
      <c r="P1" s="578" t="s">
        <v>82</v>
      </c>
      <c r="Q1" s="578" t="s">
        <v>83</v>
      </c>
      <c r="R1" s="578" t="s">
        <v>84</v>
      </c>
      <c r="W1" s="578" t="s">
        <v>14</v>
      </c>
    </row>
    <row r="2" spans="1:23" ht="5.25" hidden="1" customHeight="1">
      <c r="W2" s="578">
        <v>0</v>
      </c>
    </row>
    <row r="3" spans="1:23" ht="5.25" customHeight="1">
      <c r="D3" s="673"/>
      <c r="E3" s="540"/>
      <c r="F3" s="540"/>
      <c r="G3" s="540"/>
      <c r="H3" s="540"/>
      <c r="I3" s="687"/>
      <c r="J3" s="688"/>
      <c r="K3" s="688"/>
      <c r="L3" s="688"/>
      <c r="W3" s="541">
        <v>5</v>
      </c>
    </row>
    <row r="4" spans="1:23" ht="23.25" customHeight="1">
      <c r="D4" s="654"/>
      <c r="E4" s="1063" t="s">
        <v>396</v>
      </c>
      <c r="F4" s="1063"/>
      <c r="G4" s="1064"/>
      <c r="H4" s="1064"/>
      <c r="I4" s="1065"/>
      <c r="W4" s="539">
        <v>22</v>
      </c>
    </row>
    <row r="5" spans="1:23" ht="18" customHeight="1">
      <c r="D5" s="654"/>
      <c r="E5" s="1169" t="str">
        <f>IF(org=0,"Не определено",org)</f>
        <v>АО "НИЖЕГОРОДСКИЙ ВОДОКАНАЛ"</v>
      </c>
      <c r="F5" s="1169"/>
      <c r="G5" s="1170"/>
      <c r="H5" s="1170"/>
      <c r="I5" s="1171"/>
      <c r="W5" s="539">
        <v>17</v>
      </c>
    </row>
    <row r="6" spans="1:23" ht="11.45" customHeight="1">
      <c r="D6" s="673"/>
      <c r="E6" s="540"/>
      <c r="F6" s="540"/>
      <c r="K6" s="630"/>
      <c r="W6" s="541">
        <v>11</v>
      </c>
    </row>
    <row r="7" spans="1:23" ht="14.65" customHeight="1">
      <c r="D7" s="654"/>
      <c r="E7" s="1154" t="s">
        <v>308</v>
      </c>
      <c r="F7" s="1154"/>
      <c r="G7" s="1155"/>
      <c r="H7" s="1155"/>
      <c r="I7" s="1155"/>
      <c r="J7" s="1155"/>
      <c r="K7" s="1155"/>
      <c r="L7" s="1126" t="s">
        <v>309</v>
      </c>
      <c r="W7" s="539">
        <v>14</v>
      </c>
    </row>
    <row r="8" spans="1:23" ht="48.2" customHeight="1">
      <c r="D8" s="654"/>
      <c r="E8" s="633" t="s">
        <v>87</v>
      </c>
      <c r="F8" s="633"/>
      <c r="G8" s="584" t="s">
        <v>85</v>
      </c>
      <c r="H8" s="584" t="s">
        <v>86</v>
      </c>
      <c r="I8" s="603" t="s">
        <v>84</v>
      </c>
      <c r="J8" s="603" t="s">
        <v>397</v>
      </c>
      <c r="K8" s="603" t="s">
        <v>398</v>
      </c>
      <c r="L8" s="1126"/>
      <c r="W8" s="539">
        <v>46</v>
      </c>
    </row>
    <row r="9" spans="1:23" ht="12" hidden="1" customHeight="1">
      <c r="D9" s="680"/>
      <c r="E9" s="126"/>
      <c r="F9" s="126"/>
      <c r="G9" s="126"/>
      <c r="H9" s="126"/>
      <c r="I9" s="126"/>
      <c r="J9" s="126"/>
      <c r="K9" s="126"/>
      <c r="L9" s="126"/>
      <c r="W9" s="539">
        <v>0</v>
      </c>
    </row>
    <row r="10" spans="1:23" ht="14.25" hidden="1" customHeight="1">
      <c r="D10" s="654"/>
      <c r="E10" s="584">
        <v>0</v>
      </c>
      <c r="F10" s="584"/>
      <c r="G10" s="127"/>
      <c r="H10" s="127"/>
      <c r="I10" s="127"/>
      <c r="J10" s="127"/>
      <c r="K10" s="127"/>
      <c r="L10" s="1167" t="s">
        <v>399</v>
      </c>
      <c r="W10" s="539">
        <v>0</v>
      </c>
    </row>
    <row r="11" spans="1:23" ht="15" hidden="1" customHeight="1">
      <c r="A11" s="1038"/>
      <c r="D11" s="689"/>
      <c r="E11" s="128"/>
      <c r="F11" s="128"/>
      <c r="G11" s="128"/>
      <c r="H11" s="128"/>
      <c r="I11" s="52"/>
      <c r="J11" s="129"/>
      <c r="K11" s="130"/>
      <c r="L11" s="1180"/>
      <c r="W11" s="539">
        <v>0</v>
      </c>
    </row>
    <row r="12" spans="1:23" ht="15" customHeight="1">
      <c r="A12" s="1038"/>
      <c r="D12" s="690"/>
      <c r="E12" s="633">
        <v>1</v>
      </c>
      <c r="F12" s="691">
        <v>23</v>
      </c>
      <c r="G12" s="131"/>
      <c r="H12" s="39"/>
      <c r="I12" s="40"/>
      <c r="J12" s="132" t="s">
        <v>61</v>
      </c>
      <c r="K12" s="133" t="s">
        <v>22</v>
      </c>
      <c r="L12" s="1180"/>
      <c r="P12" s="692" t="s">
        <v>400</v>
      </c>
      <c r="Q12" s="692" t="s">
        <v>401</v>
      </c>
      <c r="R12" s="134" t="s">
        <v>402</v>
      </c>
      <c r="S12" s="578" t="s">
        <v>403</v>
      </c>
      <c r="W12" s="541">
        <v>14</v>
      </c>
    </row>
    <row r="13" spans="1:23" ht="15.75" customHeight="1">
      <c r="A13" s="1038"/>
      <c r="D13" s="654"/>
      <c r="E13" s="119"/>
      <c r="F13" s="135"/>
      <c r="G13" s="49" t="s">
        <v>101</v>
      </c>
      <c r="H13" s="136"/>
      <c r="I13" s="136"/>
      <c r="J13" s="136"/>
      <c r="K13" s="137"/>
      <c r="L13" s="1168"/>
      <c r="W13" s="539">
        <v>15</v>
      </c>
    </row>
    <row r="14" spans="1:23" ht="11.45" customHeight="1">
      <c r="W14" s="539">
        <v>11</v>
      </c>
    </row>
    <row r="15" spans="1:23" ht="14.65" customHeight="1">
      <c r="G15" s="693"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W15" s="539">
        <v>14</v>
      </c>
    </row>
    <row r="16" spans="1:23" ht="14.65" customHeight="1">
      <c r="W16" s="539">
        <v>14</v>
      </c>
    </row>
    <row r="17" spans="1:23" ht="14.65" customHeight="1">
      <c r="W17" s="539">
        <v>14</v>
      </c>
    </row>
    <row r="18" spans="1:23" ht="14.65" customHeight="1">
      <c r="W18" s="539">
        <v>14</v>
      </c>
    </row>
    <row r="19" spans="1:23" ht="22.5" hidden="1" customHeight="1">
      <c r="A19" s="537" t="s">
        <v>81</v>
      </c>
      <c r="B19" s="539">
        <v>0</v>
      </c>
      <c r="C19" s="539">
        <v>0</v>
      </c>
      <c r="D19" s="591">
        <v>3</v>
      </c>
      <c r="E19" s="539">
        <v>6</v>
      </c>
      <c r="F19" s="539">
        <v>0</v>
      </c>
      <c r="G19" s="539">
        <v>30</v>
      </c>
      <c r="H19" s="539">
        <v>30</v>
      </c>
      <c r="I19" s="539">
        <v>8</v>
      </c>
      <c r="J19" s="539">
        <v>12</v>
      </c>
      <c r="K19" s="539">
        <v>46</v>
      </c>
      <c r="L19" s="539">
        <v>100</v>
      </c>
      <c r="M19" s="580">
        <v>7</v>
      </c>
      <c r="N19" s="539">
        <v>10</v>
      </c>
      <c r="O19" s="539">
        <v>10</v>
      </c>
      <c r="P19" s="539">
        <v>10</v>
      </c>
      <c r="Q19" s="539">
        <v>10</v>
      </c>
      <c r="R19" s="539">
        <v>10</v>
      </c>
      <c r="S19" s="539">
        <v>10</v>
      </c>
      <c r="T19" s="539">
        <v>10</v>
      </c>
      <c r="U19" s="539">
        <v>10</v>
      </c>
      <c r="V19" s="539">
        <v>10</v>
      </c>
      <c r="W19" s="539">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5" style="1030" customWidth="1"/>
    <col min="21" max="21" width="0.140625" style="1030" customWidth="1"/>
    <col min="22" max="22" width="24.7109375" style="1030" hidden="1" customWidth="1"/>
    <col min="23" max="23" width="0.140625" style="1030" hidden="1" customWidth="1"/>
    <col min="24" max="25" width="24.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24.7109375" style="1030" customWidth="1"/>
    <col min="31" max="31" width="0.140625" style="1030" customWidth="1"/>
    <col min="32" max="33" width="24" style="1030" customWidth="1"/>
    <col min="34" max="34" width="11" style="1030" customWidth="1"/>
    <col min="35" max="35" width="3.7109375" style="1030" customWidth="1"/>
    <col min="36" max="36" width="11" style="1030" customWidth="1"/>
    <col min="37" max="37" width="8.5703125" style="1030" hidden="1" customWidth="1"/>
    <col min="38" max="38" width="4" style="1030" customWidth="1"/>
    <col min="39" max="39" width="115" style="1030" customWidth="1"/>
    <col min="40" max="44" width="10" style="1030" customWidth="1"/>
    <col min="45" max="45" width="10.5703125" style="1030" hidden="1"/>
  </cols>
  <sheetData>
    <row r="1" spans="5:45" ht="22.5" hidden="1" customHeight="1">
      <c r="AS1" s="539" t="s">
        <v>14</v>
      </c>
    </row>
    <row r="2" spans="5:45" ht="21" hidden="1" customHeight="1">
      <c r="E2" s="1192">
        <v>1</v>
      </c>
      <c r="R2" s="311"/>
      <c r="S2" s="833" t="e">
        <f>INDEX(PT_DIFFERENTIATION_NUM_NTAR,MATCH(A2,PT_DIFFERENTIATION_NTAR_ID,0))</f>
        <v>#N/A</v>
      </c>
      <c r="T2" s="796" t="s">
        <v>133</v>
      </c>
      <c r="U2" s="834"/>
      <c r="V2" s="1187"/>
      <c r="W2" s="1188"/>
      <c r="X2" s="1188"/>
      <c r="Y2" s="1188"/>
      <c r="Z2" s="1188"/>
      <c r="AA2" s="1188"/>
      <c r="AB2" s="1188"/>
      <c r="AC2" s="1189"/>
      <c r="AD2" s="1187" t="e">
        <f>INDEX(PT_DIFFERENTIATION_NTAR,MATCH(A2,PT_DIFFERENTIATION_NTAR_ID,0))</f>
        <v>#N/A</v>
      </c>
      <c r="AE2" s="1188"/>
      <c r="AF2" s="1188"/>
      <c r="AG2" s="1188"/>
      <c r="AH2" s="1188"/>
      <c r="AI2" s="1188"/>
      <c r="AJ2" s="1188"/>
      <c r="AK2" s="1188"/>
      <c r="AL2" s="1189"/>
      <c r="AM2" s="836" t="s">
        <v>404</v>
      </c>
      <c r="AP2" s="583" t="str">
        <f t="shared" ref="AP2:AP15" si="0">IF(T2="","",T2)</f>
        <v>Наименование тарифа</v>
      </c>
      <c r="AS2" s="539">
        <v>0</v>
      </c>
    </row>
    <row r="3" spans="5:45" ht="21"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8"/>
      <c r="AC3" s="1189"/>
      <c r="AD3" s="1187" t="e">
        <f>INDEX(PT_DIFFERENTIATION_TER,MATCH(B3,PT_DIFFERENTIATION_TER_ID,0))</f>
        <v>#N/A</v>
      </c>
      <c r="AE3" s="1188"/>
      <c r="AF3" s="1188"/>
      <c r="AG3" s="1188"/>
      <c r="AH3" s="1188"/>
      <c r="AI3" s="1188"/>
      <c r="AJ3" s="1188"/>
      <c r="AK3" s="1188"/>
      <c r="AL3" s="1189"/>
      <c r="AM3" s="836" t="s">
        <v>406</v>
      </c>
      <c r="AP3" s="583" t="str">
        <f t="shared" si="0"/>
        <v>Территория действия тарифа</v>
      </c>
      <c r="AS3" s="539">
        <v>0</v>
      </c>
    </row>
    <row r="4" spans="5:45" ht="23.25" hidden="1" customHeight="1">
      <c r="E4" s="1193"/>
      <c r="F4" s="1193"/>
      <c r="G4" s="1192">
        <v>1</v>
      </c>
      <c r="Q4" s="837"/>
      <c r="R4" s="838"/>
      <c r="S4" s="833" t="e">
        <f>INDEX(PT_DIFFERENTIATION_NUM_CS,MATCH(C4,PT_DIFFERENTIATION_CS_ID,0))</f>
        <v>#N/A</v>
      </c>
      <c r="T4" s="840" t="s">
        <v>407</v>
      </c>
      <c r="U4" s="834"/>
      <c r="V4" s="1187"/>
      <c r="W4" s="1188"/>
      <c r="X4" s="1188"/>
      <c r="Y4" s="1188"/>
      <c r="Z4" s="1188"/>
      <c r="AA4" s="1188"/>
      <c r="AB4" s="1188"/>
      <c r="AC4" s="1189"/>
      <c r="AD4" s="1187" t="e">
        <f>INDEX(PT_DIFFERENTIATION_CS,MATCH(C4,PT_DIFFERENTIATION_CS_ID,0))</f>
        <v>#N/A</v>
      </c>
      <c r="AE4" s="1188"/>
      <c r="AF4" s="1188"/>
      <c r="AG4" s="1188"/>
      <c r="AH4" s="1188"/>
      <c r="AI4" s="1188"/>
      <c r="AJ4" s="1188"/>
      <c r="AK4" s="1188"/>
      <c r="AL4" s="1189"/>
      <c r="AM4" s="836" t="s">
        <v>408</v>
      </c>
      <c r="AP4" s="583" t="str">
        <f t="shared" si="0"/>
        <v xml:space="preserve">Наименование системы теплоснабжения </v>
      </c>
      <c r="AS4" s="539">
        <v>0</v>
      </c>
    </row>
    <row r="5" spans="5:45" ht="21" hidden="1" customHeight="1">
      <c r="E5" s="1193"/>
      <c r="F5" s="1193"/>
      <c r="G5" s="1193"/>
      <c r="H5" s="1192">
        <v>1</v>
      </c>
      <c r="Q5" s="837"/>
      <c r="R5" s="838"/>
      <c r="S5" s="833" t="e">
        <f>INDEX(PT_DIFFERENTIATION_NUM_IST_TE,MATCH(D5,PT_DIFFERENTIATION_IST_TE_ID,0))</f>
        <v>#N/A</v>
      </c>
      <c r="T5" s="841" t="s">
        <v>409</v>
      </c>
      <c r="U5" s="834"/>
      <c r="V5" s="1187"/>
      <c r="W5" s="1188"/>
      <c r="X5" s="1188"/>
      <c r="Y5" s="1188"/>
      <c r="Z5" s="1188"/>
      <c r="AA5" s="1188"/>
      <c r="AB5" s="1188"/>
      <c r="AC5" s="1189"/>
      <c r="AD5" s="1187" t="e">
        <f>INDEX(PT_DIFFERENTIATION_IST_TE,MATCH(D5,PT_DIFFERENTIATION_IST_TE_ID,0))</f>
        <v>#N/A</v>
      </c>
      <c r="AE5" s="1188"/>
      <c r="AF5" s="1188"/>
      <c r="AG5" s="1188"/>
      <c r="AH5" s="1188"/>
      <c r="AI5" s="1188"/>
      <c r="AJ5" s="1188"/>
      <c r="AK5" s="1188"/>
      <c r="AL5" s="1189"/>
      <c r="AM5" s="836" t="s">
        <v>410</v>
      </c>
      <c r="AP5" s="583" t="str">
        <f t="shared" si="0"/>
        <v xml:space="preserve">Источник тепловой энергии  </v>
      </c>
      <c r="AS5" s="539">
        <v>0</v>
      </c>
    </row>
    <row r="6" spans="5:45" ht="47.25" hidden="1" customHeight="1">
      <c r="E6" s="1193"/>
      <c r="F6" s="1193"/>
      <c r="G6" s="1193"/>
      <c r="H6" s="1193"/>
      <c r="I6" s="1194" t="e">
        <f>S5&amp;".1"</f>
        <v>#N/A</v>
      </c>
      <c r="L6" s="842" t="s">
        <v>411</v>
      </c>
      <c r="P6" s="1196">
        <v>1</v>
      </c>
      <c r="R6" s="843"/>
      <c r="S6" s="833" t="e">
        <f>$I6</f>
        <v>#N/A</v>
      </c>
      <c r="T6" s="844" t="s">
        <v>412</v>
      </c>
      <c r="U6" s="834"/>
      <c r="V6" s="1181"/>
      <c r="W6" s="1182"/>
      <c r="X6" s="1182"/>
      <c r="Y6" s="1182"/>
      <c r="Z6" s="1182"/>
      <c r="AA6" s="1182"/>
      <c r="AB6" s="1182"/>
      <c r="AC6" s="1183"/>
      <c r="AD6" s="1181"/>
      <c r="AE6" s="1182"/>
      <c r="AF6" s="1182"/>
      <c r="AG6" s="1182"/>
      <c r="AH6" s="1182"/>
      <c r="AI6" s="1182"/>
      <c r="AJ6" s="1182"/>
      <c r="AK6" s="1182"/>
      <c r="AL6" s="1183"/>
      <c r="AM6" s="836" t="s">
        <v>413</v>
      </c>
      <c r="AP6" s="583" t="str">
        <f t="shared" si="0"/>
        <v>Схема подключения теплопотребляющей установки к коллектору источника тепловой энергии</v>
      </c>
      <c r="AS6" s="539">
        <v>0</v>
      </c>
    </row>
    <row r="7" spans="5:45" ht="21" hidden="1" customHeight="1">
      <c r="E7" s="1193"/>
      <c r="F7" s="1193"/>
      <c r="G7" s="1193"/>
      <c r="H7" s="1193"/>
      <c r="I7" s="1195"/>
      <c r="J7" s="1194" t="e">
        <f>I6&amp;".1"</f>
        <v>#N/A</v>
      </c>
      <c r="L7" s="842" t="s">
        <v>414</v>
      </c>
      <c r="P7" s="1038"/>
      <c r="Q7" s="1196">
        <v>1</v>
      </c>
      <c r="R7" s="845"/>
      <c r="S7" s="833" t="e">
        <f>$J7</f>
        <v>#N/A</v>
      </c>
      <c r="T7" s="846" t="s">
        <v>415</v>
      </c>
      <c r="U7" s="834"/>
      <c r="V7" s="1181"/>
      <c r="W7" s="1182"/>
      <c r="X7" s="1182"/>
      <c r="Y7" s="1182"/>
      <c r="Z7" s="1182"/>
      <c r="AA7" s="1182"/>
      <c r="AB7" s="1182"/>
      <c r="AC7" s="1183"/>
      <c r="AD7" s="1181"/>
      <c r="AE7" s="1182"/>
      <c r="AF7" s="1182"/>
      <c r="AG7" s="1182"/>
      <c r="AH7" s="1182"/>
      <c r="AI7" s="1182"/>
      <c r="AJ7" s="1182"/>
      <c r="AK7" s="1182"/>
      <c r="AL7" s="1183"/>
      <c r="AM7" s="836" t="s">
        <v>416</v>
      </c>
      <c r="AP7" s="583" t="str">
        <f t="shared" si="0"/>
        <v>Группа потребителей</v>
      </c>
      <c r="AS7" s="539">
        <v>0</v>
      </c>
    </row>
    <row r="8" spans="5:45" ht="21" hidden="1" customHeight="1">
      <c r="E8" s="1193"/>
      <c r="F8" s="1193"/>
      <c r="G8" s="1193"/>
      <c r="H8" s="1193"/>
      <c r="I8" s="1195"/>
      <c r="J8" s="1195"/>
      <c r="K8" s="1194" t="e">
        <f>J7&amp;".1"</f>
        <v>#N/A</v>
      </c>
      <c r="L8" s="842" t="s">
        <v>417</v>
      </c>
      <c r="P8" s="1038"/>
      <c r="Q8" s="1038"/>
      <c r="R8" s="845">
        <v>1</v>
      </c>
      <c r="S8" s="833" t="e">
        <f>$K8</f>
        <v>#N/A</v>
      </c>
      <c r="T8" s="847"/>
      <c r="U8" s="834"/>
      <c r="V8" s="312"/>
      <c r="W8" s="313"/>
      <c r="X8" s="312"/>
      <c r="Y8" s="314"/>
      <c r="Z8" s="1197"/>
      <c r="AA8" s="1079" t="s">
        <v>61</v>
      </c>
      <c r="AB8" s="1197"/>
      <c r="AC8" s="1079" t="s">
        <v>61</v>
      </c>
      <c r="AD8" s="312"/>
      <c r="AE8" s="313"/>
      <c r="AF8" s="312"/>
      <c r="AG8" s="314"/>
      <c r="AH8" s="1197"/>
      <c r="AI8" s="1079" t="s">
        <v>61</v>
      </c>
      <c r="AJ8" s="1197"/>
      <c r="AK8" s="1079" t="s">
        <v>61</v>
      </c>
      <c r="AL8" s="313"/>
      <c r="AM8" s="1215" t="s">
        <v>418</v>
      </c>
      <c r="AN8" s="578" t="e">
        <f ca="1">STRCHECKDATE(V9:AL9)</f>
        <v>#NAME?</v>
      </c>
      <c r="AP8" s="583" t="str">
        <f t="shared" si="0"/>
        <v/>
      </c>
      <c r="AS8" s="539">
        <v>0</v>
      </c>
    </row>
    <row r="9" spans="5:45" ht="0.75" hidden="1" customHeight="1">
      <c r="E9" s="1193"/>
      <c r="F9" s="1193"/>
      <c r="G9" s="1193"/>
      <c r="H9" s="1193"/>
      <c r="I9" s="1195"/>
      <c r="J9" s="1195"/>
      <c r="K9" s="1194"/>
      <c r="P9" s="1038"/>
      <c r="Q9" s="1038"/>
      <c r="R9" s="845"/>
      <c r="S9" s="127"/>
      <c r="T9" s="834"/>
      <c r="U9" s="834"/>
      <c r="V9" s="313"/>
      <c r="W9" s="313"/>
      <c r="X9" s="313"/>
      <c r="Y9" s="315" t="str">
        <f>Z8&amp;"-"&amp;AB8</f>
        <v>-</v>
      </c>
      <c r="Z9" s="1198"/>
      <c r="AA9" s="1079"/>
      <c r="AB9" s="1198"/>
      <c r="AC9" s="1079"/>
      <c r="AD9" s="313"/>
      <c r="AE9" s="313"/>
      <c r="AF9" s="313"/>
      <c r="AG9" s="315" t="str">
        <f>AH8&amp;"-"&amp;AJ8</f>
        <v>-</v>
      </c>
      <c r="AH9" s="1198"/>
      <c r="AI9" s="1079"/>
      <c r="AJ9" s="1198"/>
      <c r="AK9" s="1079"/>
      <c r="AL9" s="313"/>
      <c r="AM9" s="1216"/>
      <c r="AP9" s="583" t="str">
        <f t="shared" si="0"/>
        <v/>
      </c>
      <c r="AS9" s="539">
        <v>0</v>
      </c>
    </row>
    <row r="10" spans="5:45" ht="15" hidden="1" customHeight="1">
      <c r="E10" s="1193"/>
      <c r="F10" s="1193"/>
      <c r="G10" s="1193"/>
      <c r="H10" s="1193"/>
      <c r="I10" s="1195"/>
      <c r="J10" s="1194"/>
      <c r="P10" s="1038"/>
      <c r="Q10" s="1038"/>
      <c r="R10" s="843"/>
      <c r="S10" s="316"/>
      <c r="T10" s="317" t="s">
        <v>419</v>
      </c>
      <c r="U10" s="52"/>
      <c r="V10" s="52"/>
      <c r="W10" s="52"/>
      <c r="X10" s="52"/>
      <c r="Y10" s="52"/>
      <c r="Z10" s="52"/>
      <c r="AA10" s="52"/>
      <c r="AB10" s="52"/>
      <c r="AC10" s="52"/>
      <c r="AD10" s="52"/>
      <c r="AE10" s="52"/>
      <c r="AF10" s="52"/>
      <c r="AG10" s="52"/>
      <c r="AH10" s="52"/>
      <c r="AI10" s="52"/>
      <c r="AJ10" s="52"/>
      <c r="AK10" s="52"/>
      <c r="AL10" s="318"/>
      <c r="AM10" s="1217"/>
      <c r="AP10" s="583" t="str">
        <f t="shared" si="0"/>
        <v>Добавить вид теплоносителя (параметры теплоносителя)</v>
      </c>
      <c r="AS10" s="539">
        <v>0</v>
      </c>
    </row>
    <row r="11" spans="5:45" ht="15" hidden="1" customHeight="1">
      <c r="E11" s="1193"/>
      <c r="F11" s="1193"/>
      <c r="G11" s="1193"/>
      <c r="H11" s="1193"/>
      <c r="I11" s="1194"/>
      <c r="P11" s="1038"/>
      <c r="R11" s="843"/>
      <c r="S11" s="316"/>
      <c r="T11" s="319" t="s">
        <v>420</v>
      </c>
      <c r="U11" s="52"/>
      <c r="V11" s="52"/>
      <c r="W11" s="52"/>
      <c r="X11" s="52"/>
      <c r="Y11" s="52"/>
      <c r="Z11" s="52"/>
      <c r="AA11" s="52"/>
      <c r="AB11" s="52"/>
      <c r="AC11" s="320"/>
      <c r="AD11" s="52"/>
      <c r="AE11" s="52"/>
      <c r="AF11" s="52"/>
      <c r="AG11" s="52"/>
      <c r="AH11" s="52"/>
      <c r="AI11" s="52"/>
      <c r="AJ11" s="52"/>
      <c r="AK11" s="320"/>
      <c r="AL11" s="52"/>
      <c r="AM11" s="321"/>
      <c r="AP11" s="583" t="str">
        <f t="shared" si="0"/>
        <v>Добавить группу потребителей</v>
      </c>
      <c r="AS11" s="539">
        <v>0</v>
      </c>
    </row>
    <row r="12" spans="5:45" ht="14.25" hidden="1" customHeight="1">
      <c r="E12" s="1193"/>
      <c r="F12" s="1193"/>
      <c r="G12" s="1193"/>
      <c r="H12" s="1192"/>
      <c r="R12" s="311"/>
      <c r="S12" s="316"/>
      <c r="T12" s="322" t="s">
        <v>421</v>
      </c>
      <c r="U12" s="52"/>
      <c r="V12" s="52"/>
      <c r="W12" s="52"/>
      <c r="X12" s="52"/>
      <c r="Y12" s="52"/>
      <c r="Z12" s="52"/>
      <c r="AA12" s="52"/>
      <c r="AB12" s="52"/>
      <c r="AC12" s="320"/>
      <c r="AD12" s="52"/>
      <c r="AE12" s="52"/>
      <c r="AF12" s="52"/>
      <c r="AG12" s="52"/>
      <c r="AH12" s="52"/>
      <c r="AI12" s="52"/>
      <c r="AJ12" s="52"/>
      <c r="AK12" s="320"/>
      <c r="AL12" s="52"/>
      <c r="AM12" s="321"/>
      <c r="AP12" s="583" t="str">
        <f t="shared" si="0"/>
        <v>Добавить схему подключения</v>
      </c>
      <c r="AS12" s="539">
        <v>0</v>
      </c>
    </row>
    <row r="13" spans="5:45" ht="0.75" hidden="1" customHeight="1">
      <c r="E13" s="1193"/>
      <c r="F13" s="1193"/>
      <c r="G13" s="1192"/>
      <c r="S13" s="323"/>
      <c r="T13" s="324" t="s">
        <v>422</v>
      </c>
      <c r="U13" s="325"/>
      <c r="V13" s="325"/>
      <c r="W13" s="325"/>
      <c r="X13" s="325"/>
      <c r="Y13" s="325"/>
      <c r="Z13" s="325"/>
      <c r="AA13" s="325"/>
      <c r="AB13" s="325"/>
      <c r="AC13" s="325"/>
      <c r="AD13" s="325"/>
      <c r="AE13" s="325"/>
      <c r="AF13" s="325"/>
      <c r="AG13" s="325"/>
      <c r="AH13" s="325"/>
      <c r="AI13" s="325"/>
      <c r="AJ13" s="325"/>
      <c r="AK13" s="325"/>
      <c r="AL13" s="325"/>
      <c r="AM13" s="325"/>
      <c r="AP13" s="583" t="str">
        <f t="shared" si="0"/>
        <v>Добавить источник для дифференциации</v>
      </c>
      <c r="AS13" s="578">
        <v>0</v>
      </c>
    </row>
    <row r="14" spans="5:45" ht="0.75" hidden="1" customHeight="1">
      <c r="E14" s="1193"/>
      <c r="F14" s="1192"/>
      <c r="T14" s="326" t="s">
        <v>423</v>
      </c>
      <c r="AP14" s="583" t="str">
        <f t="shared" si="0"/>
        <v>Добавить централизованную систему для дифференциации</v>
      </c>
      <c r="AS14" s="578">
        <v>0</v>
      </c>
    </row>
    <row r="15" spans="5:45" ht="0.75" hidden="1" customHeight="1">
      <c r="E15" s="1192"/>
      <c r="T15" s="327" t="s">
        <v>424</v>
      </c>
      <c r="AP15" s="583" t="str">
        <f t="shared" si="0"/>
        <v>Добавить территорию для дифференциации</v>
      </c>
      <c r="AS15" s="578">
        <v>0</v>
      </c>
    </row>
    <row r="16" spans="5:45" ht="14.25" hidden="1" customHeight="1">
      <c r="AS16" s="539">
        <v>0</v>
      </c>
    </row>
    <row r="17" spans="15:45" ht="14.25" hidden="1" customHeight="1">
      <c r="AD17" s="276"/>
      <c r="AE17" s="276"/>
      <c r="AF17" s="276"/>
      <c r="AG17" s="328"/>
      <c r="AH17" s="1191"/>
      <c r="AI17" s="1190" t="s">
        <v>61</v>
      </c>
      <c r="AJ17" s="1191"/>
      <c r="AK17" s="1190" t="s">
        <v>61</v>
      </c>
      <c r="AS17" s="539">
        <v>0</v>
      </c>
    </row>
    <row r="18" spans="15:45" ht="14.25" hidden="1" customHeight="1">
      <c r="AD18" s="276"/>
      <c r="AE18" s="276"/>
      <c r="AF18" s="276"/>
      <c r="AG18" s="315" t="str">
        <f>AH17&amp;"-"&amp;AJ17</f>
        <v>-</v>
      </c>
      <c r="AH18" s="1190"/>
      <c r="AI18" s="1190"/>
      <c r="AJ18" s="1190"/>
      <c r="AK18" s="1190"/>
      <c r="AS18" s="539">
        <v>0</v>
      </c>
    </row>
    <row r="19" spans="15:45" ht="14.25" hidden="1" customHeight="1">
      <c r="AS19" s="539">
        <v>0</v>
      </c>
    </row>
    <row r="20" spans="15:45" ht="22.5" hidden="1" customHeight="1">
      <c r="O20" s="329" t="s">
        <v>425</v>
      </c>
      <c r="Z20" s="329"/>
      <c r="AB20" s="329"/>
      <c r="AH20" s="329"/>
      <c r="AJ20" s="329"/>
      <c r="AS20" s="556">
        <v>0</v>
      </c>
    </row>
    <row r="21" spans="15:45" ht="14.25" hidden="1" customHeight="1">
      <c r="AS21" s="556">
        <v>0</v>
      </c>
    </row>
    <row r="22" spans="15:45" ht="14.25" hidden="1" customHeight="1">
      <c r="O22" s="842" t="s">
        <v>426</v>
      </c>
      <c r="T22" s="556" t="s">
        <v>427</v>
      </c>
      <c r="AA22" s="599" t="s">
        <v>428</v>
      </c>
      <c r="AC22" s="599" t="s">
        <v>429</v>
      </c>
      <c r="AD22" s="556" t="s">
        <v>427</v>
      </c>
      <c r="AI22" s="599" t="s">
        <v>430</v>
      </c>
      <c r="AK22" s="599" t="s">
        <v>429</v>
      </c>
      <c r="AS22" s="556">
        <v>0</v>
      </c>
    </row>
    <row r="23" spans="15:45" ht="14.25" hidden="1" customHeight="1">
      <c r="AS23" s="539">
        <v>0</v>
      </c>
    </row>
    <row r="24" spans="15:45" ht="14.25" hidden="1" customHeight="1">
      <c r="AS24" s="539">
        <v>0</v>
      </c>
    </row>
    <row r="25" spans="15:45" ht="14.65" customHeight="1">
      <c r="Q25" s="757"/>
      <c r="R25" s="757"/>
      <c r="S25" s="848"/>
      <c r="T25" s="557"/>
      <c r="U25" s="557"/>
      <c r="AS25" s="539">
        <v>14</v>
      </c>
    </row>
    <row r="26" spans="15:45" ht="14.65" customHeight="1">
      <c r="Q26" s="757"/>
      <c r="R26" s="757"/>
      <c r="S26" s="1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4"/>
      <c r="U26" s="1174"/>
      <c r="V26" s="1174"/>
      <c r="W26" s="1174"/>
      <c r="X26" s="1174"/>
      <c r="Y26" s="1174"/>
      <c r="Z26" s="1174"/>
      <c r="AA26" s="1174"/>
      <c r="AB26" s="1174"/>
      <c r="AC26" s="1174"/>
      <c r="AD26" s="1174"/>
      <c r="AE26" s="1174"/>
      <c r="AF26" s="1174"/>
      <c r="AG26" s="1174"/>
      <c r="AH26" s="1174"/>
      <c r="AI26" s="1174"/>
      <c r="AJ26" s="1174"/>
      <c r="AS26" s="539">
        <v>14</v>
      </c>
    </row>
    <row r="27" spans="15:45" ht="14.65" customHeight="1">
      <c r="Q27" s="757"/>
      <c r="R27" s="757"/>
      <c r="S27" s="1148" t="str">
        <f>IF(org=0,"Не определено",org)</f>
        <v>АО "НИЖЕГОРОДСКИЙ ВОДОКАНАЛ"</v>
      </c>
      <c r="T27" s="1148"/>
      <c r="U27" s="1148"/>
      <c r="V27" s="1148"/>
      <c r="W27" s="1148"/>
      <c r="X27" s="1148"/>
      <c r="Y27" s="1148"/>
      <c r="Z27" s="1148"/>
      <c r="AA27" s="1148"/>
      <c r="AB27" s="1148"/>
      <c r="AC27" s="1148"/>
      <c r="AD27" s="1148"/>
      <c r="AE27" s="1148"/>
      <c r="AF27" s="1148"/>
      <c r="AG27" s="1148"/>
      <c r="AH27" s="1148"/>
      <c r="AI27" s="1148"/>
      <c r="AJ27" s="1148"/>
      <c r="AS27" s="539">
        <v>14</v>
      </c>
    </row>
    <row r="28" spans="15:45" ht="14.25" hidden="1" customHeight="1">
      <c r="Q28" s="757"/>
      <c r="R28" s="757"/>
      <c r="S28" s="848"/>
      <c r="T28" s="557"/>
      <c r="U28" s="557"/>
      <c r="V28" s="827"/>
      <c r="W28" s="827"/>
      <c r="X28" s="827"/>
      <c r="Y28" s="827"/>
      <c r="Z28" s="827"/>
      <c r="AA28" s="827"/>
      <c r="AB28" s="827"/>
      <c r="AC28" s="827"/>
      <c r="AD28" s="827"/>
      <c r="AE28" s="827"/>
      <c r="AF28" s="827"/>
      <c r="AG28" s="827"/>
      <c r="AH28" s="827"/>
      <c r="AI28" s="827"/>
      <c r="AJ28" s="827"/>
      <c r="AK28" s="827"/>
      <c r="AS28" s="539">
        <v>0</v>
      </c>
    </row>
    <row r="29" spans="15:45" ht="25.5" hidden="1" customHeight="1">
      <c r="S29" s="1184" t="s">
        <v>41</v>
      </c>
      <c r="T29" s="1184"/>
      <c r="U29" s="850"/>
      <c r="V29" s="1186" t="str">
        <f>IF(TITLE_NAME_OR_PR_CHANGE="",IF(TITLE_NAME_OR_PR="","",TITLE_NAME_OR_PR),TITLE_NAME_OR_PR_CHANGE)</f>
        <v/>
      </c>
      <c r="W29" s="1186"/>
      <c r="X29" s="1186"/>
      <c r="Y29" s="1186"/>
      <c r="Z29" s="1186"/>
      <c r="AA29" s="1186"/>
      <c r="AB29" s="1186"/>
      <c r="AD29" s="1186" t="str">
        <f>IF(TITLE_NAME_OR_PR_CHANGE="",IF(TITLE_NAME_OR_PR="","",TITLE_NAME_OR_PR),TITLE_NAME_OR_PR_CHANGE)</f>
        <v/>
      </c>
      <c r="AE29" s="1186"/>
      <c r="AF29" s="1186"/>
      <c r="AG29" s="1186"/>
      <c r="AH29" s="1186"/>
      <c r="AI29" s="1186"/>
      <c r="AJ29" s="1186"/>
      <c r="AS29" s="593">
        <v>0</v>
      </c>
    </row>
    <row r="30" spans="15:45" ht="18.75" hidden="1" customHeight="1">
      <c r="S30" s="1184" t="s">
        <v>431</v>
      </c>
      <c r="T30" s="1184"/>
      <c r="U30" s="850"/>
      <c r="V30" s="1185" t="str">
        <f>IF(TITLE_DATE_PR_CHANGE="",IF(TITLE_DATE_PR="","",TITLE_DATE_PR),TITLE_DATE_PR_CHANGE)</f>
        <v/>
      </c>
      <c r="W30" s="1185"/>
      <c r="X30" s="1185"/>
      <c r="Y30" s="1185"/>
      <c r="Z30" s="1185"/>
      <c r="AA30" s="1185"/>
      <c r="AB30" s="1185"/>
      <c r="AD30" s="1185" t="str">
        <f>IF(TITLE_DATE_PR_CHANGE="",IF(TITLE_DATE_PR="","",TITLE_DATE_PR),TITLE_DATE_PR_CHANGE)</f>
        <v/>
      </c>
      <c r="AE30" s="1185"/>
      <c r="AF30" s="1185"/>
      <c r="AG30" s="1185"/>
      <c r="AH30" s="1185"/>
      <c r="AI30" s="1185"/>
      <c r="AJ30" s="1185"/>
      <c r="AS30" s="593">
        <v>0</v>
      </c>
    </row>
    <row r="31" spans="15:45" ht="18.75" hidden="1" customHeight="1">
      <c r="S31" s="1184" t="s">
        <v>432</v>
      </c>
      <c r="T31" s="1184"/>
      <c r="U31" s="850"/>
      <c r="V31" s="1186" t="str">
        <f>IF(TITLE_NUMBER_PR_CHANGE="",IF(TITLE_NUMBER_PR="","",TITLE_NUMBER_PR),TITLE_NUMBER_PR_CHANGE)</f>
        <v/>
      </c>
      <c r="W31" s="1186"/>
      <c r="X31" s="1186"/>
      <c r="Y31" s="1186"/>
      <c r="Z31" s="1186"/>
      <c r="AA31" s="1186"/>
      <c r="AB31" s="1186"/>
      <c r="AD31" s="1186" t="str">
        <f>IF(TITLE_NUMBER_PR_CHANGE="",IF(TITLE_NUMBER_PR="","",TITLE_NUMBER_PR),TITLE_NUMBER_PR_CHANGE)</f>
        <v/>
      </c>
      <c r="AE31" s="1186"/>
      <c r="AF31" s="1186"/>
      <c r="AG31" s="1186"/>
      <c r="AH31" s="1186"/>
      <c r="AI31" s="1186"/>
      <c r="AJ31" s="1186"/>
      <c r="AS31" s="593">
        <v>0</v>
      </c>
    </row>
    <row r="32" spans="15:45" ht="18.75" hidden="1" customHeight="1">
      <c r="S32" s="1184" t="s">
        <v>42</v>
      </c>
      <c r="T32" s="1184"/>
      <c r="U32" s="850"/>
      <c r="V32" s="1186" t="str">
        <f>IF(TITLE_IST_PUB_CHANGE="",IF(TITLE_IST_PUB="","",TITLE_IST_PUB),TITLE_IST_PUB_CHANGE)</f>
        <v/>
      </c>
      <c r="W32" s="1186"/>
      <c r="X32" s="1186"/>
      <c r="Y32" s="1186"/>
      <c r="Z32" s="1186"/>
      <c r="AA32" s="1186"/>
      <c r="AB32" s="1186"/>
      <c r="AD32" s="1186" t="str">
        <f>IF(TITLE_IST_PUB_CHANGE="",IF(TITLE_IST_PUB="","",TITLE_IST_PUB),TITLE_IST_PUB_CHANGE)</f>
        <v/>
      </c>
      <c r="AE32" s="1186"/>
      <c r="AF32" s="1186"/>
      <c r="AG32" s="1186"/>
      <c r="AH32" s="1186"/>
      <c r="AI32" s="1186"/>
      <c r="AJ32" s="1186"/>
      <c r="AS32" s="593">
        <v>0</v>
      </c>
    </row>
    <row r="33" spans="1:45" ht="14.25" hidden="1" customHeight="1">
      <c r="Q33" s="757"/>
      <c r="R33" s="757"/>
      <c r="S33" s="848"/>
      <c r="T33" s="557"/>
      <c r="U33" s="557"/>
      <c r="V33" s="827"/>
      <c r="W33" s="827"/>
      <c r="X33" s="827"/>
      <c r="Y33" s="827"/>
      <c r="Z33" s="827"/>
      <c r="AA33" s="827"/>
      <c r="AB33" s="827"/>
      <c r="AC33" s="827"/>
      <c r="AD33" s="827"/>
      <c r="AE33" s="827"/>
      <c r="AF33" s="827"/>
      <c r="AG33" s="827"/>
      <c r="AH33" s="827"/>
      <c r="AI33" s="827"/>
      <c r="AJ33" s="827"/>
      <c r="AK33" s="827"/>
      <c r="AS33" s="539">
        <v>0</v>
      </c>
    </row>
    <row r="34" spans="1:45" ht="18.75" hidden="1" customHeight="1">
      <c r="S34" s="1184" t="s">
        <v>433</v>
      </c>
      <c r="T34" s="1184"/>
      <c r="U34" s="850"/>
      <c r="V34" s="1185" t="str">
        <f>IF(TITLE_DATE_PR_CHANGE="",IF(TITLE_DATE_PR="","",TITLE_DATE_PR),TITLE_DATE_PR_CHANGE)</f>
        <v/>
      </c>
      <c r="W34" s="1185"/>
      <c r="X34" s="1185"/>
      <c r="Y34" s="1185"/>
      <c r="Z34" s="1185"/>
      <c r="AA34" s="1185"/>
      <c r="AB34" s="1185"/>
      <c r="AD34" s="1185" t="str">
        <f>IF(TITLE_DATE_PR_CHANGE="",IF(TITLE_DATE_PR="","",TITLE_DATE_PR),TITLE_DATE_PR_CHANGE)</f>
        <v/>
      </c>
      <c r="AE34" s="1185"/>
      <c r="AF34" s="1185"/>
      <c r="AG34" s="1185"/>
      <c r="AH34" s="1185"/>
      <c r="AI34" s="1185"/>
      <c r="AJ34" s="1185"/>
      <c r="AS34" s="593">
        <v>0</v>
      </c>
    </row>
    <row r="35" spans="1:45" ht="18.75" hidden="1" customHeight="1">
      <c r="S35" s="1184" t="s">
        <v>434</v>
      </c>
      <c r="T35" s="1184"/>
      <c r="U35" s="850"/>
      <c r="V35" s="1186" t="str">
        <f>IF(TITLE_NUMBER_PR_CHANGE="",IF(TITLE_NUMBER_PR="","",TITLE_NUMBER_PR),TITLE_NUMBER_PR_CHANGE)</f>
        <v/>
      </c>
      <c r="W35" s="1186"/>
      <c r="X35" s="1186"/>
      <c r="Y35" s="1186"/>
      <c r="Z35" s="1186"/>
      <c r="AA35" s="1186"/>
      <c r="AB35" s="1186"/>
      <c r="AD35" s="1186" t="str">
        <f>IF(TITLE_NUMBER_PR_CHANGE="",IF(TITLE_NUMBER_PR="","",TITLE_NUMBER_PR),TITLE_NUMBER_PR_CHANGE)</f>
        <v/>
      </c>
      <c r="AE35" s="1186"/>
      <c r="AF35" s="1186"/>
      <c r="AG35" s="1186"/>
      <c r="AH35" s="1186"/>
      <c r="AI35" s="1186"/>
      <c r="AJ35" s="1186"/>
      <c r="AS35" s="593">
        <v>0</v>
      </c>
    </row>
    <row r="36" spans="1:45" ht="0" hidden="1" customHeight="1">
      <c r="AC36" s="578" t="s">
        <v>435</v>
      </c>
      <c r="AK36" s="578" t="s">
        <v>435</v>
      </c>
      <c r="AS36" s="593">
        <v>0</v>
      </c>
    </row>
    <row r="37" spans="1:45" ht="14.65" customHeight="1">
      <c r="Q37" s="757"/>
      <c r="R37" s="757"/>
      <c r="S37" s="848"/>
      <c r="T37" s="557"/>
      <c r="U37" s="851"/>
      <c r="V37" s="1204"/>
      <c r="W37" s="1204"/>
      <c r="X37" s="1204"/>
      <c r="Y37" s="1204"/>
      <c r="Z37" s="1204"/>
      <c r="AA37" s="1204"/>
      <c r="AB37" s="1204"/>
      <c r="AC37" s="1204"/>
      <c r="AD37" s="1204"/>
      <c r="AE37" s="1204"/>
      <c r="AF37" s="1204"/>
      <c r="AG37" s="1204"/>
      <c r="AH37" s="1204"/>
      <c r="AI37" s="1204"/>
      <c r="AJ37" s="1204"/>
      <c r="AK37" s="1204"/>
      <c r="AS37" s="539">
        <v>14</v>
      </c>
    </row>
    <row r="38" spans="1:45" ht="14.65" customHeight="1">
      <c r="Q38" s="757"/>
      <c r="R38" s="757"/>
      <c r="S38" s="1070" t="s">
        <v>308</v>
      </c>
      <c r="T38" s="1070"/>
      <c r="U38" s="1070"/>
      <c r="V38" s="1070"/>
      <c r="W38" s="1070"/>
      <c r="X38" s="1070"/>
      <c r="Y38" s="1070"/>
      <c r="Z38" s="1070"/>
      <c r="AA38" s="1070"/>
      <c r="AB38" s="1070"/>
      <c r="AC38" s="1070"/>
      <c r="AD38" s="1070"/>
      <c r="AE38" s="1070"/>
      <c r="AF38" s="1070"/>
      <c r="AG38" s="1070"/>
      <c r="AH38" s="1070"/>
      <c r="AI38" s="1070"/>
      <c r="AJ38" s="1070"/>
      <c r="AK38" s="1070"/>
      <c r="AL38" s="1070"/>
      <c r="AM38" s="1070" t="s">
        <v>309</v>
      </c>
      <c r="AS38" s="539">
        <v>14</v>
      </c>
    </row>
    <row r="39" spans="1:45" ht="14.65" customHeight="1">
      <c r="Q39" s="757"/>
      <c r="R39" s="757"/>
      <c r="S39" s="1205" t="s">
        <v>87</v>
      </c>
      <c r="T39" s="1155" t="s">
        <v>436</v>
      </c>
      <c r="U39" s="818"/>
      <c r="V39" s="1206" t="s">
        <v>437</v>
      </c>
      <c r="W39" s="1207"/>
      <c r="X39" s="1207"/>
      <c r="Y39" s="1207"/>
      <c r="Z39" s="1207"/>
      <c r="AA39" s="1207"/>
      <c r="AB39" s="1208"/>
      <c r="AC39" s="1209" t="s">
        <v>438</v>
      </c>
      <c r="AD39" s="1206" t="s">
        <v>437</v>
      </c>
      <c r="AE39" s="1207"/>
      <c r="AF39" s="1207"/>
      <c r="AG39" s="1207"/>
      <c r="AH39" s="1207"/>
      <c r="AI39" s="1207"/>
      <c r="AJ39" s="1208"/>
      <c r="AK39" s="1209" t="s">
        <v>439</v>
      </c>
      <c r="AL39" s="1212" t="s">
        <v>440</v>
      </c>
      <c r="AM39" s="1070"/>
      <c r="AS39" s="539">
        <v>14</v>
      </c>
    </row>
    <row r="40" spans="1:45" ht="35.65" customHeight="1">
      <c r="Q40" s="757"/>
      <c r="R40" s="757"/>
      <c r="S40" s="1205"/>
      <c r="T40" s="1155"/>
      <c r="U40" s="823"/>
      <c r="V40" s="1128" t="s">
        <v>441</v>
      </c>
      <c r="W40" s="1201" t="s">
        <v>442</v>
      </c>
      <c r="X40" s="1051" t="s">
        <v>443</v>
      </c>
      <c r="Y40" s="1050"/>
      <c r="Z40" s="1051" t="s">
        <v>444</v>
      </c>
      <c r="AA40" s="1056"/>
      <c r="AB40" s="1050"/>
      <c r="AC40" s="1210"/>
      <c r="AD40" s="1128" t="s">
        <v>441</v>
      </c>
      <c r="AE40" s="1201" t="s">
        <v>442</v>
      </c>
      <c r="AF40" s="1051" t="s">
        <v>443</v>
      </c>
      <c r="AG40" s="1050"/>
      <c r="AH40" s="1051" t="s">
        <v>444</v>
      </c>
      <c r="AI40" s="1056"/>
      <c r="AJ40" s="1050"/>
      <c r="AK40" s="1210"/>
      <c r="AL40" s="1213"/>
      <c r="AM40" s="1070"/>
      <c r="AS40" s="539">
        <v>34</v>
      </c>
    </row>
    <row r="41" spans="1:45" ht="35.65" customHeight="1">
      <c r="B41" s="599" t="s">
        <v>145</v>
      </c>
      <c r="C41" s="599" t="s">
        <v>146</v>
      </c>
      <c r="D41" s="599" t="s">
        <v>147</v>
      </c>
      <c r="E41" s="842" t="s">
        <v>445</v>
      </c>
      <c r="F41" s="842" t="s">
        <v>446</v>
      </c>
      <c r="G41" s="842" t="s">
        <v>447</v>
      </c>
      <c r="H41" s="842" t="s">
        <v>448</v>
      </c>
      <c r="I41" s="842" t="s">
        <v>449</v>
      </c>
      <c r="J41" s="842" t="s">
        <v>450</v>
      </c>
      <c r="K41" s="842" t="s">
        <v>451</v>
      </c>
      <c r="L41" s="842" t="s">
        <v>426</v>
      </c>
      <c r="Q41" s="757"/>
      <c r="R41" s="757"/>
      <c r="S41" s="1205"/>
      <c r="T41" s="1155"/>
      <c r="U41" s="853"/>
      <c r="V41" s="1179"/>
      <c r="W41" s="1202"/>
      <c r="X41" s="603" t="s">
        <v>452</v>
      </c>
      <c r="Y41" s="603" t="s">
        <v>453</v>
      </c>
      <c r="Z41" s="603" t="s">
        <v>454</v>
      </c>
      <c r="AA41" s="1160" t="s">
        <v>455</v>
      </c>
      <c r="AB41" s="1173"/>
      <c r="AC41" s="1211"/>
      <c r="AD41" s="1179"/>
      <c r="AE41" s="1202"/>
      <c r="AF41" s="603" t="s">
        <v>452</v>
      </c>
      <c r="AG41" s="603" t="s">
        <v>453</v>
      </c>
      <c r="AH41" s="603" t="s">
        <v>454</v>
      </c>
      <c r="AI41" s="1160" t="s">
        <v>455</v>
      </c>
      <c r="AJ41" s="1173"/>
      <c r="AK41" s="1211"/>
      <c r="AL41" s="1214"/>
      <c r="AM41" s="1070"/>
      <c r="AS41" s="539">
        <v>34</v>
      </c>
    </row>
    <row r="42" spans="1:45" ht="11.25" hidden="1" customHeight="1">
      <c r="Q42" s="854"/>
      <c r="R42" s="855">
        <v>1</v>
      </c>
      <c r="S42" s="330" t="s">
        <v>114</v>
      </c>
      <c r="T42" s="331" t="s">
        <v>102</v>
      </c>
      <c r="U42" s="856" t="str">
        <f ca="1">OFFSET(U42,0,-1)</f>
        <v>2</v>
      </c>
      <c r="V42" s="857">
        <f ca="1">OFFSET(V42,0,-1)+1</f>
        <v>3</v>
      </c>
      <c r="W42" s="857"/>
      <c r="X42" s="857">
        <f ca="1">OFFSET(X42,0,-1)+1</f>
        <v>1</v>
      </c>
      <c r="Y42" s="857">
        <f ca="1">OFFSET(Y42,0,-1)+1</f>
        <v>2</v>
      </c>
      <c r="Z42" s="857">
        <f ca="1">OFFSET(Z42,0,-1)+1</f>
        <v>3</v>
      </c>
      <c r="AA42" s="1203">
        <f ca="1">OFFSET(AA42,0,-1)+1</f>
        <v>4</v>
      </c>
      <c r="AB42" s="1203"/>
      <c r="AC42" s="857">
        <f ca="1">OFFSET(AC42,0,-2)+1</f>
        <v>5</v>
      </c>
      <c r="AD42" s="857">
        <f ca="1">OFFSET(AD42,0,-1)+1</f>
        <v>6</v>
      </c>
      <c r="AE42" s="857"/>
      <c r="AF42" s="857">
        <f ca="1">OFFSET(AF42,0,-1)+1</f>
        <v>1</v>
      </c>
      <c r="AG42" s="857">
        <f ca="1">OFFSET(AG42,0,-1)+1</f>
        <v>2</v>
      </c>
      <c r="AH42" s="857">
        <f ca="1">OFFSET(AH42,0,-1)+1</f>
        <v>3</v>
      </c>
      <c r="AI42" s="1203">
        <f ca="1">OFFSET(AI42,0,-1)+1</f>
        <v>4</v>
      </c>
      <c r="AJ42" s="1203"/>
      <c r="AK42" s="857">
        <f ca="1">OFFSET(AK42,0,-2)+1</f>
        <v>5</v>
      </c>
      <c r="AL42" s="856">
        <f ca="1">OFFSET(AL42,0,-1)</f>
        <v>5</v>
      </c>
      <c r="AM42" s="857">
        <f ca="1">OFFSET(AM42,0,-1)+1</f>
        <v>6</v>
      </c>
      <c r="AS42" s="682">
        <v>0</v>
      </c>
    </row>
    <row r="43" spans="1:45" ht="24" customHeight="1">
      <c r="A43" s="858" t="s">
        <v>166</v>
      </c>
      <c r="E43" s="1192">
        <v>1</v>
      </c>
      <c r="R43" s="311"/>
      <c r="S43" s="833">
        <f>INDEX(PT_DIFFERENTIATION_NUM_NTAR,MATCH(A43,PT_DIFFERENTIATION_NTAR_ID,0))</f>
        <v>0</v>
      </c>
      <c r="T43" s="796" t="s">
        <v>133</v>
      </c>
      <c r="U43" s="834"/>
      <c r="V43" s="1187"/>
      <c r="W43" s="1188"/>
      <c r="X43" s="1188"/>
      <c r="Y43" s="1188"/>
      <c r="Z43" s="1188"/>
      <c r="AA43" s="1188"/>
      <c r="AB43" s="1188"/>
      <c r="AC43" s="1189"/>
      <c r="AD43" s="1187" t="str">
        <f>INDEX(PT_DIFFERENTIATION_NTAR,MATCH(A43,PT_DIFFERENTIATION_NTAR_ID,0))</f>
        <v/>
      </c>
      <c r="AE43" s="1188"/>
      <c r="AF43" s="1188"/>
      <c r="AG43" s="1188"/>
      <c r="AH43" s="1188"/>
      <c r="AI43" s="1188"/>
      <c r="AJ43" s="1188"/>
      <c r="AK43" s="1188"/>
      <c r="AL43" s="1189"/>
      <c r="AM43" s="8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3" t="str">
        <f t="shared" ref="AP43:AP57" si="1">IF(T43="","",T43)</f>
        <v>Наименование тарифа</v>
      </c>
      <c r="AS43" s="539">
        <v>23</v>
      </c>
    </row>
    <row r="44" spans="1:45" ht="24" customHeight="1">
      <c r="A44" s="858" t="s">
        <v>166</v>
      </c>
      <c r="B44" s="858" t="s">
        <v>167</v>
      </c>
      <c r="E44" s="1193"/>
      <c r="F44" s="1192">
        <v>1</v>
      </c>
      <c r="Q44" s="837"/>
      <c r="R44" s="838"/>
      <c r="S44" s="833" t="str">
        <f>INDEX(PT_DIFFERENTIATION_NUM_TER,MATCH(B44,PT_DIFFERENTIATION_TER_ID,0))</f>
        <v>.</v>
      </c>
      <c r="T44" s="839" t="s">
        <v>405</v>
      </c>
      <c r="U44" s="834"/>
      <c r="V44" s="1187"/>
      <c r="W44" s="1188"/>
      <c r="X44" s="1188"/>
      <c r="Y44" s="1188"/>
      <c r="Z44" s="1188"/>
      <c r="AA44" s="1188"/>
      <c r="AB44" s="1188"/>
      <c r="AC44" s="1189"/>
      <c r="AD44" s="1187" t="str">
        <f>INDEX(PT_DIFFERENTIATION_TER,MATCH(B44,PT_DIFFERENTIATION_TER_ID,0))</f>
        <v/>
      </c>
      <c r="AE44" s="1188"/>
      <c r="AF44" s="1188"/>
      <c r="AG44" s="1188"/>
      <c r="AH44" s="1188"/>
      <c r="AI44" s="1188"/>
      <c r="AJ44" s="1188"/>
      <c r="AK44" s="1188"/>
      <c r="AL44" s="1189"/>
      <c r="AM44" s="836" t="s">
        <v>406</v>
      </c>
      <c r="AP44" s="583" t="str">
        <f t="shared" si="1"/>
        <v>Территория действия тарифа</v>
      </c>
      <c r="AS44" s="539">
        <v>23</v>
      </c>
    </row>
    <row r="45" spans="1:45" ht="24" customHeight="1">
      <c r="A45" s="858" t="s">
        <v>166</v>
      </c>
      <c r="B45" s="858" t="s">
        <v>167</v>
      </c>
      <c r="C45" s="858" t="s">
        <v>168</v>
      </c>
      <c r="E45" s="1193"/>
      <c r="F45" s="1193"/>
      <c r="G45" s="1192">
        <v>1</v>
      </c>
      <c r="Q45" s="837"/>
      <c r="R45" s="838"/>
      <c r="S45" s="833" t="str">
        <f>INDEX(PT_DIFFERENTIATION_NUM_CS,MATCH(C45,PT_DIFFERENTIATION_CS_ID,0))</f>
        <v>..</v>
      </c>
      <c r="T45" s="840" t="s">
        <v>407</v>
      </c>
      <c r="U45" s="834"/>
      <c r="V45" s="1187"/>
      <c r="W45" s="1188"/>
      <c r="X45" s="1188"/>
      <c r="Y45" s="1188"/>
      <c r="Z45" s="1188"/>
      <c r="AA45" s="1188"/>
      <c r="AB45" s="1188"/>
      <c r="AC45" s="1189"/>
      <c r="AD45" s="1187" t="str">
        <f>INDEX(PT_DIFFERENTIATION_CS,MATCH(C45,PT_DIFFERENTIATION_CS_ID,0))</f>
        <v/>
      </c>
      <c r="AE45" s="1188"/>
      <c r="AF45" s="1188"/>
      <c r="AG45" s="1188"/>
      <c r="AH45" s="1188"/>
      <c r="AI45" s="1188"/>
      <c r="AJ45" s="1188"/>
      <c r="AK45" s="1188"/>
      <c r="AL45" s="1189"/>
      <c r="AM45" s="836" t="s">
        <v>408</v>
      </c>
      <c r="AP45" s="583" t="str">
        <f t="shared" si="1"/>
        <v xml:space="preserve">Наименование системы теплоснабжения </v>
      </c>
      <c r="AS45" s="539">
        <v>23</v>
      </c>
    </row>
    <row r="46" spans="1:45" ht="24" customHeight="1">
      <c r="A46" s="858" t="s">
        <v>166</v>
      </c>
      <c r="B46" s="858" t="s">
        <v>167</v>
      </c>
      <c r="C46" s="858" t="s">
        <v>168</v>
      </c>
      <c r="D46" s="858" t="s">
        <v>169</v>
      </c>
      <c r="E46" s="1193"/>
      <c r="F46" s="1193"/>
      <c r="G46" s="1193"/>
      <c r="H46" s="1192">
        <v>1</v>
      </c>
      <c r="Q46" s="837"/>
      <c r="R46" s="838"/>
      <c r="S46" s="833" t="str">
        <f>INDEX(PT_DIFFERENTIATION_NUM_IST_TE,MATCH(D46,PT_DIFFERENTIATION_IST_TE_ID,0))</f>
        <v>...</v>
      </c>
      <c r="T46" s="841" t="s">
        <v>409</v>
      </c>
      <c r="U46" s="834"/>
      <c r="V46" s="1187"/>
      <c r="W46" s="1188"/>
      <c r="X46" s="1188"/>
      <c r="Y46" s="1188"/>
      <c r="Z46" s="1188"/>
      <c r="AA46" s="1188"/>
      <c r="AB46" s="1188"/>
      <c r="AC46" s="1189"/>
      <c r="AD46" s="1187" t="str">
        <f>INDEX(PT_DIFFERENTIATION_IST_TE,MATCH(D46,PT_DIFFERENTIATION_IST_TE_ID,0))</f>
        <v/>
      </c>
      <c r="AE46" s="1188"/>
      <c r="AF46" s="1188"/>
      <c r="AG46" s="1188"/>
      <c r="AH46" s="1188"/>
      <c r="AI46" s="1188"/>
      <c r="AJ46" s="1188"/>
      <c r="AK46" s="1188"/>
      <c r="AL46" s="1189"/>
      <c r="AM46" s="836" t="s">
        <v>410</v>
      </c>
      <c r="AP46" s="583" t="str">
        <f t="shared" si="1"/>
        <v xml:space="preserve">Источник тепловой энергии  </v>
      </c>
      <c r="AS46" s="539">
        <v>23</v>
      </c>
    </row>
    <row r="47" spans="1:45" ht="49.5" customHeight="1">
      <c r="A47" s="858" t="s">
        <v>166</v>
      </c>
      <c r="B47" s="858" t="s">
        <v>167</v>
      </c>
      <c r="C47" s="858" t="s">
        <v>168</v>
      </c>
      <c r="D47" s="858" t="s">
        <v>169</v>
      </c>
      <c r="E47" s="1193"/>
      <c r="F47" s="1193"/>
      <c r="G47" s="1193"/>
      <c r="H47" s="1193"/>
      <c r="I47" s="1194" t="str">
        <f>S46&amp;".1"</f>
        <v>....1</v>
      </c>
      <c r="L47" s="842" t="s">
        <v>411</v>
      </c>
      <c r="P47" s="1196">
        <v>1</v>
      </c>
      <c r="R47" s="843"/>
      <c r="S47" s="833" t="str">
        <f>$I47</f>
        <v>....1</v>
      </c>
      <c r="T47" s="844" t="s">
        <v>412</v>
      </c>
      <c r="U47" s="834"/>
      <c r="V47" s="1181"/>
      <c r="W47" s="1182"/>
      <c r="X47" s="1182"/>
      <c r="Y47" s="1182"/>
      <c r="Z47" s="1182"/>
      <c r="AA47" s="1182"/>
      <c r="AB47" s="1182"/>
      <c r="AC47" s="1183"/>
      <c r="AD47" s="1181"/>
      <c r="AE47" s="1182"/>
      <c r="AF47" s="1182"/>
      <c r="AG47" s="1182"/>
      <c r="AH47" s="1182"/>
      <c r="AI47" s="1182"/>
      <c r="AJ47" s="1182"/>
      <c r="AK47" s="1182"/>
      <c r="AL47" s="1183"/>
      <c r="AM47" s="836" t="s">
        <v>413</v>
      </c>
      <c r="AP47" s="583" t="str">
        <f t="shared" si="1"/>
        <v>Схема подключения теплопотребляющей установки к коллектору источника тепловой энергии</v>
      </c>
      <c r="AS47" s="539">
        <v>47</v>
      </c>
    </row>
    <row r="48" spans="1:45" ht="24" customHeight="1">
      <c r="A48" s="858" t="s">
        <v>166</v>
      </c>
      <c r="B48" s="858" t="s">
        <v>167</v>
      </c>
      <c r="C48" s="858" t="s">
        <v>168</v>
      </c>
      <c r="D48" s="858" t="s">
        <v>169</v>
      </c>
      <c r="E48" s="1193"/>
      <c r="F48" s="1193"/>
      <c r="G48" s="1193"/>
      <c r="H48" s="1193"/>
      <c r="I48" s="1195"/>
      <c r="J48" s="1194" t="str">
        <f>I47&amp;".1"</f>
        <v>....1.1</v>
      </c>
      <c r="L48" s="842" t="s">
        <v>414</v>
      </c>
      <c r="P48" s="1038"/>
      <c r="Q48" s="1196">
        <v>1</v>
      </c>
      <c r="R48" s="845"/>
      <c r="S48" s="833" t="str">
        <f>$J48</f>
        <v>....1.1</v>
      </c>
      <c r="T48" s="846" t="s">
        <v>415</v>
      </c>
      <c r="U48" s="834"/>
      <c r="V48" s="1181"/>
      <c r="W48" s="1182"/>
      <c r="X48" s="1182"/>
      <c r="Y48" s="1182"/>
      <c r="Z48" s="1182"/>
      <c r="AA48" s="1182"/>
      <c r="AB48" s="1182"/>
      <c r="AC48" s="1183"/>
      <c r="AD48" s="1181"/>
      <c r="AE48" s="1182"/>
      <c r="AF48" s="1182"/>
      <c r="AG48" s="1182"/>
      <c r="AH48" s="1182"/>
      <c r="AI48" s="1182"/>
      <c r="AJ48" s="1182"/>
      <c r="AK48" s="1182"/>
      <c r="AL48" s="1183"/>
      <c r="AM48" s="836" t="s">
        <v>416</v>
      </c>
      <c r="AP48" s="583" t="str">
        <f t="shared" si="1"/>
        <v>Группа потребителей</v>
      </c>
      <c r="AS48" s="539">
        <v>23</v>
      </c>
    </row>
    <row r="49" spans="1:45" ht="24" customHeight="1">
      <c r="A49" s="858" t="s">
        <v>166</v>
      </c>
      <c r="B49" s="858" t="s">
        <v>167</v>
      </c>
      <c r="C49" s="858" t="s">
        <v>168</v>
      </c>
      <c r="D49" s="858" t="s">
        <v>169</v>
      </c>
      <c r="E49" s="1193"/>
      <c r="F49" s="1193"/>
      <c r="G49" s="1193"/>
      <c r="H49" s="1193"/>
      <c r="I49" s="1195"/>
      <c r="J49" s="1195"/>
      <c r="K49" s="1194" t="str">
        <f>J48&amp;".1"</f>
        <v>....1.1.1</v>
      </c>
      <c r="L49" s="842" t="s">
        <v>417</v>
      </c>
      <c r="P49" s="1038"/>
      <c r="Q49" s="1038"/>
      <c r="R49" s="845">
        <v>1</v>
      </c>
      <c r="S49" s="833" t="str">
        <f>$K49</f>
        <v>....1.1.1</v>
      </c>
      <c r="T49" s="847"/>
      <c r="U49" s="834"/>
      <c r="V49" s="312"/>
      <c r="W49" s="313"/>
      <c r="X49" s="312"/>
      <c r="Y49" s="314"/>
      <c r="Z49" s="1197"/>
      <c r="AA49" s="1079" t="s">
        <v>61</v>
      </c>
      <c r="AB49" s="1197"/>
      <c r="AC49" s="1079" t="s">
        <v>61</v>
      </c>
      <c r="AD49" s="312"/>
      <c r="AE49" s="313"/>
      <c r="AF49" s="312"/>
      <c r="AG49" s="314"/>
      <c r="AH49" s="1197"/>
      <c r="AI49" s="1079" t="s">
        <v>61</v>
      </c>
      <c r="AJ49" s="1199"/>
      <c r="AK49" s="1079" t="s">
        <v>61</v>
      </c>
      <c r="AL49" s="332"/>
      <c r="AM49" s="1215" t="s">
        <v>418</v>
      </c>
      <c r="AN49" s="578" t="e">
        <f ca="1">STRCHECKDATE(V50:AL50)</f>
        <v>#NAME?</v>
      </c>
      <c r="AP49" s="583" t="str">
        <f t="shared" si="1"/>
        <v/>
      </c>
      <c r="AS49" s="539">
        <v>23</v>
      </c>
    </row>
    <row r="50" spans="1:45" ht="1.1499999999999999" customHeight="1">
      <c r="A50" s="858" t="s">
        <v>166</v>
      </c>
      <c r="B50" s="858" t="s">
        <v>167</v>
      </c>
      <c r="C50" s="858" t="s">
        <v>168</v>
      </c>
      <c r="D50" s="858" t="s">
        <v>169</v>
      </c>
      <c r="E50" s="1193"/>
      <c r="F50" s="1193"/>
      <c r="G50" s="1193"/>
      <c r="H50" s="1193"/>
      <c r="I50" s="1195"/>
      <c r="J50" s="1195"/>
      <c r="K50" s="1194"/>
      <c r="P50" s="1038"/>
      <c r="Q50" s="1038"/>
      <c r="R50" s="845"/>
      <c r="S50" s="127"/>
      <c r="T50" s="834"/>
      <c r="U50" s="834"/>
      <c r="V50" s="313"/>
      <c r="W50" s="313"/>
      <c r="X50" s="313"/>
      <c r="Y50" s="315" t="str">
        <f>Z49&amp;"-"&amp;AB49</f>
        <v>-</v>
      </c>
      <c r="Z50" s="1198"/>
      <c r="AA50" s="1079"/>
      <c r="AB50" s="1198"/>
      <c r="AC50" s="1079"/>
      <c r="AD50" s="313"/>
      <c r="AE50" s="313"/>
      <c r="AF50" s="313"/>
      <c r="AG50" s="315" t="str">
        <f>AH49&amp;"-"&amp;AJ49</f>
        <v>-</v>
      </c>
      <c r="AH50" s="1198"/>
      <c r="AI50" s="1079"/>
      <c r="AJ50" s="1200"/>
      <c r="AK50" s="1079"/>
      <c r="AL50" s="333"/>
      <c r="AM50" s="1216"/>
      <c r="AP50" s="583" t="str">
        <f t="shared" si="1"/>
        <v/>
      </c>
      <c r="AS50" s="539">
        <v>1</v>
      </c>
    </row>
    <row r="51" spans="1:45" ht="11.45" customHeight="1">
      <c r="A51" s="858" t="s">
        <v>166</v>
      </c>
      <c r="B51" s="858" t="s">
        <v>167</v>
      </c>
      <c r="C51" s="858" t="s">
        <v>168</v>
      </c>
      <c r="D51" s="858" t="s">
        <v>169</v>
      </c>
      <c r="E51" s="1193"/>
      <c r="F51" s="1193"/>
      <c r="G51" s="1193"/>
      <c r="H51" s="1193"/>
      <c r="I51" s="1195"/>
      <c r="J51" s="1194"/>
      <c r="P51" s="1038"/>
      <c r="Q51" s="1038"/>
      <c r="R51" s="843"/>
      <c r="S51" s="316"/>
      <c r="T51" s="317" t="s">
        <v>419</v>
      </c>
      <c r="U51" s="52"/>
      <c r="V51" s="52"/>
      <c r="W51" s="52"/>
      <c r="X51" s="52"/>
      <c r="Y51" s="52"/>
      <c r="Z51" s="52"/>
      <c r="AA51" s="52"/>
      <c r="AB51" s="52"/>
      <c r="AC51" s="52"/>
      <c r="AD51" s="52"/>
      <c r="AE51" s="52"/>
      <c r="AF51" s="52"/>
      <c r="AG51" s="52"/>
      <c r="AH51" s="52"/>
      <c r="AI51" s="52"/>
      <c r="AJ51" s="52"/>
      <c r="AK51" s="52"/>
      <c r="AL51" s="318"/>
      <c r="AM51" s="1217"/>
      <c r="AP51" s="583" t="str">
        <f t="shared" si="1"/>
        <v>Добавить вид теплоносителя (параметры теплоносителя)</v>
      </c>
      <c r="AS51" s="539">
        <v>11</v>
      </c>
    </row>
    <row r="52" spans="1:45" ht="11.45" customHeight="1">
      <c r="A52" s="858" t="s">
        <v>166</v>
      </c>
      <c r="B52" s="858" t="s">
        <v>167</v>
      </c>
      <c r="C52" s="858" t="s">
        <v>168</v>
      </c>
      <c r="D52" s="858" t="s">
        <v>169</v>
      </c>
      <c r="E52" s="1193"/>
      <c r="F52" s="1193"/>
      <c r="G52" s="1193"/>
      <c r="H52" s="1193"/>
      <c r="I52" s="1194"/>
      <c r="P52" s="1038"/>
      <c r="R52" s="843"/>
      <c r="S52" s="316"/>
      <c r="T52" s="319" t="s">
        <v>420</v>
      </c>
      <c r="U52" s="52"/>
      <c r="V52" s="52"/>
      <c r="W52" s="52"/>
      <c r="X52" s="52"/>
      <c r="Y52" s="52"/>
      <c r="Z52" s="52"/>
      <c r="AA52" s="52"/>
      <c r="AB52" s="52"/>
      <c r="AC52" s="320"/>
      <c r="AD52" s="52"/>
      <c r="AE52" s="52"/>
      <c r="AF52" s="52"/>
      <c r="AG52" s="52"/>
      <c r="AH52" s="52"/>
      <c r="AI52" s="52"/>
      <c r="AJ52" s="52"/>
      <c r="AK52" s="320"/>
      <c r="AL52" s="52"/>
      <c r="AM52" s="321"/>
      <c r="AP52" s="583" t="str">
        <f t="shared" si="1"/>
        <v>Добавить группу потребителей</v>
      </c>
      <c r="AS52" s="539">
        <v>11</v>
      </c>
    </row>
    <row r="53" spans="1:45" ht="14.65" customHeight="1">
      <c r="A53" s="858" t="s">
        <v>166</v>
      </c>
      <c r="B53" s="858" t="s">
        <v>167</v>
      </c>
      <c r="C53" s="858" t="s">
        <v>168</v>
      </c>
      <c r="D53" s="858" t="s">
        <v>169</v>
      </c>
      <c r="E53" s="1193"/>
      <c r="F53" s="1193"/>
      <c r="G53" s="1193"/>
      <c r="H53" s="1192"/>
      <c r="R53" s="311"/>
      <c r="S53" s="316"/>
      <c r="T53" s="322" t="s">
        <v>421</v>
      </c>
      <c r="U53" s="52"/>
      <c r="V53" s="52"/>
      <c r="W53" s="52"/>
      <c r="X53" s="52"/>
      <c r="Y53" s="52"/>
      <c r="Z53" s="52"/>
      <c r="AA53" s="52"/>
      <c r="AB53" s="52"/>
      <c r="AC53" s="320"/>
      <c r="AD53" s="52"/>
      <c r="AE53" s="52"/>
      <c r="AF53" s="52"/>
      <c r="AG53" s="52"/>
      <c r="AH53" s="52"/>
      <c r="AI53" s="52"/>
      <c r="AJ53" s="52"/>
      <c r="AK53" s="320"/>
      <c r="AL53" s="52"/>
      <c r="AM53" s="321"/>
      <c r="AP53" s="583" t="str">
        <f t="shared" si="1"/>
        <v>Добавить схему подключения</v>
      </c>
      <c r="AS53" s="539">
        <v>14</v>
      </c>
    </row>
    <row r="54" spans="1:45" ht="1.1499999999999999" customHeight="1">
      <c r="A54" s="575" t="s">
        <v>166</v>
      </c>
      <c r="B54" s="575" t="s">
        <v>167</v>
      </c>
      <c r="C54" s="575" t="s">
        <v>168</v>
      </c>
      <c r="E54" s="1193"/>
      <c r="F54" s="1193"/>
      <c r="G54" s="1192"/>
      <c r="T54" s="327" t="s">
        <v>422</v>
      </c>
      <c r="AP54" s="583" t="str">
        <f t="shared" si="1"/>
        <v>Добавить источник для дифференциации</v>
      </c>
      <c r="AS54" s="578">
        <v>1</v>
      </c>
    </row>
    <row r="55" spans="1:45" ht="1.1499999999999999" customHeight="1">
      <c r="A55" s="575" t="s">
        <v>166</v>
      </c>
      <c r="B55" s="575" t="s">
        <v>167</v>
      </c>
      <c r="E55" s="1193"/>
      <c r="F55" s="1192"/>
      <c r="T55" s="327" t="s">
        <v>423</v>
      </c>
      <c r="AP55" s="583" t="str">
        <f t="shared" si="1"/>
        <v>Добавить централизованную систему для дифференциации</v>
      </c>
      <c r="AS55" s="578">
        <v>1</v>
      </c>
    </row>
    <row r="56" spans="1:45" ht="1.1499999999999999" customHeight="1">
      <c r="A56" s="575" t="s">
        <v>166</v>
      </c>
      <c r="E56" s="1192"/>
      <c r="T56" s="327" t="s">
        <v>424</v>
      </c>
      <c r="AP56" s="583" t="str">
        <f t="shared" si="1"/>
        <v>Добавить территорию для дифференциации</v>
      </c>
      <c r="AS56" s="578">
        <v>1</v>
      </c>
    </row>
    <row r="57" spans="1:45" ht="1.1499999999999999" customHeight="1">
      <c r="T57" s="327" t="s">
        <v>456</v>
      </c>
      <c r="AP57" s="583" t="str">
        <f t="shared" si="1"/>
        <v>Добавить наименование тарифа</v>
      </c>
      <c r="AS57" s="578">
        <v>1</v>
      </c>
    </row>
    <row r="58" spans="1:45" ht="11.45" customHeight="1">
      <c r="AS58" s="539">
        <v>11</v>
      </c>
    </row>
    <row r="59" spans="1:45" ht="28.5" customHeight="1">
      <c r="T59" s="1038"/>
      <c r="U59" s="1038"/>
      <c r="V59" s="1038"/>
      <c r="W59" s="1038"/>
      <c r="X59" s="1038"/>
      <c r="Y59" s="1038"/>
      <c r="Z59" s="1038"/>
      <c r="AA59" s="1038"/>
      <c r="AB59" s="1038"/>
      <c r="AC59" s="1038"/>
      <c r="AD59" s="1038"/>
      <c r="AE59" s="1038"/>
      <c r="AF59" s="1038"/>
      <c r="AG59" s="1038"/>
      <c r="AH59" s="1038"/>
      <c r="AI59" s="1038"/>
      <c r="AJ59" s="1038"/>
      <c r="AK59" s="1038"/>
      <c r="AL59" s="1038"/>
      <c r="AM59" s="1038"/>
      <c r="AS59" s="539">
        <v>27</v>
      </c>
    </row>
    <row r="60" spans="1:45" ht="67.150000000000006" customHeight="1">
      <c r="T60" s="1038"/>
      <c r="U60" s="1038"/>
      <c r="V60" s="1038"/>
      <c r="W60" s="1038"/>
      <c r="X60" s="1038"/>
      <c r="Y60" s="1038"/>
      <c r="Z60" s="1038"/>
      <c r="AA60" s="1038"/>
      <c r="AB60" s="1038"/>
      <c r="AC60" s="1038"/>
      <c r="AD60" s="1038"/>
      <c r="AE60" s="1038"/>
      <c r="AF60" s="1038"/>
      <c r="AG60" s="1038"/>
      <c r="AH60" s="1038"/>
      <c r="AI60" s="1038"/>
      <c r="AJ60" s="1038"/>
      <c r="AK60" s="1038"/>
      <c r="AL60" s="1038"/>
      <c r="AM60" s="1038"/>
      <c r="AS60" s="539">
        <v>64</v>
      </c>
    </row>
    <row r="61" spans="1:45" ht="14.65" customHeight="1">
      <c r="AS61" s="539">
        <v>14</v>
      </c>
    </row>
    <row r="62" spans="1:45" ht="18.75" customHeight="1">
      <c r="T62" s="1038"/>
      <c r="U62" s="1038"/>
      <c r="V62" s="1038"/>
      <c r="W62" s="1038"/>
      <c r="X62" s="1038"/>
      <c r="Y62" s="1038"/>
      <c r="Z62" s="1038"/>
      <c r="AA62" s="1038"/>
      <c r="AB62" s="1038"/>
      <c r="AC62" s="1038"/>
      <c r="AD62" s="1038"/>
      <c r="AE62" s="1038"/>
      <c r="AF62" s="1038"/>
      <c r="AG62" s="1038"/>
      <c r="AH62" s="1038"/>
      <c r="AI62" s="1038"/>
      <c r="AJ62" s="1038"/>
      <c r="AK62" s="1038"/>
      <c r="AL62" s="1038"/>
      <c r="AM62" s="1038"/>
      <c r="AS62" s="539">
        <v>18</v>
      </c>
    </row>
    <row r="63" spans="1:45" ht="18.75" customHeight="1">
      <c r="T63" s="1038"/>
      <c r="U63" s="1038"/>
      <c r="V63" s="1038"/>
      <c r="W63" s="1038"/>
      <c r="X63" s="1038"/>
      <c r="Y63" s="1038"/>
      <c r="Z63" s="1038"/>
      <c r="AA63" s="1038"/>
      <c r="AB63" s="1038"/>
      <c r="AC63" s="1038"/>
      <c r="AD63" s="1038"/>
      <c r="AE63" s="1038"/>
      <c r="AF63" s="1038"/>
      <c r="AG63" s="1038"/>
      <c r="AH63" s="1038"/>
      <c r="AI63" s="1038"/>
      <c r="AJ63" s="1038"/>
      <c r="AK63" s="1038"/>
      <c r="AL63" s="1038"/>
      <c r="AM63" s="1038"/>
      <c r="AS63" s="539">
        <v>18</v>
      </c>
    </row>
    <row r="64" spans="1:45" ht="29.25" customHeight="1">
      <c r="T64" s="1038"/>
      <c r="U64" s="1038"/>
      <c r="V64" s="1038"/>
      <c r="W64" s="1038"/>
      <c r="X64" s="1038"/>
      <c r="Y64" s="1038"/>
      <c r="Z64" s="1038"/>
      <c r="AA64" s="1038"/>
      <c r="AB64" s="1038"/>
      <c r="AC64" s="1038"/>
      <c r="AD64" s="1038"/>
      <c r="AE64" s="1038"/>
      <c r="AF64" s="1038"/>
      <c r="AG64" s="1038"/>
      <c r="AH64" s="1038"/>
      <c r="AI64" s="1038"/>
      <c r="AJ64" s="1038"/>
      <c r="AK64" s="1038"/>
      <c r="AL64" s="1038"/>
      <c r="AM64" s="1038"/>
      <c r="AS64" s="539">
        <v>28</v>
      </c>
    </row>
    <row r="65" spans="1:45" ht="22.5" hidden="1" customHeight="1">
      <c r="A65" s="556" t="s">
        <v>81</v>
      </c>
      <c r="B65" s="556">
        <v>0</v>
      </c>
      <c r="C65" s="556">
        <v>0</v>
      </c>
      <c r="D65" s="556">
        <v>0</v>
      </c>
      <c r="E65" s="556">
        <v>0</v>
      </c>
      <c r="F65" s="556">
        <v>0</v>
      </c>
      <c r="G65" s="556">
        <v>0</v>
      </c>
      <c r="H65" s="556">
        <v>0</v>
      </c>
      <c r="I65" s="556">
        <v>0</v>
      </c>
      <c r="J65" s="556">
        <v>0</v>
      </c>
      <c r="K65" s="556">
        <v>0</v>
      </c>
      <c r="L65" s="668">
        <v>0</v>
      </c>
      <c r="M65" s="12">
        <v>0</v>
      </c>
      <c r="N65" s="12">
        <v>0</v>
      </c>
      <c r="O65" s="12">
        <v>0</v>
      </c>
      <c r="P65" s="301">
        <v>3</v>
      </c>
      <c r="Q65" s="822">
        <v>3</v>
      </c>
      <c r="R65" s="822">
        <v>3</v>
      </c>
      <c r="S65" s="554">
        <v>12</v>
      </c>
      <c r="T65" s="539">
        <v>35</v>
      </c>
      <c r="U65" s="539">
        <v>0</v>
      </c>
      <c r="V65" s="539">
        <v>0</v>
      </c>
      <c r="W65" s="539">
        <v>0</v>
      </c>
      <c r="X65" s="539">
        <v>0</v>
      </c>
      <c r="Y65" s="539">
        <v>0</v>
      </c>
      <c r="Z65" s="539">
        <v>0</v>
      </c>
      <c r="AA65" s="539">
        <v>0</v>
      </c>
      <c r="AB65" s="539">
        <v>0</v>
      </c>
      <c r="AC65" s="539">
        <v>0</v>
      </c>
      <c r="AD65" s="539">
        <v>24</v>
      </c>
      <c r="AE65" s="539">
        <v>0</v>
      </c>
      <c r="AF65" s="539">
        <v>24</v>
      </c>
      <c r="AG65" s="539">
        <v>24</v>
      </c>
      <c r="AH65" s="539">
        <v>11</v>
      </c>
      <c r="AI65" s="539">
        <v>3</v>
      </c>
      <c r="AJ65" s="539">
        <v>11</v>
      </c>
      <c r="AK65" s="539">
        <v>0</v>
      </c>
      <c r="AL65" s="539">
        <v>4</v>
      </c>
      <c r="AM65" s="539">
        <v>115</v>
      </c>
      <c r="AN65" s="578">
        <v>10</v>
      </c>
      <c r="AO65" s="578">
        <v>10</v>
      </c>
      <c r="AP65" s="578">
        <v>10</v>
      </c>
      <c r="AQ65" s="578">
        <v>10</v>
      </c>
      <c r="AR65" s="578">
        <v>10</v>
      </c>
      <c r="AS65" s="539">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1" style="1030" customWidth="1"/>
    <col min="21" max="21" width="0.140625" style="1030" customWidth="1"/>
    <col min="22" max="22" width="24.7109375" style="1030" hidden="1" customWidth="1"/>
    <col min="23" max="23" width="0.140625" style="1030" hidden="1" customWidth="1"/>
    <col min="24" max="25" width="24.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24.7109375" style="1030" customWidth="1"/>
    <col min="31" max="31" width="0.140625" style="1030" customWidth="1"/>
    <col min="32" max="33" width="24" style="1030" customWidth="1"/>
    <col min="34" max="34" width="11" style="1030" customWidth="1"/>
    <col min="35" max="35" width="3.7109375" style="1030" customWidth="1"/>
    <col min="36" max="36" width="11" style="1030" customWidth="1"/>
    <col min="37" max="37" width="8.5703125" style="1030" hidden="1" customWidth="1"/>
    <col min="38" max="38" width="4" style="1030" customWidth="1"/>
    <col min="39" max="39" width="115" style="1030" customWidth="1"/>
    <col min="40" max="44" width="10" style="1030" customWidth="1"/>
    <col min="45" max="45" width="10.5703125" style="1030" hidden="1"/>
  </cols>
  <sheetData>
    <row r="1" spans="5:45" ht="22.5" hidden="1" customHeight="1">
      <c r="AS1" s="539" t="s">
        <v>14</v>
      </c>
    </row>
    <row r="2" spans="5:45" ht="21" hidden="1" customHeight="1">
      <c r="E2" s="1192">
        <v>1</v>
      </c>
      <c r="R2" s="311"/>
      <c r="S2" s="833" t="e">
        <f>INDEX(PT_DIFFERENTIATION_NUM_NTAR,MATCH(A2,PT_DIFFERENTIATION_NTAR_ID,0))</f>
        <v>#N/A</v>
      </c>
      <c r="T2" s="796" t="s">
        <v>133</v>
      </c>
      <c r="U2" s="834"/>
      <c r="V2" s="1187"/>
      <c r="W2" s="1188"/>
      <c r="X2" s="1188"/>
      <c r="Y2" s="1188"/>
      <c r="Z2" s="1188"/>
      <c r="AA2" s="1188"/>
      <c r="AB2" s="1188"/>
      <c r="AC2" s="1189"/>
      <c r="AD2" s="1187" t="e">
        <f>INDEX(PT_DIFFERENTIATION_NTAR,MATCH(A2,PT_DIFFERENTIATION_NTAR_ID,0))</f>
        <v>#N/A</v>
      </c>
      <c r="AE2" s="1188"/>
      <c r="AF2" s="1188"/>
      <c r="AG2" s="1188"/>
      <c r="AH2" s="1188"/>
      <c r="AI2" s="1188"/>
      <c r="AJ2" s="1188"/>
      <c r="AK2" s="1188"/>
      <c r="AL2" s="1189"/>
      <c r="AM2" s="836" t="s">
        <v>404</v>
      </c>
      <c r="AP2" s="583" t="str">
        <f t="shared" ref="AP2:AP15" si="0">IF(T2="","",T2)</f>
        <v>Наименование тарифа</v>
      </c>
      <c r="AS2" s="539">
        <v>0</v>
      </c>
    </row>
    <row r="3" spans="5:45" ht="21"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8"/>
      <c r="AC3" s="1189"/>
      <c r="AD3" s="1187" t="e">
        <f>INDEX(PT_DIFFERENTIATION_TER,MATCH(B3,PT_DIFFERENTIATION_TER_ID,0))</f>
        <v>#N/A</v>
      </c>
      <c r="AE3" s="1188"/>
      <c r="AF3" s="1188"/>
      <c r="AG3" s="1188"/>
      <c r="AH3" s="1188"/>
      <c r="AI3" s="1188"/>
      <c r="AJ3" s="1188"/>
      <c r="AK3" s="1188"/>
      <c r="AL3" s="1189"/>
      <c r="AM3" s="836" t="s">
        <v>406</v>
      </c>
      <c r="AP3" s="583" t="str">
        <f t="shared" si="0"/>
        <v>Территория действия тарифа</v>
      </c>
      <c r="AS3" s="539">
        <v>0</v>
      </c>
    </row>
    <row r="4" spans="5:45" ht="23.25" hidden="1" customHeight="1">
      <c r="E4" s="1193"/>
      <c r="F4" s="1193"/>
      <c r="G4" s="1192">
        <v>1</v>
      </c>
      <c r="Q4" s="837"/>
      <c r="R4" s="838"/>
      <c r="S4" s="833" t="e">
        <f>INDEX(PT_DIFFERENTIATION_NUM_CS,MATCH(C4,PT_DIFFERENTIATION_CS_ID,0))</f>
        <v>#N/A</v>
      </c>
      <c r="T4" s="840" t="s">
        <v>407</v>
      </c>
      <c r="U4" s="834"/>
      <c r="V4" s="1187"/>
      <c r="W4" s="1188"/>
      <c r="X4" s="1188"/>
      <c r="Y4" s="1188"/>
      <c r="Z4" s="1188"/>
      <c r="AA4" s="1188"/>
      <c r="AB4" s="1188"/>
      <c r="AC4" s="1189"/>
      <c r="AD4" s="1187" t="e">
        <f>INDEX(PT_DIFFERENTIATION_CS,MATCH(C4,PT_DIFFERENTIATION_CS_ID,0))</f>
        <v>#N/A</v>
      </c>
      <c r="AE4" s="1188"/>
      <c r="AF4" s="1188"/>
      <c r="AG4" s="1188"/>
      <c r="AH4" s="1188"/>
      <c r="AI4" s="1188"/>
      <c r="AJ4" s="1188"/>
      <c r="AK4" s="1188"/>
      <c r="AL4" s="1189"/>
      <c r="AM4" s="836" t="s">
        <v>408</v>
      </c>
      <c r="AP4" s="583" t="str">
        <f t="shared" si="0"/>
        <v xml:space="preserve">Наименование системы теплоснабжения </v>
      </c>
      <c r="AS4" s="539">
        <v>0</v>
      </c>
    </row>
    <row r="5" spans="5:45" ht="21" hidden="1" customHeight="1">
      <c r="E5" s="1193"/>
      <c r="F5" s="1193"/>
      <c r="G5" s="1193"/>
      <c r="H5" s="1192">
        <v>1</v>
      </c>
      <c r="Q5" s="837"/>
      <c r="R5" s="838"/>
      <c r="S5" s="833" t="e">
        <f>INDEX(PT_DIFFERENTIATION_NUM_IST_TE,MATCH(D5,PT_DIFFERENTIATION_IST_TE_ID,0))</f>
        <v>#N/A</v>
      </c>
      <c r="T5" s="841" t="s">
        <v>409</v>
      </c>
      <c r="U5" s="834"/>
      <c r="V5" s="1187"/>
      <c r="W5" s="1188"/>
      <c r="X5" s="1188"/>
      <c r="Y5" s="1188"/>
      <c r="Z5" s="1188"/>
      <c r="AA5" s="1188"/>
      <c r="AB5" s="1188"/>
      <c r="AC5" s="1189"/>
      <c r="AD5" s="1187" t="e">
        <f>INDEX(PT_DIFFERENTIATION_IST_TE,MATCH(D5,PT_DIFFERENTIATION_IST_TE_ID,0))</f>
        <v>#N/A</v>
      </c>
      <c r="AE5" s="1188"/>
      <c r="AF5" s="1188"/>
      <c r="AG5" s="1188"/>
      <c r="AH5" s="1188"/>
      <c r="AI5" s="1188"/>
      <c r="AJ5" s="1188"/>
      <c r="AK5" s="1188"/>
      <c r="AL5" s="1189"/>
      <c r="AM5" s="836" t="s">
        <v>410</v>
      </c>
      <c r="AP5" s="583" t="str">
        <f t="shared" si="0"/>
        <v xml:space="preserve">Источник тепловой энергии  </v>
      </c>
      <c r="AS5" s="539">
        <v>0</v>
      </c>
    </row>
    <row r="6" spans="5:45" ht="47.25" hidden="1" customHeight="1">
      <c r="E6" s="1193"/>
      <c r="F6" s="1193"/>
      <c r="G6" s="1193"/>
      <c r="H6" s="1193"/>
      <c r="I6" s="1194" t="e">
        <f>S5&amp;".1"</f>
        <v>#N/A</v>
      </c>
      <c r="L6" s="842" t="s">
        <v>411</v>
      </c>
      <c r="P6" s="1196">
        <v>1</v>
      </c>
      <c r="R6" s="843"/>
      <c r="S6" s="833" t="e">
        <f>$I6</f>
        <v>#N/A</v>
      </c>
      <c r="T6" s="844" t="s">
        <v>412</v>
      </c>
      <c r="U6" s="834"/>
      <c r="V6" s="1181"/>
      <c r="W6" s="1182"/>
      <c r="X6" s="1182"/>
      <c r="Y6" s="1182"/>
      <c r="Z6" s="1182"/>
      <c r="AA6" s="1182"/>
      <c r="AB6" s="1182"/>
      <c r="AC6" s="1183"/>
      <c r="AD6" s="1181"/>
      <c r="AE6" s="1182"/>
      <c r="AF6" s="1182"/>
      <c r="AG6" s="1182"/>
      <c r="AH6" s="1182"/>
      <c r="AI6" s="1182"/>
      <c r="AJ6" s="1182"/>
      <c r="AK6" s="1182"/>
      <c r="AL6" s="1183"/>
      <c r="AM6" s="836" t="s">
        <v>413</v>
      </c>
      <c r="AP6" s="583" t="str">
        <f t="shared" si="0"/>
        <v>Схема подключения теплопотребляющей установки к коллектору источника тепловой энергии</v>
      </c>
      <c r="AS6" s="539">
        <v>0</v>
      </c>
    </row>
    <row r="7" spans="5:45" ht="21" hidden="1" customHeight="1">
      <c r="E7" s="1193"/>
      <c r="F7" s="1193"/>
      <c r="G7" s="1193"/>
      <c r="H7" s="1193"/>
      <c r="I7" s="1195"/>
      <c r="J7" s="1194" t="e">
        <f>I6&amp;".1"</f>
        <v>#N/A</v>
      </c>
      <c r="L7" s="842" t="s">
        <v>414</v>
      </c>
      <c r="P7" s="1038"/>
      <c r="Q7" s="1196">
        <v>1</v>
      </c>
      <c r="R7" s="845"/>
      <c r="S7" s="833" t="e">
        <f>$J7</f>
        <v>#N/A</v>
      </c>
      <c r="T7" s="846" t="s">
        <v>415</v>
      </c>
      <c r="U7" s="834"/>
      <c r="V7" s="1181"/>
      <c r="W7" s="1182"/>
      <c r="X7" s="1182"/>
      <c r="Y7" s="1182"/>
      <c r="Z7" s="1182"/>
      <c r="AA7" s="1182"/>
      <c r="AB7" s="1182"/>
      <c r="AC7" s="1183"/>
      <c r="AD7" s="1181"/>
      <c r="AE7" s="1182"/>
      <c r="AF7" s="1182"/>
      <c r="AG7" s="1182"/>
      <c r="AH7" s="1182"/>
      <c r="AI7" s="1182"/>
      <c r="AJ7" s="1182"/>
      <c r="AK7" s="1182"/>
      <c r="AL7" s="1183"/>
      <c r="AM7" s="836" t="s">
        <v>416</v>
      </c>
      <c r="AP7" s="583" t="str">
        <f t="shared" si="0"/>
        <v>Группа потребителей</v>
      </c>
      <c r="AS7" s="539">
        <v>0</v>
      </c>
    </row>
    <row r="8" spans="5:45" ht="21" hidden="1" customHeight="1">
      <c r="E8" s="1193"/>
      <c r="F8" s="1193"/>
      <c r="G8" s="1193"/>
      <c r="H8" s="1193"/>
      <c r="I8" s="1195"/>
      <c r="J8" s="1195"/>
      <c r="K8" s="1194" t="e">
        <f>J7&amp;".1"</f>
        <v>#N/A</v>
      </c>
      <c r="L8" s="842" t="s">
        <v>417</v>
      </c>
      <c r="P8" s="1038"/>
      <c r="Q8" s="1038"/>
      <c r="R8" s="845">
        <v>1</v>
      </c>
      <c r="S8" s="833" t="e">
        <f>$K8</f>
        <v>#N/A</v>
      </c>
      <c r="T8" s="847"/>
      <c r="U8" s="834"/>
      <c r="V8" s="312"/>
      <c r="W8" s="313"/>
      <c r="X8" s="312"/>
      <c r="Y8" s="314"/>
      <c r="Z8" s="1197"/>
      <c r="AA8" s="1079" t="s">
        <v>61</v>
      </c>
      <c r="AB8" s="1197"/>
      <c r="AC8" s="1079" t="s">
        <v>61</v>
      </c>
      <c r="AD8" s="312"/>
      <c r="AE8" s="313"/>
      <c r="AF8" s="312"/>
      <c r="AG8" s="314"/>
      <c r="AH8" s="1197"/>
      <c r="AI8" s="1079" t="s">
        <v>61</v>
      </c>
      <c r="AJ8" s="1197"/>
      <c r="AK8" s="1079" t="s">
        <v>61</v>
      </c>
      <c r="AL8" s="313"/>
      <c r="AM8" s="1215" t="s">
        <v>418</v>
      </c>
      <c r="AN8" s="578" t="e">
        <f ca="1">STRCHECKDATE(V9:AL9)</f>
        <v>#NAME?</v>
      </c>
      <c r="AP8" s="583" t="str">
        <f t="shared" si="0"/>
        <v/>
      </c>
      <c r="AS8" s="539">
        <v>0</v>
      </c>
    </row>
    <row r="9" spans="5:45" ht="0.75" hidden="1" customHeight="1">
      <c r="E9" s="1193"/>
      <c r="F9" s="1193"/>
      <c r="G9" s="1193"/>
      <c r="H9" s="1193"/>
      <c r="I9" s="1195"/>
      <c r="J9" s="1195"/>
      <c r="K9" s="1194"/>
      <c r="P9" s="1038"/>
      <c r="Q9" s="1038"/>
      <c r="R9" s="845"/>
      <c r="S9" s="127"/>
      <c r="T9" s="834"/>
      <c r="U9" s="834"/>
      <c r="V9" s="313"/>
      <c r="W9" s="313"/>
      <c r="X9" s="313"/>
      <c r="Y9" s="315" t="str">
        <f>Z8&amp;"-"&amp;AB8</f>
        <v>-</v>
      </c>
      <c r="Z9" s="1198"/>
      <c r="AA9" s="1079"/>
      <c r="AB9" s="1198"/>
      <c r="AC9" s="1079"/>
      <c r="AD9" s="313"/>
      <c r="AE9" s="313"/>
      <c r="AF9" s="313"/>
      <c r="AG9" s="315" t="str">
        <f>AH8&amp;"-"&amp;AJ8</f>
        <v>-</v>
      </c>
      <c r="AH9" s="1198"/>
      <c r="AI9" s="1079"/>
      <c r="AJ9" s="1198"/>
      <c r="AK9" s="1079"/>
      <c r="AL9" s="313"/>
      <c r="AM9" s="1216"/>
      <c r="AP9" s="583" t="str">
        <f t="shared" si="0"/>
        <v/>
      </c>
      <c r="AS9" s="539">
        <v>0</v>
      </c>
    </row>
    <row r="10" spans="5:45" ht="15" hidden="1" customHeight="1">
      <c r="E10" s="1193"/>
      <c r="F10" s="1193"/>
      <c r="G10" s="1193"/>
      <c r="H10" s="1193"/>
      <c r="I10" s="1195"/>
      <c r="J10" s="1194"/>
      <c r="P10" s="1038"/>
      <c r="Q10" s="1038"/>
      <c r="R10" s="843"/>
      <c r="S10" s="316"/>
      <c r="T10" s="317" t="s">
        <v>419</v>
      </c>
      <c r="U10" s="52"/>
      <c r="V10" s="52"/>
      <c r="W10" s="52"/>
      <c r="X10" s="52"/>
      <c r="Y10" s="52"/>
      <c r="Z10" s="52"/>
      <c r="AA10" s="52"/>
      <c r="AB10" s="52"/>
      <c r="AC10" s="52"/>
      <c r="AD10" s="52"/>
      <c r="AE10" s="52"/>
      <c r="AF10" s="52"/>
      <c r="AG10" s="52"/>
      <c r="AH10" s="52"/>
      <c r="AI10" s="52"/>
      <c r="AJ10" s="52"/>
      <c r="AK10" s="52"/>
      <c r="AL10" s="318"/>
      <c r="AM10" s="1217"/>
      <c r="AP10" s="583" t="str">
        <f t="shared" si="0"/>
        <v>Добавить вид теплоносителя (параметры теплоносителя)</v>
      </c>
      <c r="AS10" s="539">
        <v>0</v>
      </c>
    </row>
    <row r="11" spans="5:45" ht="15" hidden="1" customHeight="1">
      <c r="E11" s="1193"/>
      <c r="F11" s="1193"/>
      <c r="G11" s="1193"/>
      <c r="H11" s="1193"/>
      <c r="I11" s="1194"/>
      <c r="P11" s="1038"/>
      <c r="R11" s="843"/>
      <c r="S11" s="316"/>
      <c r="T11" s="319" t="s">
        <v>420</v>
      </c>
      <c r="U11" s="52"/>
      <c r="V11" s="52"/>
      <c r="W11" s="52"/>
      <c r="X11" s="52"/>
      <c r="Y11" s="52"/>
      <c r="Z11" s="52"/>
      <c r="AA11" s="52"/>
      <c r="AB11" s="52"/>
      <c r="AC11" s="320"/>
      <c r="AD11" s="52"/>
      <c r="AE11" s="52"/>
      <c r="AF11" s="52"/>
      <c r="AG11" s="52"/>
      <c r="AH11" s="52"/>
      <c r="AI11" s="52"/>
      <c r="AJ11" s="52"/>
      <c r="AK11" s="320"/>
      <c r="AL11" s="52"/>
      <c r="AM11" s="321"/>
      <c r="AP11" s="583" t="str">
        <f t="shared" si="0"/>
        <v>Добавить группу потребителей</v>
      </c>
      <c r="AS11" s="539">
        <v>0</v>
      </c>
    </row>
    <row r="12" spans="5:45" ht="14.25" hidden="1" customHeight="1">
      <c r="E12" s="1193"/>
      <c r="F12" s="1193"/>
      <c r="G12" s="1193"/>
      <c r="H12" s="1192"/>
      <c r="R12" s="311"/>
      <c r="S12" s="316"/>
      <c r="T12" s="322" t="s">
        <v>421</v>
      </c>
      <c r="U12" s="52"/>
      <c r="V12" s="52"/>
      <c r="W12" s="52"/>
      <c r="X12" s="52"/>
      <c r="Y12" s="52"/>
      <c r="Z12" s="52"/>
      <c r="AA12" s="52"/>
      <c r="AB12" s="52"/>
      <c r="AC12" s="320"/>
      <c r="AD12" s="52"/>
      <c r="AE12" s="52"/>
      <c r="AF12" s="52"/>
      <c r="AG12" s="52"/>
      <c r="AH12" s="52"/>
      <c r="AI12" s="52"/>
      <c r="AJ12" s="52"/>
      <c r="AK12" s="320"/>
      <c r="AL12" s="52"/>
      <c r="AM12" s="321"/>
      <c r="AP12" s="583" t="str">
        <f t="shared" si="0"/>
        <v>Добавить схему подключения</v>
      </c>
      <c r="AS12" s="539">
        <v>0</v>
      </c>
    </row>
    <row r="13" spans="5:45" ht="0.75" hidden="1" customHeight="1">
      <c r="E13" s="1193"/>
      <c r="F13" s="1193"/>
      <c r="G13" s="1192"/>
      <c r="S13" s="323"/>
      <c r="T13" s="324" t="s">
        <v>422</v>
      </c>
      <c r="U13" s="325"/>
      <c r="V13" s="325"/>
      <c r="W13" s="325"/>
      <c r="X13" s="325"/>
      <c r="Y13" s="325"/>
      <c r="Z13" s="325"/>
      <c r="AA13" s="325"/>
      <c r="AB13" s="325"/>
      <c r="AC13" s="325"/>
      <c r="AD13" s="325"/>
      <c r="AE13" s="325"/>
      <c r="AF13" s="325"/>
      <c r="AG13" s="325"/>
      <c r="AH13" s="325"/>
      <c r="AI13" s="325"/>
      <c r="AJ13" s="325"/>
      <c r="AK13" s="325"/>
      <c r="AL13" s="325"/>
      <c r="AM13" s="325"/>
      <c r="AP13" s="583" t="str">
        <f t="shared" si="0"/>
        <v>Добавить источник для дифференциации</v>
      </c>
      <c r="AS13" s="578">
        <v>0</v>
      </c>
    </row>
    <row r="14" spans="5:45" ht="0.75" hidden="1" customHeight="1">
      <c r="E14" s="1193"/>
      <c r="F14" s="1192"/>
      <c r="T14" s="326" t="s">
        <v>423</v>
      </c>
      <c r="AP14" s="583" t="str">
        <f t="shared" si="0"/>
        <v>Добавить централизованную систему для дифференциации</v>
      </c>
      <c r="AS14" s="578">
        <v>0</v>
      </c>
    </row>
    <row r="15" spans="5:45" ht="0.75" hidden="1" customHeight="1">
      <c r="E15" s="1192"/>
      <c r="T15" s="327" t="s">
        <v>424</v>
      </c>
      <c r="AP15" s="583" t="str">
        <f t="shared" si="0"/>
        <v>Добавить территорию для дифференциации</v>
      </c>
      <c r="AS15" s="578">
        <v>0</v>
      </c>
    </row>
    <row r="16" spans="5:45" ht="14.25" hidden="1" customHeight="1">
      <c r="AS16" s="539">
        <v>0</v>
      </c>
    </row>
    <row r="17" spans="15:45" ht="14.25" hidden="1" customHeight="1">
      <c r="AD17" s="276"/>
      <c r="AE17" s="276"/>
      <c r="AF17" s="276"/>
      <c r="AG17" s="328"/>
      <c r="AH17" s="1191"/>
      <c r="AI17" s="1190" t="s">
        <v>61</v>
      </c>
      <c r="AJ17" s="1191"/>
      <c r="AK17" s="1190" t="s">
        <v>61</v>
      </c>
      <c r="AS17" s="539">
        <v>0</v>
      </c>
    </row>
    <row r="18" spans="15:45" ht="14.25" hidden="1" customHeight="1">
      <c r="AD18" s="276"/>
      <c r="AE18" s="276"/>
      <c r="AF18" s="276"/>
      <c r="AG18" s="315" t="str">
        <f>AH17&amp;"-"&amp;AJ17</f>
        <v>-</v>
      </c>
      <c r="AH18" s="1190"/>
      <c r="AI18" s="1190"/>
      <c r="AJ18" s="1190"/>
      <c r="AK18" s="1190"/>
      <c r="AS18" s="539">
        <v>0</v>
      </c>
    </row>
    <row r="19" spans="15:45" ht="14.25" hidden="1" customHeight="1">
      <c r="AS19" s="539">
        <v>0</v>
      </c>
    </row>
    <row r="20" spans="15:45" ht="22.5" hidden="1" customHeight="1">
      <c r="O20" s="329" t="s">
        <v>425</v>
      </c>
      <c r="Z20" s="329"/>
      <c r="AB20" s="329"/>
      <c r="AH20" s="329"/>
      <c r="AJ20" s="329"/>
      <c r="AS20" s="556">
        <v>0</v>
      </c>
    </row>
    <row r="21" spans="15:45" ht="14.25" hidden="1" customHeight="1">
      <c r="AS21" s="556">
        <v>0</v>
      </c>
    </row>
    <row r="22" spans="15:45" ht="14.25" hidden="1" customHeight="1">
      <c r="O22" s="842" t="s">
        <v>426</v>
      </c>
      <c r="T22" s="556" t="s">
        <v>427</v>
      </c>
      <c r="AA22" s="599" t="s">
        <v>428</v>
      </c>
      <c r="AC22" s="599" t="s">
        <v>429</v>
      </c>
      <c r="AD22" s="556" t="s">
        <v>427</v>
      </c>
      <c r="AI22" s="599" t="s">
        <v>430</v>
      </c>
      <c r="AK22" s="599" t="s">
        <v>429</v>
      </c>
      <c r="AS22" s="556">
        <v>0</v>
      </c>
    </row>
    <row r="23" spans="15:45" ht="14.25" hidden="1" customHeight="1">
      <c r="AS23" s="539">
        <v>0</v>
      </c>
    </row>
    <row r="24" spans="15:45" ht="14.25" hidden="1" customHeight="1">
      <c r="AS24" s="539">
        <v>0</v>
      </c>
    </row>
    <row r="25" spans="15:45" ht="14.65" customHeight="1">
      <c r="Q25" s="757"/>
      <c r="R25" s="757"/>
      <c r="S25" s="848"/>
      <c r="T25" s="557"/>
      <c r="U25" s="557"/>
      <c r="AS25" s="539">
        <v>14</v>
      </c>
    </row>
    <row r="26" spans="15:45" ht="14.65" customHeight="1">
      <c r="Q26" s="757"/>
      <c r="R26" s="757"/>
      <c r="S26" s="1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4"/>
      <c r="U26" s="1174"/>
      <c r="V26" s="1174"/>
      <c r="W26" s="1174"/>
      <c r="X26" s="1174"/>
      <c r="Y26" s="1174"/>
      <c r="Z26" s="1174"/>
      <c r="AA26" s="1174"/>
      <c r="AB26" s="1174"/>
      <c r="AC26" s="1174"/>
      <c r="AD26" s="1174"/>
      <c r="AE26" s="1174"/>
      <c r="AF26" s="1174"/>
      <c r="AG26" s="1174"/>
      <c r="AH26" s="1174"/>
      <c r="AI26" s="1174"/>
      <c r="AJ26" s="1174"/>
      <c r="AS26" s="539">
        <v>14</v>
      </c>
    </row>
    <row r="27" spans="15:45" ht="14.65" customHeight="1">
      <c r="Q27" s="757"/>
      <c r="R27" s="757"/>
      <c r="S27" s="1148" t="str">
        <f>IF(org=0,"Не определено",org)</f>
        <v>АО "НИЖЕГОРОДСКИЙ ВОДОКАНАЛ"</v>
      </c>
      <c r="T27" s="1148"/>
      <c r="U27" s="1148"/>
      <c r="V27" s="1148"/>
      <c r="W27" s="1148"/>
      <c r="X27" s="1148"/>
      <c r="Y27" s="1148"/>
      <c r="Z27" s="1148"/>
      <c r="AA27" s="1148"/>
      <c r="AB27" s="1148"/>
      <c r="AC27" s="1148"/>
      <c r="AD27" s="1148"/>
      <c r="AE27" s="1148"/>
      <c r="AF27" s="1148"/>
      <c r="AG27" s="1148"/>
      <c r="AH27" s="1148"/>
      <c r="AI27" s="1148"/>
      <c r="AJ27" s="1148"/>
      <c r="AS27" s="539">
        <v>14</v>
      </c>
    </row>
    <row r="28" spans="15:45" ht="14.25" hidden="1" customHeight="1">
      <c r="Q28" s="757"/>
      <c r="R28" s="757"/>
      <c r="S28" s="848"/>
      <c r="T28" s="557"/>
      <c r="U28" s="557"/>
      <c r="V28" s="827"/>
      <c r="W28" s="827"/>
      <c r="X28" s="827"/>
      <c r="Y28" s="827"/>
      <c r="Z28" s="827"/>
      <c r="AA28" s="827"/>
      <c r="AB28" s="827"/>
      <c r="AC28" s="827"/>
      <c r="AD28" s="827"/>
      <c r="AE28" s="827"/>
      <c r="AF28" s="827"/>
      <c r="AG28" s="827"/>
      <c r="AH28" s="827"/>
      <c r="AI28" s="827"/>
      <c r="AJ28" s="827"/>
      <c r="AK28" s="827"/>
      <c r="AS28" s="539">
        <v>0</v>
      </c>
    </row>
    <row r="29" spans="15:45" ht="25.5" hidden="1" customHeight="1">
      <c r="S29" s="1184" t="s">
        <v>41</v>
      </c>
      <c r="T29" s="1184"/>
      <c r="U29" s="850"/>
      <c r="V29" s="1186" t="str">
        <f>IF(TITLE_NAME_OR_PR_CHANGE="",IF(TITLE_NAME_OR_PR="","",TITLE_NAME_OR_PR),TITLE_NAME_OR_PR_CHANGE)</f>
        <v/>
      </c>
      <c r="W29" s="1186"/>
      <c r="X29" s="1186"/>
      <c r="Y29" s="1186"/>
      <c r="Z29" s="1186"/>
      <c r="AA29" s="1186"/>
      <c r="AB29" s="1186"/>
      <c r="AD29" s="1186" t="str">
        <f>IF(TITLE_NAME_OR_PR_CHANGE="",IF(TITLE_NAME_OR_PR="","",TITLE_NAME_OR_PR),TITLE_NAME_OR_PR_CHANGE)</f>
        <v/>
      </c>
      <c r="AE29" s="1186"/>
      <c r="AF29" s="1186"/>
      <c r="AG29" s="1186"/>
      <c r="AH29" s="1186"/>
      <c r="AI29" s="1186"/>
      <c r="AJ29" s="1186"/>
      <c r="AS29" s="593">
        <v>0</v>
      </c>
    </row>
    <row r="30" spans="15:45" ht="18.75" hidden="1" customHeight="1">
      <c r="S30" s="1184" t="s">
        <v>431</v>
      </c>
      <c r="T30" s="1184"/>
      <c r="U30" s="850"/>
      <c r="V30" s="1185" t="str">
        <f>IF(TITLE_DATE_PR_CHANGE="",IF(TITLE_DATE_PR="","",TITLE_DATE_PR),TITLE_DATE_PR_CHANGE)</f>
        <v/>
      </c>
      <c r="W30" s="1185"/>
      <c r="X30" s="1185"/>
      <c r="Y30" s="1185"/>
      <c r="Z30" s="1185"/>
      <c r="AA30" s="1185"/>
      <c r="AB30" s="1185"/>
      <c r="AD30" s="1185" t="str">
        <f>IF(TITLE_DATE_PR_CHANGE="",IF(TITLE_DATE_PR="","",TITLE_DATE_PR),TITLE_DATE_PR_CHANGE)</f>
        <v/>
      </c>
      <c r="AE30" s="1185"/>
      <c r="AF30" s="1185"/>
      <c r="AG30" s="1185"/>
      <c r="AH30" s="1185"/>
      <c r="AI30" s="1185"/>
      <c r="AJ30" s="1185"/>
      <c r="AS30" s="593">
        <v>0</v>
      </c>
    </row>
    <row r="31" spans="15:45" ht="18.75" hidden="1" customHeight="1">
      <c r="S31" s="1184" t="s">
        <v>432</v>
      </c>
      <c r="T31" s="1184"/>
      <c r="U31" s="850"/>
      <c r="V31" s="1186" t="str">
        <f>IF(TITLE_NUMBER_PR_CHANGE="",IF(TITLE_NUMBER_PR="","",TITLE_NUMBER_PR),TITLE_NUMBER_PR_CHANGE)</f>
        <v/>
      </c>
      <c r="W31" s="1186"/>
      <c r="X31" s="1186"/>
      <c r="Y31" s="1186"/>
      <c r="Z31" s="1186"/>
      <c r="AA31" s="1186"/>
      <c r="AB31" s="1186"/>
      <c r="AD31" s="1186" t="str">
        <f>IF(TITLE_NUMBER_PR_CHANGE="",IF(TITLE_NUMBER_PR="","",TITLE_NUMBER_PR),TITLE_NUMBER_PR_CHANGE)</f>
        <v/>
      </c>
      <c r="AE31" s="1186"/>
      <c r="AF31" s="1186"/>
      <c r="AG31" s="1186"/>
      <c r="AH31" s="1186"/>
      <c r="AI31" s="1186"/>
      <c r="AJ31" s="1186"/>
      <c r="AS31" s="593">
        <v>0</v>
      </c>
    </row>
    <row r="32" spans="15:45" ht="18.75" hidden="1" customHeight="1">
      <c r="S32" s="1184" t="s">
        <v>42</v>
      </c>
      <c r="T32" s="1184"/>
      <c r="U32" s="850"/>
      <c r="V32" s="1186" t="str">
        <f>IF(TITLE_IST_PUB_CHANGE="",IF(TITLE_IST_PUB="","",TITLE_IST_PUB),TITLE_IST_PUB_CHANGE)</f>
        <v/>
      </c>
      <c r="W32" s="1186"/>
      <c r="X32" s="1186"/>
      <c r="Y32" s="1186"/>
      <c r="Z32" s="1186"/>
      <c r="AA32" s="1186"/>
      <c r="AB32" s="1186"/>
      <c r="AD32" s="1186" t="str">
        <f>IF(TITLE_IST_PUB_CHANGE="",IF(TITLE_IST_PUB="","",TITLE_IST_PUB),TITLE_IST_PUB_CHANGE)</f>
        <v/>
      </c>
      <c r="AE32" s="1186"/>
      <c r="AF32" s="1186"/>
      <c r="AG32" s="1186"/>
      <c r="AH32" s="1186"/>
      <c r="AI32" s="1186"/>
      <c r="AJ32" s="1186"/>
      <c r="AS32" s="593">
        <v>0</v>
      </c>
    </row>
    <row r="33" spans="1:45" ht="14.25" hidden="1" customHeight="1">
      <c r="Q33" s="757"/>
      <c r="R33" s="757"/>
      <c r="S33" s="848"/>
      <c r="T33" s="557"/>
      <c r="U33" s="557"/>
      <c r="V33" s="827"/>
      <c r="W33" s="827"/>
      <c r="X33" s="827"/>
      <c r="Y33" s="827"/>
      <c r="Z33" s="827"/>
      <c r="AA33" s="827"/>
      <c r="AB33" s="827"/>
      <c r="AC33" s="827"/>
      <c r="AD33" s="827"/>
      <c r="AE33" s="827"/>
      <c r="AF33" s="827"/>
      <c r="AG33" s="827"/>
      <c r="AH33" s="827"/>
      <c r="AI33" s="827"/>
      <c r="AJ33" s="827"/>
      <c r="AK33" s="827"/>
      <c r="AS33" s="539">
        <v>0</v>
      </c>
    </row>
    <row r="34" spans="1:45" ht="18.75" hidden="1" customHeight="1">
      <c r="S34" s="1184" t="s">
        <v>433</v>
      </c>
      <c r="T34" s="1184"/>
      <c r="U34" s="850"/>
      <c r="V34" s="1185" t="str">
        <f>IF(TITLE_DATE_PR_CHANGE="",IF(TITLE_DATE_PR="","",TITLE_DATE_PR),TITLE_DATE_PR_CHANGE)</f>
        <v/>
      </c>
      <c r="W34" s="1185"/>
      <c r="X34" s="1185"/>
      <c r="Y34" s="1185"/>
      <c r="Z34" s="1185"/>
      <c r="AA34" s="1185"/>
      <c r="AB34" s="1185"/>
      <c r="AD34" s="1185" t="str">
        <f>IF(TITLE_DATE_PR_CHANGE="",IF(TITLE_DATE_PR="","",TITLE_DATE_PR),TITLE_DATE_PR_CHANGE)</f>
        <v/>
      </c>
      <c r="AE34" s="1185"/>
      <c r="AF34" s="1185"/>
      <c r="AG34" s="1185"/>
      <c r="AH34" s="1185"/>
      <c r="AI34" s="1185"/>
      <c r="AJ34" s="1185"/>
      <c r="AS34" s="593">
        <v>0</v>
      </c>
    </row>
    <row r="35" spans="1:45" ht="18.75" hidden="1" customHeight="1">
      <c r="S35" s="1184" t="s">
        <v>434</v>
      </c>
      <c r="T35" s="1184"/>
      <c r="U35" s="850"/>
      <c r="V35" s="1186" t="str">
        <f>IF(TITLE_NUMBER_PR_CHANGE="",IF(TITLE_NUMBER_PR="","",TITLE_NUMBER_PR),TITLE_NUMBER_PR_CHANGE)</f>
        <v/>
      </c>
      <c r="W35" s="1186"/>
      <c r="X35" s="1186"/>
      <c r="Y35" s="1186"/>
      <c r="Z35" s="1186"/>
      <c r="AA35" s="1186"/>
      <c r="AB35" s="1186"/>
      <c r="AD35" s="1186" t="str">
        <f>IF(TITLE_NUMBER_PR_CHANGE="",IF(TITLE_NUMBER_PR="","",TITLE_NUMBER_PR),TITLE_NUMBER_PR_CHANGE)</f>
        <v/>
      </c>
      <c r="AE35" s="1186"/>
      <c r="AF35" s="1186"/>
      <c r="AG35" s="1186"/>
      <c r="AH35" s="1186"/>
      <c r="AI35" s="1186"/>
      <c r="AJ35" s="1186"/>
      <c r="AS35" s="593">
        <v>0</v>
      </c>
    </row>
    <row r="36" spans="1:45" ht="0" hidden="1" customHeight="1">
      <c r="AC36" s="578" t="s">
        <v>435</v>
      </c>
      <c r="AK36" s="578" t="s">
        <v>435</v>
      </c>
      <c r="AS36" s="593">
        <v>0</v>
      </c>
    </row>
    <row r="37" spans="1:45" ht="14.65" customHeight="1">
      <c r="Q37" s="757"/>
      <c r="R37" s="757"/>
      <c r="S37" s="848"/>
      <c r="T37" s="557"/>
      <c r="U37" s="851"/>
      <c r="V37" s="1204"/>
      <c r="W37" s="1204"/>
      <c r="X37" s="1204"/>
      <c r="Y37" s="1204"/>
      <c r="Z37" s="1204"/>
      <c r="AA37" s="1204"/>
      <c r="AB37" s="1204"/>
      <c r="AC37" s="1204"/>
      <c r="AD37" s="1204"/>
      <c r="AE37" s="1204"/>
      <c r="AF37" s="1204"/>
      <c r="AG37" s="1204"/>
      <c r="AH37" s="1204"/>
      <c r="AI37" s="1204"/>
      <c r="AJ37" s="1204"/>
      <c r="AK37" s="1204"/>
      <c r="AS37" s="539">
        <v>14</v>
      </c>
    </row>
    <row r="38" spans="1:45" ht="14.65" customHeight="1">
      <c r="Q38" s="757"/>
      <c r="R38" s="757"/>
      <c r="S38" s="1070" t="s">
        <v>308</v>
      </c>
      <c r="T38" s="1070"/>
      <c r="U38" s="1070"/>
      <c r="V38" s="1070"/>
      <c r="W38" s="1070"/>
      <c r="X38" s="1070"/>
      <c r="Y38" s="1070"/>
      <c r="Z38" s="1070"/>
      <c r="AA38" s="1070"/>
      <c r="AB38" s="1070"/>
      <c r="AC38" s="1070"/>
      <c r="AD38" s="1070"/>
      <c r="AE38" s="1070"/>
      <c r="AF38" s="1070"/>
      <c r="AG38" s="1070"/>
      <c r="AH38" s="1070"/>
      <c r="AI38" s="1070"/>
      <c r="AJ38" s="1070"/>
      <c r="AK38" s="1070"/>
      <c r="AL38" s="1070"/>
      <c r="AM38" s="1070" t="s">
        <v>309</v>
      </c>
      <c r="AS38" s="539">
        <v>14</v>
      </c>
    </row>
    <row r="39" spans="1:45" ht="14.65" customHeight="1">
      <c r="Q39" s="757"/>
      <c r="R39" s="757"/>
      <c r="S39" s="1205" t="s">
        <v>87</v>
      </c>
      <c r="T39" s="1155" t="s">
        <v>436</v>
      </c>
      <c r="U39" s="818"/>
      <c r="V39" s="1206" t="s">
        <v>437</v>
      </c>
      <c r="W39" s="1207"/>
      <c r="X39" s="1207"/>
      <c r="Y39" s="1207"/>
      <c r="Z39" s="1207"/>
      <c r="AA39" s="1207"/>
      <c r="AB39" s="1208"/>
      <c r="AC39" s="1209" t="s">
        <v>438</v>
      </c>
      <c r="AD39" s="1206" t="s">
        <v>437</v>
      </c>
      <c r="AE39" s="1207"/>
      <c r="AF39" s="1207"/>
      <c r="AG39" s="1207"/>
      <c r="AH39" s="1207"/>
      <c r="AI39" s="1207"/>
      <c r="AJ39" s="1208"/>
      <c r="AK39" s="1209" t="s">
        <v>439</v>
      </c>
      <c r="AL39" s="1212" t="s">
        <v>440</v>
      </c>
      <c r="AM39" s="1070"/>
      <c r="AS39" s="539">
        <v>14</v>
      </c>
    </row>
    <row r="40" spans="1:45" ht="35.65" customHeight="1">
      <c r="Q40" s="757"/>
      <c r="R40" s="757"/>
      <c r="S40" s="1205"/>
      <c r="T40" s="1155"/>
      <c r="U40" s="823"/>
      <c r="V40" s="1128" t="s">
        <v>441</v>
      </c>
      <c r="W40" s="1201" t="s">
        <v>442</v>
      </c>
      <c r="X40" s="1051" t="s">
        <v>443</v>
      </c>
      <c r="Y40" s="1050"/>
      <c r="Z40" s="1051" t="s">
        <v>457</v>
      </c>
      <c r="AA40" s="1056"/>
      <c r="AB40" s="1050"/>
      <c r="AC40" s="1210"/>
      <c r="AD40" s="1128" t="s">
        <v>441</v>
      </c>
      <c r="AE40" s="1201" t="s">
        <v>442</v>
      </c>
      <c r="AF40" s="1051" t="s">
        <v>443</v>
      </c>
      <c r="AG40" s="1050"/>
      <c r="AH40" s="1051" t="s">
        <v>444</v>
      </c>
      <c r="AI40" s="1056"/>
      <c r="AJ40" s="1050"/>
      <c r="AK40" s="1210"/>
      <c r="AL40" s="1213"/>
      <c r="AM40" s="1070"/>
      <c r="AS40" s="539">
        <v>34</v>
      </c>
    </row>
    <row r="41" spans="1:45" ht="35.65" customHeight="1">
      <c r="B41" s="599" t="s">
        <v>145</v>
      </c>
      <c r="C41" s="599" t="s">
        <v>146</v>
      </c>
      <c r="D41" s="599" t="s">
        <v>147</v>
      </c>
      <c r="E41" s="842" t="s">
        <v>445</v>
      </c>
      <c r="F41" s="842" t="s">
        <v>446</v>
      </c>
      <c r="G41" s="842" t="s">
        <v>447</v>
      </c>
      <c r="H41" s="842" t="s">
        <v>448</v>
      </c>
      <c r="I41" s="842" t="s">
        <v>449</v>
      </c>
      <c r="J41" s="842" t="s">
        <v>450</v>
      </c>
      <c r="K41" s="842" t="s">
        <v>451</v>
      </c>
      <c r="L41" s="842" t="s">
        <v>426</v>
      </c>
      <c r="Q41" s="757"/>
      <c r="R41" s="757"/>
      <c r="S41" s="1205"/>
      <c r="T41" s="1155"/>
      <c r="U41" s="853"/>
      <c r="V41" s="1179"/>
      <c r="W41" s="1202"/>
      <c r="X41" s="603" t="s">
        <v>452</v>
      </c>
      <c r="Y41" s="603" t="s">
        <v>453</v>
      </c>
      <c r="Z41" s="603" t="s">
        <v>454</v>
      </c>
      <c r="AA41" s="1160" t="s">
        <v>455</v>
      </c>
      <c r="AB41" s="1173"/>
      <c r="AC41" s="1211"/>
      <c r="AD41" s="1179"/>
      <c r="AE41" s="1202"/>
      <c r="AF41" s="603" t="s">
        <v>452</v>
      </c>
      <c r="AG41" s="603" t="s">
        <v>453</v>
      </c>
      <c r="AH41" s="603" t="s">
        <v>454</v>
      </c>
      <c r="AI41" s="1160" t="s">
        <v>455</v>
      </c>
      <c r="AJ41" s="1173"/>
      <c r="AK41" s="1211"/>
      <c r="AL41" s="1214"/>
      <c r="AM41" s="1070"/>
      <c r="AS41" s="539">
        <v>34</v>
      </c>
    </row>
    <row r="42" spans="1:45" ht="11.25" hidden="1" customHeight="1">
      <c r="Q42" s="854"/>
      <c r="R42" s="855">
        <v>1</v>
      </c>
      <c r="S42" s="330" t="s">
        <v>114</v>
      </c>
      <c r="T42" s="331" t="s">
        <v>102</v>
      </c>
      <c r="U42" s="856" t="str">
        <f ca="1">OFFSET(U42,0,-1)</f>
        <v>2</v>
      </c>
      <c r="V42" s="857">
        <f ca="1">OFFSET(V42,0,-1)+1</f>
        <v>3</v>
      </c>
      <c r="W42" s="857"/>
      <c r="X42" s="857">
        <f ca="1">OFFSET(X42,0,-1)+1</f>
        <v>1</v>
      </c>
      <c r="Y42" s="857">
        <f ca="1">OFFSET(Y42,0,-1)+1</f>
        <v>2</v>
      </c>
      <c r="Z42" s="857">
        <f ca="1">OFFSET(Z42,0,-1)+1</f>
        <v>3</v>
      </c>
      <c r="AA42" s="1203">
        <f ca="1">OFFSET(AA42,0,-1)+1</f>
        <v>4</v>
      </c>
      <c r="AB42" s="1203"/>
      <c r="AC42" s="857">
        <f ca="1">OFFSET(AC42,0,-2)+1</f>
        <v>5</v>
      </c>
      <c r="AD42" s="857">
        <f ca="1">OFFSET(AD42,0,-1)+1</f>
        <v>6</v>
      </c>
      <c r="AE42" s="857"/>
      <c r="AF42" s="857">
        <f ca="1">OFFSET(AF42,0,-1)+1</f>
        <v>1</v>
      </c>
      <c r="AG42" s="857">
        <f ca="1">OFFSET(AG42,0,-1)+1</f>
        <v>2</v>
      </c>
      <c r="AH42" s="857">
        <f ca="1">OFFSET(AH42,0,-1)+1</f>
        <v>3</v>
      </c>
      <c r="AI42" s="1203">
        <f ca="1">OFFSET(AI42,0,-1)+1</f>
        <v>4</v>
      </c>
      <c r="AJ42" s="1203"/>
      <c r="AK42" s="857">
        <f ca="1">OFFSET(AK42,0,-2)+1</f>
        <v>5</v>
      </c>
      <c r="AL42" s="856">
        <f ca="1">OFFSET(AL42,0,-1)</f>
        <v>5</v>
      </c>
      <c r="AM42" s="857">
        <f ca="1">OFFSET(AM42,0,-1)+1</f>
        <v>6</v>
      </c>
      <c r="AS42" s="682">
        <v>0</v>
      </c>
    </row>
    <row r="43" spans="1:45" ht="21.95" customHeight="1">
      <c r="A43" s="858" t="s">
        <v>171</v>
      </c>
      <c r="E43" s="1192">
        <v>1</v>
      </c>
      <c r="R43" s="311"/>
      <c r="S43" s="833">
        <f>INDEX(PT_DIFFERENTIATION_NUM_NTAR,MATCH(A43,PT_DIFFERENTIATION_NTAR_ID,0))</f>
        <v>0</v>
      </c>
      <c r="T43" s="796" t="s">
        <v>133</v>
      </c>
      <c r="U43" s="834"/>
      <c r="V43" s="1187"/>
      <c r="W43" s="1188"/>
      <c r="X43" s="1188"/>
      <c r="Y43" s="1188"/>
      <c r="Z43" s="1188"/>
      <c r="AA43" s="1188"/>
      <c r="AB43" s="1188"/>
      <c r="AC43" s="1189"/>
      <c r="AD43" s="1187" t="str">
        <f>INDEX(PT_DIFFERENTIATION_NTAR,MATCH(A43,PT_DIFFERENTIATION_NTAR_ID,0))</f>
        <v/>
      </c>
      <c r="AE43" s="1188"/>
      <c r="AF43" s="1188"/>
      <c r="AG43" s="1188"/>
      <c r="AH43" s="1188"/>
      <c r="AI43" s="1188"/>
      <c r="AJ43" s="1188"/>
      <c r="AK43" s="1188"/>
      <c r="AL43" s="1189"/>
      <c r="AM43" s="8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3" t="str">
        <f t="shared" ref="AP43:AP57" si="1">IF(T43="","",T43)</f>
        <v>Наименование тарифа</v>
      </c>
      <c r="AS43" s="539">
        <v>21</v>
      </c>
    </row>
    <row r="44" spans="1:45" ht="21.95" customHeight="1">
      <c r="A44" s="858" t="s">
        <v>171</v>
      </c>
      <c r="B44" s="858" t="s">
        <v>172</v>
      </c>
      <c r="E44" s="1193"/>
      <c r="F44" s="1192">
        <v>1</v>
      </c>
      <c r="Q44" s="837"/>
      <c r="R44" s="838"/>
      <c r="S44" s="833" t="str">
        <f>INDEX(PT_DIFFERENTIATION_NUM_TER,MATCH(B44,PT_DIFFERENTIATION_TER_ID,0))</f>
        <v>.</v>
      </c>
      <c r="T44" s="839" t="s">
        <v>405</v>
      </c>
      <c r="U44" s="834"/>
      <c r="V44" s="1187"/>
      <c r="W44" s="1188"/>
      <c r="X44" s="1188"/>
      <c r="Y44" s="1188"/>
      <c r="Z44" s="1188"/>
      <c r="AA44" s="1188"/>
      <c r="AB44" s="1188"/>
      <c r="AC44" s="1189"/>
      <c r="AD44" s="1187" t="str">
        <f>INDEX(PT_DIFFERENTIATION_TER,MATCH(B44,PT_DIFFERENTIATION_TER_ID,0))</f>
        <v/>
      </c>
      <c r="AE44" s="1188"/>
      <c r="AF44" s="1188"/>
      <c r="AG44" s="1188"/>
      <c r="AH44" s="1188"/>
      <c r="AI44" s="1188"/>
      <c r="AJ44" s="1188"/>
      <c r="AK44" s="1188"/>
      <c r="AL44" s="1189"/>
      <c r="AM44" s="836" t="s">
        <v>406</v>
      </c>
      <c r="AP44" s="583" t="str">
        <f t="shared" si="1"/>
        <v>Территория действия тарифа</v>
      </c>
      <c r="AS44" s="539">
        <v>21</v>
      </c>
    </row>
    <row r="45" spans="1:45" ht="24" customHeight="1">
      <c r="A45" s="858" t="s">
        <v>171</v>
      </c>
      <c r="B45" s="858" t="s">
        <v>172</v>
      </c>
      <c r="C45" s="858" t="s">
        <v>173</v>
      </c>
      <c r="E45" s="1193"/>
      <c r="F45" s="1193"/>
      <c r="G45" s="1192">
        <v>1</v>
      </c>
      <c r="Q45" s="837"/>
      <c r="R45" s="838"/>
      <c r="S45" s="833" t="str">
        <f>INDEX(PT_DIFFERENTIATION_NUM_CS,MATCH(C45,PT_DIFFERENTIATION_CS_ID,0))</f>
        <v>..</v>
      </c>
      <c r="T45" s="840" t="s">
        <v>407</v>
      </c>
      <c r="U45" s="834"/>
      <c r="V45" s="1187"/>
      <c r="W45" s="1188"/>
      <c r="X45" s="1188"/>
      <c r="Y45" s="1188"/>
      <c r="Z45" s="1188"/>
      <c r="AA45" s="1188"/>
      <c r="AB45" s="1188"/>
      <c r="AC45" s="1189"/>
      <c r="AD45" s="1187" t="str">
        <f>INDEX(PT_DIFFERENTIATION_CS,MATCH(C45,PT_DIFFERENTIATION_CS_ID,0))</f>
        <v/>
      </c>
      <c r="AE45" s="1188"/>
      <c r="AF45" s="1188"/>
      <c r="AG45" s="1188"/>
      <c r="AH45" s="1188"/>
      <c r="AI45" s="1188"/>
      <c r="AJ45" s="1188"/>
      <c r="AK45" s="1188"/>
      <c r="AL45" s="1189"/>
      <c r="AM45" s="836" t="s">
        <v>408</v>
      </c>
      <c r="AP45" s="583" t="str">
        <f t="shared" si="1"/>
        <v xml:space="preserve">Наименование системы теплоснабжения </v>
      </c>
      <c r="AS45" s="539">
        <v>23</v>
      </c>
    </row>
    <row r="46" spans="1:45" ht="21.95" customHeight="1">
      <c r="A46" s="858" t="s">
        <v>171</v>
      </c>
      <c r="B46" s="858" t="s">
        <v>172</v>
      </c>
      <c r="C46" s="858" t="s">
        <v>173</v>
      </c>
      <c r="D46" s="858" t="s">
        <v>174</v>
      </c>
      <c r="E46" s="1193"/>
      <c r="F46" s="1193"/>
      <c r="G46" s="1193"/>
      <c r="H46" s="1192">
        <v>1</v>
      </c>
      <c r="Q46" s="837"/>
      <c r="R46" s="838"/>
      <c r="S46" s="833" t="str">
        <f>INDEX(PT_DIFFERENTIATION_NUM_IST_TE,MATCH(D46,PT_DIFFERENTIATION_IST_TE_ID,0))</f>
        <v>...</v>
      </c>
      <c r="T46" s="841" t="s">
        <v>409</v>
      </c>
      <c r="U46" s="834"/>
      <c r="V46" s="1187"/>
      <c r="W46" s="1188"/>
      <c r="X46" s="1188"/>
      <c r="Y46" s="1188"/>
      <c r="Z46" s="1188"/>
      <c r="AA46" s="1188"/>
      <c r="AB46" s="1188"/>
      <c r="AC46" s="1189"/>
      <c r="AD46" s="1187" t="str">
        <f>INDEX(PT_DIFFERENTIATION_IST_TE,MATCH(D46,PT_DIFFERENTIATION_IST_TE_ID,0))</f>
        <v/>
      </c>
      <c r="AE46" s="1188"/>
      <c r="AF46" s="1188"/>
      <c r="AG46" s="1188"/>
      <c r="AH46" s="1188"/>
      <c r="AI46" s="1188"/>
      <c r="AJ46" s="1188"/>
      <c r="AK46" s="1188"/>
      <c r="AL46" s="1189"/>
      <c r="AM46" s="836" t="s">
        <v>410</v>
      </c>
      <c r="AP46" s="583" t="str">
        <f t="shared" si="1"/>
        <v xml:space="preserve">Источник тепловой энергии  </v>
      </c>
      <c r="AS46" s="539">
        <v>21</v>
      </c>
    </row>
    <row r="47" spans="1:45" ht="49.5" customHeight="1">
      <c r="A47" s="858" t="s">
        <v>171</v>
      </c>
      <c r="B47" s="858" t="s">
        <v>172</v>
      </c>
      <c r="C47" s="858" t="s">
        <v>173</v>
      </c>
      <c r="D47" s="858" t="s">
        <v>174</v>
      </c>
      <c r="E47" s="1193"/>
      <c r="F47" s="1193"/>
      <c r="G47" s="1193"/>
      <c r="H47" s="1193"/>
      <c r="I47" s="1194" t="str">
        <f>S46&amp;".1"</f>
        <v>....1</v>
      </c>
      <c r="L47" s="842" t="s">
        <v>411</v>
      </c>
      <c r="P47" s="1196">
        <v>1</v>
      </c>
      <c r="R47" s="843"/>
      <c r="S47" s="833" t="str">
        <f>$I47</f>
        <v>....1</v>
      </c>
      <c r="T47" s="844" t="s">
        <v>412</v>
      </c>
      <c r="U47" s="834"/>
      <c r="V47" s="1181"/>
      <c r="W47" s="1182"/>
      <c r="X47" s="1182"/>
      <c r="Y47" s="1182"/>
      <c r="Z47" s="1182"/>
      <c r="AA47" s="1182"/>
      <c r="AB47" s="1182"/>
      <c r="AC47" s="1183"/>
      <c r="AD47" s="1181"/>
      <c r="AE47" s="1182"/>
      <c r="AF47" s="1182"/>
      <c r="AG47" s="1182"/>
      <c r="AH47" s="1182"/>
      <c r="AI47" s="1182"/>
      <c r="AJ47" s="1182"/>
      <c r="AK47" s="1182"/>
      <c r="AL47" s="1183"/>
      <c r="AM47" s="836" t="s">
        <v>413</v>
      </c>
      <c r="AP47" s="583" t="str">
        <f t="shared" si="1"/>
        <v>Схема подключения теплопотребляющей установки к коллектору источника тепловой энергии</v>
      </c>
      <c r="AS47" s="539">
        <v>47</v>
      </c>
    </row>
    <row r="48" spans="1:45" ht="21.95" customHeight="1">
      <c r="A48" s="858" t="s">
        <v>171</v>
      </c>
      <c r="B48" s="858" t="s">
        <v>172</v>
      </c>
      <c r="C48" s="858" t="s">
        <v>173</v>
      </c>
      <c r="D48" s="858" t="s">
        <v>174</v>
      </c>
      <c r="E48" s="1193"/>
      <c r="F48" s="1193"/>
      <c r="G48" s="1193"/>
      <c r="H48" s="1193"/>
      <c r="I48" s="1195"/>
      <c r="J48" s="1194" t="str">
        <f>I47&amp;".1"</f>
        <v>....1.1</v>
      </c>
      <c r="L48" s="842" t="s">
        <v>414</v>
      </c>
      <c r="P48" s="1038"/>
      <c r="Q48" s="1196">
        <v>1</v>
      </c>
      <c r="R48" s="845"/>
      <c r="S48" s="833" t="str">
        <f>$J48</f>
        <v>....1.1</v>
      </c>
      <c r="T48" s="846" t="s">
        <v>415</v>
      </c>
      <c r="U48" s="834"/>
      <c r="V48" s="1181"/>
      <c r="W48" s="1182"/>
      <c r="X48" s="1182"/>
      <c r="Y48" s="1182"/>
      <c r="Z48" s="1182"/>
      <c r="AA48" s="1182"/>
      <c r="AB48" s="1182"/>
      <c r="AC48" s="1183"/>
      <c r="AD48" s="1181"/>
      <c r="AE48" s="1182"/>
      <c r="AF48" s="1182"/>
      <c r="AG48" s="1182"/>
      <c r="AH48" s="1182"/>
      <c r="AI48" s="1182"/>
      <c r="AJ48" s="1182"/>
      <c r="AK48" s="1182"/>
      <c r="AL48" s="1183"/>
      <c r="AM48" s="836" t="s">
        <v>416</v>
      </c>
      <c r="AP48" s="583" t="str">
        <f t="shared" si="1"/>
        <v>Группа потребителей</v>
      </c>
      <c r="AS48" s="539">
        <v>21</v>
      </c>
    </row>
    <row r="49" spans="1:45" ht="21.95" customHeight="1">
      <c r="A49" s="858" t="s">
        <v>171</v>
      </c>
      <c r="B49" s="858" t="s">
        <v>172</v>
      </c>
      <c r="C49" s="858" t="s">
        <v>173</v>
      </c>
      <c r="D49" s="858" t="s">
        <v>174</v>
      </c>
      <c r="E49" s="1193"/>
      <c r="F49" s="1193"/>
      <c r="G49" s="1193"/>
      <c r="H49" s="1193"/>
      <c r="I49" s="1195"/>
      <c r="J49" s="1195"/>
      <c r="K49" s="1194" t="str">
        <f>J48&amp;".1"</f>
        <v>....1.1.1</v>
      </c>
      <c r="L49" s="842" t="s">
        <v>417</v>
      </c>
      <c r="P49" s="1038"/>
      <c r="Q49" s="1038"/>
      <c r="R49" s="845">
        <v>1</v>
      </c>
      <c r="S49" s="833" t="str">
        <f>$K49</f>
        <v>....1.1.1</v>
      </c>
      <c r="T49" s="847"/>
      <c r="U49" s="834"/>
      <c r="V49" s="312"/>
      <c r="W49" s="313"/>
      <c r="X49" s="312"/>
      <c r="Y49" s="314"/>
      <c r="Z49" s="1197"/>
      <c r="AA49" s="1079" t="s">
        <v>61</v>
      </c>
      <c r="AB49" s="1197"/>
      <c r="AC49" s="1079" t="s">
        <v>61</v>
      </c>
      <c r="AD49" s="312"/>
      <c r="AE49" s="313"/>
      <c r="AF49" s="312"/>
      <c r="AG49" s="314"/>
      <c r="AH49" s="1197"/>
      <c r="AI49" s="1079" t="s">
        <v>61</v>
      </c>
      <c r="AJ49" s="1199"/>
      <c r="AK49" s="1079" t="s">
        <v>61</v>
      </c>
      <c r="AL49" s="332"/>
      <c r="AM49" s="1215" t="s">
        <v>418</v>
      </c>
      <c r="AN49" s="578" t="e">
        <f ca="1">STRCHECKDATE(V50:AL50)</f>
        <v>#NAME?</v>
      </c>
      <c r="AP49" s="583" t="str">
        <f t="shared" si="1"/>
        <v/>
      </c>
      <c r="AS49" s="539">
        <v>21</v>
      </c>
    </row>
    <row r="50" spans="1:45" ht="1.1499999999999999" customHeight="1">
      <c r="A50" s="858" t="s">
        <v>171</v>
      </c>
      <c r="B50" s="858" t="s">
        <v>172</v>
      </c>
      <c r="C50" s="858" t="s">
        <v>173</v>
      </c>
      <c r="D50" s="858" t="s">
        <v>174</v>
      </c>
      <c r="E50" s="1193"/>
      <c r="F50" s="1193"/>
      <c r="G50" s="1193"/>
      <c r="H50" s="1193"/>
      <c r="I50" s="1195"/>
      <c r="J50" s="1195"/>
      <c r="K50" s="1194"/>
      <c r="P50" s="1038"/>
      <c r="Q50" s="1038"/>
      <c r="R50" s="845"/>
      <c r="S50" s="127"/>
      <c r="T50" s="834"/>
      <c r="U50" s="834"/>
      <c r="V50" s="313"/>
      <c r="W50" s="313"/>
      <c r="X50" s="313"/>
      <c r="Y50" s="315" t="str">
        <f>Z49&amp;"-"&amp;AB49</f>
        <v>-</v>
      </c>
      <c r="Z50" s="1198"/>
      <c r="AA50" s="1079"/>
      <c r="AB50" s="1198"/>
      <c r="AC50" s="1079"/>
      <c r="AD50" s="313"/>
      <c r="AE50" s="313"/>
      <c r="AF50" s="313"/>
      <c r="AG50" s="315" t="str">
        <f>AH49&amp;"-"&amp;AJ49</f>
        <v>-</v>
      </c>
      <c r="AH50" s="1198"/>
      <c r="AI50" s="1079"/>
      <c r="AJ50" s="1200"/>
      <c r="AK50" s="1079"/>
      <c r="AL50" s="333"/>
      <c r="AM50" s="1216"/>
      <c r="AP50" s="583" t="str">
        <f t="shared" si="1"/>
        <v/>
      </c>
      <c r="AS50" s="539">
        <v>1</v>
      </c>
    </row>
    <row r="51" spans="1:45" ht="11.45" customHeight="1">
      <c r="A51" s="858" t="s">
        <v>171</v>
      </c>
      <c r="B51" s="858" t="s">
        <v>172</v>
      </c>
      <c r="C51" s="858" t="s">
        <v>173</v>
      </c>
      <c r="D51" s="858" t="s">
        <v>174</v>
      </c>
      <c r="E51" s="1193"/>
      <c r="F51" s="1193"/>
      <c r="G51" s="1193"/>
      <c r="H51" s="1193"/>
      <c r="I51" s="1195"/>
      <c r="J51" s="1194"/>
      <c r="P51" s="1038"/>
      <c r="Q51" s="1038"/>
      <c r="R51" s="843"/>
      <c r="S51" s="316"/>
      <c r="T51" s="317" t="s">
        <v>419</v>
      </c>
      <c r="U51" s="52"/>
      <c r="V51" s="52"/>
      <c r="W51" s="52"/>
      <c r="X51" s="52"/>
      <c r="Y51" s="52"/>
      <c r="Z51" s="52"/>
      <c r="AA51" s="52"/>
      <c r="AB51" s="52"/>
      <c r="AC51" s="52"/>
      <c r="AD51" s="52"/>
      <c r="AE51" s="52"/>
      <c r="AF51" s="52"/>
      <c r="AG51" s="52"/>
      <c r="AH51" s="52"/>
      <c r="AI51" s="52"/>
      <c r="AJ51" s="52"/>
      <c r="AK51" s="52"/>
      <c r="AL51" s="318"/>
      <c r="AM51" s="1217"/>
      <c r="AP51" s="583" t="str">
        <f t="shared" si="1"/>
        <v>Добавить вид теплоносителя (параметры теплоносителя)</v>
      </c>
      <c r="AS51" s="539">
        <v>11</v>
      </c>
    </row>
    <row r="52" spans="1:45" ht="11.45" customHeight="1">
      <c r="A52" s="858" t="s">
        <v>171</v>
      </c>
      <c r="B52" s="858" t="s">
        <v>172</v>
      </c>
      <c r="C52" s="858" t="s">
        <v>173</v>
      </c>
      <c r="D52" s="858" t="s">
        <v>174</v>
      </c>
      <c r="E52" s="1193"/>
      <c r="F52" s="1193"/>
      <c r="G52" s="1193"/>
      <c r="H52" s="1193"/>
      <c r="I52" s="1194"/>
      <c r="P52" s="1038"/>
      <c r="R52" s="843"/>
      <c r="S52" s="316"/>
      <c r="T52" s="319" t="s">
        <v>420</v>
      </c>
      <c r="U52" s="52"/>
      <c r="V52" s="52"/>
      <c r="W52" s="52"/>
      <c r="X52" s="52"/>
      <c r="Y52" s="52"/>
      <c r="Z52" s="52"/>
      <c r="AA52" s="52"/>
      <c r="AB52" s="52"/>
      <c r="AC52" s="320"/>
      <c r="AD52" s="52"/>
      <c r="AE52" s="52"/>
      <c r="AF52" s="52"/>
      <c r="AG52" s="52"/>
      <c r="AH52" s="52"/>
      <c r="AI52" s="52"/>
      <c r="AJ52" s="52"/>
      <c r="AK52" s="320"/>
      <c r="AL52" s="52"/>
      <c r="AM52" s="321"/>
      <c r="AP52" s="583" t="str">
        <f t="shared" si="1"/>
        <v>Добавить группу потребителей</v>
      </c>
      <c r="AS52" s="539">
        <v>11</v>
      </c>
    </row>
    <row r="53" spans="1:45" ht="14.65" customHeight="1">
      <c r="A53" s="858" t="s">
        <v>171</v>
      </c>
      <c r="B53" s="858" t="s">
        <v>172</v>
      </c>
      <c r="C53" s="858" t="s">
        <v>173</v>
      </c>
      <c r="D53" s="858" t="s">
        <v>174</v>
      </c>
      <c r="E53" s="1193"/>
      <c r="F53" s="1193"/>
      <c r="G53" s="1193"/>
      <c r="H53" s="1192"/>
      <c r="R53" s="311"/>
      <c r="S53" s="316"/>
      <c r="T53" s="322" t="s">
        <v>421</v>
      </c>
      <c r="U53" s="52"/>
      <c r="V53" s="52"/>
      <c r="W53" s="52"/>
      <c r="X53" s="52"/>
      <c r="Y53" s="52"/>
      <c r="Z53" s="52"/>
      <c r="AA53" s="52"/>
      <c r="AB53" s="52"/>
      <c r="AC53" s="320"/>
      <c r="AD53" s="52"/>
      <c r="AE53" s="52"/>
      <c r="AF53" s="52"/>
      <c r="AG53" s="52"/>
      <c r="AH53" s="52"/>
      <c r="AI53" s="52"/>
      <c r="AJ53" s="52"/>
      <c r="AK53" s="320"/>
      <c r="AL53" s="52"/>
      <c r="AM53" s="321"/>
      <c r="AP53" s="583" t="str">
        <f t="shared" si="1"/>
        <v>Добавить схему подключения</v>
      </c>
      <c r="AS53" s="539">
        <v>14</v>
      </c>
    </row>
    <row r="54" spans="1:45" ht="1.1499999999999999" customHeight="1">
      <c r="A54" s="575" t="s">
        <v>171</v>
      </c>
      <c r="B54" s="575" t="s">
        <v>172</v>
      </c>
      <c r="C54" s="575" t="s">
        <v>173</v>
      </c>
      <c r="E54" s="1193"/>
      <c r="F54" s="1193"/>
      <c r="G54" s="1192"/>
      <c r="T54" s="327" t="s">
        <v>422</v>
      </c>
      <c r="AP54" s="583" t="str">
        <f t="shared" si="1"/>
        <v>Добавить источник для дифференциации</v>
      </c>
      <c r="AS54" s="578">
        <v>1</v>
      </c>
    </row>
    <row r="55" spans="1:45" ht="1.1499999999999999" customHeight="1">
      <c r="A55" s="575" t="s">
        <v>171</v>
      </c>
      <c r="B55" s="575" t="s">
        <v>172</v>
      </c>
      <c r="E55" s="1193"/>
      <c r="F55" s="1192"/>
      <c r="T55" s="327" t="s">
        <v>423</v>
      </c>
      <c r="AP55" s="583" t="str">
        <f t="shared" si="1"/>
        <v>Добавить централизованную систему для дифференциации</v>
      </c>
      <c r="AS55" s="578">
        <v>1</v>
      </c>
    </row>
    <row r="56" spans="1:45" ht="1.1499999999999999" customHeight="1">
      <c r="A56" s="575" t="s">
        <v>171</v>
      </c>
      <c r="E56" s="1192"/>
      <c r="T56" s="327" t="s">
        <v>424</v>
      </c>
      <c r="AP56" s="583" t="str">
        <f t="shared" si="1"/>
        <v>Добавить территорию для дифференциации</v>
      </c>
      <c r="AS56" s="578">
        <v>1</v>
      </c>
    </row>
    <row r="57" spans="1:45" ht="1.1499999999999999" customHeight="1">
      <c r="T57" s="327" t="s">
        <v>456</v>
      </c>
      <c r="AP57" s="583" t="str">
        <f t="shared" si="1"/>
        <v>Добавить наименование тарифа</v>
      </c>
      <c r="AS57" s="578">
        <v>1</v>
      </c>
    </row>
    <row r="58" spans="1:45" ht="11.45" customHeight="1">
      <c r="AS58" s="539">
        <v>11</v>
      </c>
    </row>
    <row r="59" spans="1:45" ht="28.5" customHeight="1">
      <c r="T59" s="1038"/>
      <c r="U59" s="1038"/>
      <c r="V59" s="1038"/>
      <c r="W59" s="1038"/>
      <c r="X59" s="1038"/>
      <c r="Y59" s="1038"/>
      <c r="Z59" s="1038"/>
      <c r="AA59" s="1038"/>
      <c r="AB59" s="1038"/>
      <c r="AC59" s="1038"/>
      <c r="AD59" s="1038"/>
      <c r="AE59" s="1038"/>
      <c r="AF59" s="1038"/>
      <c r="AG59" s="1038"/>
      <c r="AH59" s="1038"/>
      <c r="AI59" s="1038"/>
      <c r="AJ59" s="1038"/>
      <c r="AK59" s="1038"/>
      <c r="AL59" s="1038"/>
      <c r="AM59" s="1038"/>
      <c r="AS59" s="539">
        <v>27</v>
      </c>
    </row>
    <row r="60" spans="1:45" ht="65.25" customHeight="1">
      <c r="T60" s="1038"/>
      <c r="U60" s="1038"/>
      <c r="V60" s="1038"/>
      <c r="W60" s="1038"/>
      <c r="X60" s="1038"/>
      <c r="Y60" s="1038"/>
      <c r="Z60" s="1038"/>
      <c r="AA60" s="1038"/>
      <c r="AB60" s="1038"/>
      <c r="AC60" s="1038"/>
      <c r="AD60" s="1038"/>
      <c r="AE60" s="1038"/>
      <c r="AF60" s="1038"/>
      <c r="AG60" s="1038"/>
      <c r="AH60" s="1038"/>
      <c r="AI60" s="1038"/>
      <c r="AJ60" s="1038"/>
      <c r="AK60" s="1038"/>
      <c r="AL60" s="1038"/>
      <c r="AM60" s="1038"/>
      <c r="AS60" s="539">
        <v>62</v>
      </c>
    </row>
    <row r="61" spans="1:45" ht="14.65" customHeight="1">
      <c r="AS61" s="539">
        <v>14</v>
      </c>
    </row>
    <row r="62" spans="1:45" ht="18.75" customHeight="1">
      <c r="T62" s="1038"/>
      <c r="U62" s="1038"/>
      <c r="V62" s="1038"/>
      <c r="W62" s="1038"/>
      <c r="X62" s="1038"/>
      <c r="Y62" s="1038"/>
      <c r="Z62" s="1038"/>
      <c r="AA62" s="1038"/>
      <c r="AB62" s="1038"/>
      <c r="AC62" s="1038"/>
      <c r="AD62" s="1038"/>
      <c r="AE62" s="1038"/>
      <c r="AF62" s="1038"/>
      <c r="AG62" s="1038"/>
      <c r="AH62" s="1038"/>
      <c r="AI62" s="1038"/>
      <c r="AJ62" s="1038"/>
      <c r="AK62" s="1038"/>
      <c r="AL62" s="1038"/>
      <c r="AM62" s="1038"/>
      <c r="AS62" s="539">
        <v>18</v>
      </c>
    </row>
    <row r="63" spans="1:45" ht="18.75" customHeight="1">
      <c r="T63" s="1038"/>
      <c r="U63" s="1038"/>
      <c r="V63" s="1038"/>
      <c r="W63" s="1038"/>
      <c r="X63" s="1038"/>
      <c r="Y63" s="1038"/>
      <c r="Z63" s="1038"/>
      <c r="AA63" s="1038"/>
      <c r="AB63" s="1038"/>
      <c r="AC63" s="1038"/>
      <c r="AD63" s="1038"/>
      <c r="AE63" s="1038"/>
      <c r="AF63" s="1038"/>
      <c r="AG63" s="1038"/>
      <c r="AH63" s="1038"/>
      <c r="AI63" s="1038"/>
      <c r="AJ63" s="1038"/>
      <c r="AK63" s="1038"/>
      <c r="AL63" s="1038"/>
      <c r="AM63" s="1038"/>
      <c r="AS63" s="539">
        <v>18</v>
      </c>
    </row>
    <row r="64" spans="1:45" ht="29.25" customHeight="1">
      <c r="T64" s="1038"/>
      <c r="U64" s="1038"/>
      <c r="V64" s="1038"/>
      <c r="W64" s="1038"/>
      <c r="X64" s="1038"/>
      <c r="Y64" s="1038"/>
      <c r="Z64" s="1038"/>
      <c r="AA64" s="1038"/>
      <c r="AB64" s="1038"/>
      <c r="AC64" s="1038"/>
      <c r="AD64" s="1038"/>
      <c r="AE64" s="1038"/>
      <c r="AF64" s="1038"/>
      <c r="AG64" s="1038"/>
      <c r="AH64" s="1038"/>
      <c r="AI64" s="1038"/>
      <c r="AJ64" s="1038"/>
      <c r="AK64" s="1038"/>
      <c r="AL64" s="1038"/>
      <c r="AM64" s="1038"/>
      <c r="AS64" s="539">
        <v>28</v>
      </c>
    </row>
    <row r="65" spans="1:45" ht="22.5" hidden="1" customHeight="1">
      <c r="A65" s="556" t="s">
        <v>81</v>
      </c>
      <c r="B65" s="556">
        <v>0</v>
      </c>
      <c r="C65" s="556">
        <v>0</v>
      </c>
      <c r="D65" s="556">
        <v>0</v>
      </c>
      <c r="E65" s="556">
        <v>0</v>
      </c>
      <c r="F65" s="556">
        <v>0</v>
      </c>
      <c r="G65" s="556">
        <v>0</v>
      </c>
      <c r="H65" s="556">
        <v>0</v>
      </c>
      <c r="I65" s="556">
        <v>0</v>
      </c>
      <c r="J65" s="556">
        <v>0</v>
      </c>
      <c r="K65" s="556">
        <v>0</v>
      </c>
      <c r="L65" s="668">
        <v>0</v>
      </c>
      <c r="M65" s="12">
        <v>0</v>
      </c>
      <c r="N65" s="12">
        <v>0</v>
      </c>
      <c r="O65" s="12">
        <v>0</v>
      </c>
      <c r="P65" s="301">
        <v>3</v>
      </c>
      <c r="Q65" s="822">
        <v>3</v>
      </c>
      <c r="R65" s="822">
        <v>3</v>
      </c>
      <c r="S65" s="554">
        <v>12</v>
      </c>
      <c r="T65" s="539">
        <v>31</v>
      </c>
      <c r="U65" s="539">
        <v>0</v>
      </c>
      <c r="V65" s="539">
        <v>0</v>
      </c>
      <c r="W65" s="539">
        <v>0</v>
      </c>
      <c r="X65" s="539">
        <v>0</v>
      </c>
      <c r="Y65" s="539">
        <v>0</v>
      </c>
      <c r="Z65" s="539">
        <v>0</v>
      </c>
      <c r="AA65" s="539">
        <v>0</v>
      </c>
      <c r="AB65" s="539">
        <v>0</v>
      </c>
      <c r="AC65" s="539">
        <v>0</v>
      </c>
      <c r="AD65" s="539">
        <v>24</v>
      </c>
      <c r="AE65" s="539">
        <v>0</v>
      </c>
      <c r="AF65" s="539">
        <v>24</v>
      </c>
      <c r="AG65" s="539">
        <v>24</v>
      </c>
      <c r="AH65" s="539">
        <v>11</v>
      </c>
      <c r="AI65" s="539">
        <v>3</v>
      </c>
      <c r="AJ65" s="539">
        <v>11</v>
      </c>
      <c r="AK65" s="539">
        <v>0</v>
      </c>
      <c r="AL65" s="539">
        <v>4</v>
      </c>
      <c r="AM65" s="539">
        <v>115</v>
      </c>
      <c r="AN65" s="578">
        <v>10</v>
      </c>
      <c r="AO65" s="578">
        <v>10</v>
      </c>
      <c r="AP65" s="578">
        <v>10</v>
      </c>
      <c r="AQ65" s="578">
        <v>10</v>
      </c>
      <c r="AR65" s="578">
        <v>10</v>
      </c>
      <c r="AS65" s="539">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1" style="1030" customWidth="1"/>
    <col min="21" max="21" width="0.140625" style="1030" customWidth="1"/>
    <col min="22" max="22" width="24.7109375" style="1030" hidden="1" customWidth="1"/>
    <col min="23" max="23" width="0.140625" style="1030" hidden="1" customWidth="1"/>
    <col min="24" max="25" width="24.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24.7109375" style="1030" customWidth="1"/>
    <col min="31" max="31" width="0.140625" style="1030" customWidth="1"/>
    <col min="32" max="33" width="24" style="1030" customWidth="1"/>
    <col min="34" max="34" width="11" style="1030" customWidth="1"/>
    <col min="35" max="35" width="3.7109375" style="1030" customWidth="1"/>
    <col min="36" max="36" width="11" style="1030" customWidth="1"/>
    <col min="37" max="37" width="8.5703125" style="1030" hidden="1" customWidth="1"/>
    <col min="38" max="38" width="4" style="1030" customWidth="1"/>
    <col min="39" max="39" width="115" style="1030" customWidth="1"/>
    <col min="40" max="44" width="10" style="1030" customWidth="1"/>
    <col min="45" max="45" width="10.5703125" style="1030" hidden="1"/>
  </cols>
  <sheetData>
    <row r="1" spans="5:45" ht="22.5" hidden="1" customHeight="1">
      <c r="AS1" s="539" t="s">
        <v>14</v>
      </c>
    </row>
    <row r="2" spans="5:45" ht="21" hidden="1" customHeight="1">
      <c r="E2" s="1218">
        <v>1</v>
      </c>
      <c r="R2" s="311"/>
      <c r="S2" s="833" t="e">
        <f>INDEX(PT_DIFFERENTIATION_NUM_NTAR,MATCH(A2,PT_DIFFERENTIATION_NTAR_ID,0))</f>
        <v>#N/A</v>
      </c>
      <c r="T2" s="796" t="s">
        <v>133</v>
      </c>
      <c r="U2" s="834"/>
      <c r="V2" s="1187"/>
      <c r="W2" s="1188"/>
      <c r="X2" s="1188"/>
      <c r="Y2" s="1188"/>
      <c r="Z2" s="1188"/>
      <c r="AA2" s="1188"/>
      <c r="AB2" s="1188"/>
      <c r="AC2" s="1189"/>
      <c r="AD2" s="1187" t="e">
        <f>INDEX(PT_DIFFERENTIATION_NTAR,MATCH(A2,PT_DIFFERENTIATION_NTAR_ID,0))</f>
        <v>#N/A</v>
      </c>
      <c r="AE2" s="1188"/>
      <c r="AF2" s="1188"/>
      <c r="AG2" s="1188"/>
      <c r="AH2" s="1188"/>
      <c r="AI2" s="1188"/>
      <c r="AJ2" s="1188"/>
      <c r="AK2" s="1188"/>
      <c r="AL2" s="1189"/>
      <c r="AM2" s="836" t="s">
        <v>404</v>
      </c>
      <c r="AP2" s="583" t="str">
        <f t="shared" ref="AP2:AP15" si="0">IF(T2="","",T2)</f>
        <v>Наименование тарифа</v>
      </c>
      <c r="AS2" s="539">
        <v>0</v>
      </c>
    </row>
    <row r="3" spans="5:45" ht="21" hidden="1" customHeight="1">
      <c r="E3" s="1219"/>
      <c r="F3" s="1218">
        <v>1</v>
      </c>
      <c r="Q3" s="837"/>
      <c r="R3" s="838"/>
      <c r="S3" s="833" t="e">
        <f>INDEX(PT_DIFFERENTIATION_NUM_TER,MATCH(B3,PT_DIFFERENTIATION_TER_ID,0))</f>
        <v>#N/A</v>
      </c>
      <c r="T3" s="839" t="s">
        <v>405</v>
      </c>
      <c r="U3" s="834"/>
      <c r="V3" s="1187"/>
      <c r="W3" s="1188"/>
      <c r="X3" s="1188"/>
      <c r="Y3" s="1188"/>
      <c r="Z3" s="1188"/>
      <c r="AA3" s="1188"/>
      <c r="AB3" s="1188"/>
      <c r="AC3" s="1189"/>
      <c r="AD3" s="1187" t="e">
        <f>INDEX(PT_DIFFERENTIATION_TER,MATCH(B3,PT_DIFFERENTIATION_TER_ID,0))</f>
        <v>#N/A</v>
      </c>
      <c r="AE3" s="1188"/>
      <c r="AF3" s="1188"/>
      <c r="AG3" s="1188"/>
      <c r="AH3" s="1188"/>
      <c r="AI3" s="1188"/>
      <c r="AJ3" s="1188"/>
      <c r="AK3" s="1188"/>
      <c r="AL3" s="1189"/>
      <c r="AM3" s="836" t="s">
        <v>406</v>
      </c>
      <c r="AP3" s="583" t="str">
        <f t="shared" si="0"/>
        <v>Территория действия тарифа</v>
      </c>
      <c r="AS3" s="539">
        <v>0</v>
      </c>
    </row>
    <row r="4" spans="5:45" ht="23.25" hidden="1" customHeight="1">
      <c r="E4" s="1219"/>
      <c r="F4" s="1219"/>
      <c r="G4" s="1218">
        <v>1</v>
      </c>
      <c r="Q4" s="837"/>
      <c r="R4" s="838"/>
      <c r="S4" s="833" t="e">
        <f>INDEX(PT_DIFFERENTIATION_NUM_CS,MATCH(C4,PT_DIFFERENTIATION_CS_ID,0))</f>
        <v>#N/A</v>
      </c>
      <c r="T4" s="840" t="s">
        <v>407</v>
      </c>
      <c r="U4" s="834"/>
      <c r="V4" s="1187"/>
      <c r="W4" s="1188"/>
      <c r="X4" s="1188"/>
      <c r="Y4" s="1188"/>
      <c r="Z4" s="1188"/>
      <c r="AA4" s="1188"/>
      <c r="AB4" s="1188"/>
      <c r="AC4" s="1189"/>
      <c r="AD4" s="1187" t="e">
        <f>INDEX(PT_DIFFERENTIATION_CS,MATCH(C4,PT_DIFFERENTIATION_CS_ID,0))</f>
        <v>#N/A</v>
      </c>
      <c r="AE4" s="1188"/>
      <c r="AF4" s="1188"/>
      <c r="AG4" s="1188"/>
      <c r="AH4" s="1188"/>
      <c r="AI4" s="1188"/>
      <c r="AJ4" s="1188"/>
      <c r="AK4" s="1188"/>
      <c r="AL4" s="1189"/>
      <c r="AM4" s="836" t="s">
        <v>408</v>
      </c>
      <c r="AP4" s="583" t="str">
        <f t="shared" si="0"/>
        <v xml:space="preserve">Наименование системы теплоснабжения </v>
      </c>
      <c r="AS4" s="539">
        <v>0</v>
      </c>
    </row>
    <row r="5" spans="5:45" ht="21" hidden="1" customHeight="1">
      <c r="E5" s="1219"/>
      <c r="F5" s="1219"/>
      <c r="G5" s="1219"/>
      <c r="H5" s="1218">
        <v>1</v>
      </c>
      <c r="Q5" s="837"/>
      <c r="R5" s="838"/>
      <c r="S5" s="833" t="e">
        <f>INDEX(PT_DIFFERENTIATION_NUM_IST_TE,MATCH(D5,PT_DIFFERENTIATION_IST_TE_ID,0))</f>
        <v>#N/A</v>
      </c>
      <c r="T5" s="841" t="s">
        <v>409</v>
      </c>
      <c r="U5" s="834"/>
      <c r="V5" s="1187"/>
      <c r="W5" s="1188"/>
      <c r="X5" s="1188"/>
      <c r="Y5" s="1188"/>
      <c r="Z5" s="1188"/>
      <c r="AA5" s="1188"/>
      <c r="AB5" s="1188"/>
      <c r="AC5" s="1189"/>
      <c r="AD5" s="1187" t="e">
        <f>INDEX(PT_DIFFERENTIATION_IST_TE,MATCH(D5,PT_DIFFERENTIATION_IST_TE_ID,0))</f>
        <v>#N/A</v>
      </c>
      <c r="AE5" s="1188"/>
      <c r="AF5" s="1188"/>
      <c r="AG5" s="1188"/>
      <c r="AH5" s="1188"/>
      <c r="AI5" s="1188"/>
      <c r="AJ5" s="1188"/>
      <c r="AK5" s="1188"/>
      <c r="AL5" s="1189"/>
      <c r="AM5" s="836" t="s">
        <v>410</v>
      </c>
      <c r="AP5" s="583" t="str">
        <f t="shared" si="0"/>
        <v xml:space="preserve">Источник тепловой энергии  </v>
      </c>
      <c r="AS5" s="539">
        <v>0</v>
      </c>
    </row>
    <row r="6" spans="5:45" ht="47.25" hidden="1" customHeight="1">
      <c r="E6" s="1219"/>
      <c r="F6" s="1219"/>
      <c r="G6" s="1219"/>
      <c r="H6" s="1219"/>
      <c r="I6" s="1070" t="e">
        <f>S5&amp;".1"</f>
        <v>#N/A</v>
      </c>
      <c r="L6" s="874" t="s">
        <v>411</v>
      </c>
      <c r="P6" s="1196">
        <v>1</v>
      </c>
      <c r="R6" s="843"/>
      <c r="S6" s="833" t="e">
        <f>$I6</f>
        <v>#N/A</v>
      </c>
      <c r="T6" s="844" t="s">
        <v>412</v>
      </c>
      <c r="U6" s="834"/>
      <c r="V6" s="1181"/>
      <c r="W6" s="1182"/>
      <c r="X6" s="1182"/>
      <c r="Y6" s="1182"/>
      <c r="Z6" s="1182"/>
      <c r="AA6" s="1182"/>
      <c r="AB6" s="1182"/>
      <c r="AC6" s="1183"/>
      <c r="AD6" s="1181"/>
      <c r="AE6" s="1182"/>
      <c r="AF6" s="1182"/>
      <c r="AG6" s="1182"/>
      <c r="AH6" s="1182"/>
      <c r="AI6" s="1182"/>
      <c r="AJ6" s="1182"/>
      <c r="AK6" s="1182"/>
      <c r="AL6" s="1183"/>
      <c r="AM6" s="836" t="s">
        <v>413</v>
      </c>
      <c r="AP6" s="583" t="str">
        <f t="shared" si="0"/>
        <v>Схема подключения теплопотребляющей установки к коллектору источника тепловой энергии</v>
      </c>
      <c r="AS6" s="539">
        <v>0</v>
      </c>
    </row>
    <row r="7" spans="5:45" ht="21" hidden="1" customHeight="1">
      <c r="E7" s="1219"/>
      <c r="F7" s="1219"/>
      <c r="G7" s="1219"/>
      <c r="H7" s="1219"/>
      <c r="I7" s="1051"/>
      <c r="J7" s="1070" t="e">
        <f>I6&amp;".1"</f>
        <v>#N/A</v>
      </c>
      <c r="L7" s="874" t="s">
        <v>414</v>
      </c>
      <c r="P7" s="1038"/>
      <c r="Q7" s="1196">
        <v>1</v>
      </c>
      <c r="R7" s="845"/>
      <c r="S7" s="833" t="e">
        <f>$J7</f>
        <v>#N/A</v>
      </c>
      <c r="T7" s="846" t="s">
        <v>415</v>
      </c>
      <c r="U7" s="834"/>
      <c r="V7" s="1181"/>
      <c r="W7" s="1182"/>
      <c r="X7" s="1182"/>
      <c r="Y7" s="1182"/>
      <c r="Z7" s="1182"/>
      <c r="AA7" s="1182"/>
      <c r="AB7" s="1182"/>
      <c r="AC7" s="1183"/>
      <c r="AD7" s="1181"/>
      <c r="AE7" s="1182"/>
      <c r="AF7" s="1182"/>
      <c r="AG7" s="1182"/>
      <c r="AH7" s="1182"/>
      <c r="AI7" s="1182"/>
      <c r="AJ7" s="1182"/>
      <c r="AK7" s="1182"/>
      <c r="AL7" s="1183"/>
      <c r="AM7" s="836" t="s">
        <v>416</v>
      </c>
      <c r="AP7" s="583" t="str">
        <f t="shared" si="0"/>
        <v>Группа потребителей</v>
      </c>
      <c r="AS7" s="539">
        <v>0</v>
      </c>
    </row>
    <row r="8" spans="5:45" ht="21" hidden="1" customHeight="1">
      <c r="E8" s="1219"/>
      <c r="F8" s="1219"/>
      <c r="G8" s="1219"/>
      <c r="H8" s="1219"/>
      <c r="I8" s="1051"/>
      <c r="J8" s="1051"/>
      <c r="K8" s="1070" t="e">
        <f>J7&amp;".1"</f>
        <v>#N/A</v>
      </c>
      <c r="L8" s="874" t="s">
        <v>417</v>
      </c>
      <c r="P8" s="1038"/>
      <c r="Q8" s="1038"/>
      <c r="R8" s="845">
        <v>1</v>
      </c>
      <c r="S8" s="833" t="e">
        <f>$K8</f>
        <v>#N/A</v>
      </c>
      <c r="T8" s="847"/>
      <c r="U8" s="834"/>
      <c r="V8" s="312"/>
      <c r="W8" s="313"/>
      <c r="X8" s="312"/>
      <c r="Y8" s="314"/>
      <c r="Z8" s="1197"/>
      <c r="AA8" s="1079" t="s">
        <v>61</v>
      </c>
      <c r="AB8" s="1197"/>
      <c r="AC8" s="1079" t="s">
        <v>61</v>
      </c>
      <c r="AD8" s="312"/>
      <c r="AE8" s="313"/>
      <c r="AF8" s="312"/>
      <c r="AG8" s="314"/>
      <c r="AH8" s="1197"/>
      <c r="AI8" s="1079" t="s">
        <v>61</v>
      </c>
      <c r="AJ8" s="1197"/>
      <c r="AK8" s="1079" t="s">
        <v>61</v>
      </c>
      <c r="AL8" s="313"/>
      <c r="AM8" s="1215" t="s">
        <v>418</v>
      </c>
      <c r="AN8" s="578" t="e">
        <f ca="1">STRCHECKDATE(V9:AL9)</f>
        <v>#NAME?</v>
      </c>
      <c r="AP8" s="583" t="str">
        <f t="shared" si="0"/>
        <v/>
      </c>
      <c r="AS8" s="539">
        <v>0</v>
      </c>
    </row>
    <row r="9" spans="5:45" ht="0.75" hidden="1" customHeight="1">
      <c r="E9" s="1219"/>
      <c r="F9" s="1219"/>
      <c r="G9" s="1219"/>
      <c r="H9" s="1219"/>
      <c r="I9" s="1051"/>
      <c r="J9" s="1051"/>
      <c r="K9" s="1070"/>
      <c r="P9" s="1038"/>
      <c r="Q9" s="1038"/>
      <c r="R9" s="845"/>
      <c r="S9" s="127"/>
      <c r="T9" s="834"/>
      <c r="U9" s="834"/>
      <c r="V9" s="313"/>
      <c r="W9" s="313"/>
      <c r="X9" s="313"/>
      <c r="Y9" s="315" t="str">
        <f>Z8&amp;"-"&amp;AB8</f>
        <v>-</v>
      </c>
      <c r="Z9" s="1198"/>
      <c r="AA9" s="1079"/>
      <c r="AB9" s="1198"/>
      <c r="AC9" s="1079"/>
      <c r="AD9" s="313"/>
      <c r="AE9" s="313"/>
      <c r="AF9" s="313"/>
      <c r="AG9" s="315" t="str">
        <f>AH8&amp;"-"&amp;AJ8</f>
        <v>-</v>
      </c>
      <c r="AH9" s="1198"/>
      <c r="AI9" s="1079"/>
      <c r="AJ9" s="1198"/>
      <c r="AK9" s="1079"/>
      <c r="AL9" s="313"/>
      <c r="AM9" s="1216"/>
      <c r="AP9" s="583" t="str">
        <f t="shared" si="0"/>
        <v/>
      </c>
      <c r="AS9" s="539">
        <v>0</v>
      </c>
    </row>
    <row r="10" spans="5:45" ht="15" hidden="1" customHeight="1">
      <c r="E10" s="1219"/>
      <c r="F10" s="1219"/>
      <c r="G10" s="1219"/>
      <c r="H10" s="1219"/>
      <c r="I10" s="1051"/>
      <c r="J10" s="1070"/>
      <c r="P10" s="1038"/>
      <c r="Q10" s="1038"/>
      <c r="R10" s="843"/>
      <c r="S10" s="316"/>
      <c r="T10" s="317" t="s">
        <v>419</v>
      </c>
      <c r="U10" s="52"/>
      <c r="V10" s="52"/>
      <c r="W10" s="52"/>
      <c r="X10" s="52"/>
      <c r="Y10" s="52"/>
      <c r="Z10" s="52"/>
      <c r="AA10" s="52"/>
      <c r="AB10" s="52"/>
      <c r="AC10" s="52"/>
      <c r="AD10" s="52"/>
      <c r="AE10" s="52"/>
      <c r="AF10" s="52"/>
      <c r="AG10" s="52"/>
      <c r="AH10" s="52"/>
      <c r="AI10" s="52"/>
      <c r="AJ10" s="52"/>
      <c r="AK10" s="52"/>
      <c r="AL10" s="318"/>
      <c r="AM10" s="1217"/>
      <c r="AP10" s="583" t="str">
        <f t="shared" si="0"/>
        <v>Добавить вид теплоносителя (параметры теплоносителя)</v>
      </c>
      <c r="AS10" s="539">
        <v>0</v>
      </c>
    </row>
    <row r="11" spans="5:45" ht="15" hidden="1" customHeight="1">
      <c r="E11" s="1219"/>
      <c r="F11" s="1219"/>
      <c r="G11" s="1219"/>
      <c r="H11" s="1219"/>
      <c r="I11" s="1070"/>
      <c r="P11" s="1038"/>
      <c r="R11" s="843"/>
      <c r="S11" s="316"/>
      <c r="T11" s="319" t="s">
        <v>420</v>
      </c>
      <c r="U11" s="52"/>
      <c r="V11" s="52"/>
      <c r="W11" s="52"/>
      <c r="X11" s="52"/>
      <c r="Y11" s="52"/>
      <c r="Z11" s="52"/>
      <c r="AA11" s="52"/>
      <c r="AB11" s="52"/>
      <c r="AC11" s="320"/>
      <c r="AD11" s="52"/>
      <c r="AE11" s="52"/>
      <c r="AF11" s="52"/>
      <c r="AG11" s="52"/>
      <c r="AH11" s="52"/>
      <c r="AI11" s="52"/>
      <c r="AJ11" s="52"/>
      <c r="AK11" s="320"/>
      <c r="AL11" s="52"/>
      <c r="AM11" s="321"/>
      <c r="AP11" s="583" t="str">
        <f t="shared" si="0"/>
        <v>Добавить группу потребителей</v>
      </c>
      <c r="AS11" s="539">
        <v>0</v>
      </c>
    </row>
    <row r="12" spans="5:45" ht="14.25" hidden="1" customHeight="1">
      <c r="E12" s="1219"/>
      <c r="F12" s="1219"/>
      <c r="G12" s="1219"/>
      <c r="H12" s="1218"/>
      <c r="R12" s="311"/>
      <c r="S12" s="316"/>
      <c r="T12" s="322" t="s">
        <v>421</v>
      </c>
      <c r="U12" s="52"/>
      <c r="V12" s="52"/>
      <c r="W12" s="52"/>
      <c r="X12" s="52"/>
      <c r="Y12" s="52"/>
      <c r="Z12" s="52"/>
      <c r="AA12" s="52"/>
      <c r="AB12" s="52"/>
      <c r="AC12" s="320"/>
      <c r="AD12" s="52"/>
      <c r="AE12" s="52"/>
      <c r="AF12" s="52"/>
      <c r="AG12" s="52"/>
      <c r="AH12" s="52"/>
      <c r="AI12" s="52"/>
      <c r="AJ12" s="52"/>
      <c r="AK12" s="320"/>
      <c r="AL12" s="52"/>
      <c r="AM12" s="321"/>
      <c r="AP12" s="583" t="str">
        <f t="shared" si="0"/>
        <v>Добавить схему подключения</v>
      </c>
      <c r="AS12" s="539">
        <v>0</v>
      </c>
    </row>
    <row r="13" spans="5:45" ht="0.75" hidden="1" customHeight="1">
      <c r="E13" s="1219"/>
      <c r="F13" s="1219"/>
      <c r="G13" s="1218"/>
      <c r="S13" s="323"/>
      <c r="T13" s="324" t="s">
        <v>422</v>
      </c>
      <c r="U13" s="325"/>
      <c r="V13" s="325"/>
      <c r="W13" s="325"/>
      <c r="X13" s="325"/>
      <c r="Y13" s="325"/>
      <c r="Z13" s="325"/>
      <c r="AA13" s="325"/>
      <c r="AB13" s="325"/>
      <c r="AC13" s="325"/>
      <c r="AD13" s="325"/>
      <c r="AE13" s="325"/>
      <c r="AF13" s="325"/>
      <c r="AG13" s="325"/>
      <c r="AH13" s="325"/>
      <c r="AI13" s="325"/>
      <c r="AJ13" s="325"/>
      <c r="AK13" s="325"/>
      <c r="AL13" s="325"/>
      <c r="AM13" s="325"/>
      <c r="AP13" s="583" t="str">
        <f t="shared" si="0"/>
        <v>Добавить источник для дифференциации</v>
      </c>
      <c r="AS13" s="578">
        <v>0</v>
      </c>
    </row>
    <row r="14" spans="5:45" ht="0.75" hidden="1" customHeight="1">
      <c r="E14" s="1219"/>
      <c r="F14" s="1218"/>
      <c r="T14" s="326" t="s">
        <v>423</v>
      </c>
      <c r="AP14" s="583" t="str">
        <f t="shared" si="0"/>
        <v>Добавить централизованную систему для дифференциации</v>
      </c>
      <c r="AS14" s="578">
        <v>0</v>
      </c>
    </row>
    <row r="15" spans="5:45" ht="0.75" hidden="1" customHeight="1">
      <c r="E15" s="1218"/>
      <c r="T15" s="327" t="s">
        <v>424</v>
      </c>
      <c r="AP15" s="583" t="str">
        <f t="shared" si="0"/>
        <v>Добавить территорию для дифференциации</v>
      </c>
      <c r="AS15" s="578">
        <v>0</v>
      </c>
    </row>
    <row r="16" spans="5:45" ht="14.25" hidden="1" customHeight="1">
      <c r="AS16" s="539">
        <v>0</v>
      </c>
    </row>
    <row r="17" spans="15:45" ht="14.25" hidden="1" customHeight="1">
      <c r="AD17" s="276"/>
      <c r="AE17" s="276"/>
      <c r="AF17" s="276"/>
      <c r="AG17" s="328"/>
      <c r="AH17" s="1191"/>
      <c r="AI17" s="1190" t="s">
        <v>61</v>
      </c>
      <c r="AJ17" s="1191"/>
      <c r="AK17" s="1190" t="s">
        <v>61</v>
      </c>
      <c r="AS17" s="539">
        <v>0</v>
      </c>
    </row>
    <row r="18" spans="15:45" ht="14.25" hidden="1" customHeight="1">
      <c r="AD18" s="276"/>
      <c r="AE18" s="276"/>
      <c r="AF18" s="276"/>
      <c r="AG18" s="315" t="str">
        <f>AH17&amp;"-"&amp;AJ17</f>
        <v>-</v>
      </c>
      <c r="AH18" s="1190"/>
      <c r="AI18" s="1190"/>
      <c r="AJ18" s="1190"/>
      <c r="AK18" s="1190"/>
      <c r="AS18" s="539">
        <v>0</v>
      </c>
    </row>
    <row r="19" spans="15:45" ht="14.25" hidden="1" customHeight="1">
      <c r="AS19" s="539">
        <v>0</v>
      </c>
    </row>
    <row r="20" spans="15:45" ht="14.25" hidden="1" customHeight="1">
      <c r="O20" s="349" t="s">
        <v>425</v>
      </c>
      <c r="Z20" s="329"/>
      <c r="AB20" s="329"/>
      <c r="AH20" s="329"/>
      <c r="AJ20" s="329"/>
      <c r="AS20" s="556">
        <v>0</v>
      </c>
    </row>
    <row r="21" spans="15:45" ht="14.25" hidden="1" customHeight="1">
      <c r="AS21" s="556">
        <v>0</v>
      </c>
    </row>
    <row r="22" spans="15:45" ht="14.25" hidden="1" customHeight="1">
      <c r="O22" s="874" t="s">
        <v>426</v>
      </c>
      <c r="T22" s="556" t="s">
        <v>427</v>
      </c>
      <c r="AA22" s="599" t="s">
        <v>428</v>
      </c>
      <c r="AC22" s="599" t="s">
        <v>429</v>
      </c>
      <c r="AD22" s="556" t="s">
        <v>427</v>
      </c>
      <c r="AI22" s="599" t="s">
        <v>430</v>
      </c>
      <c r="AK22" s="599" t="s">
        <v>429</v>
      </c>
      <c r="AS22" s="556">
        <v>0</v>
      </c>
    </row>
    <row r="23" spans="15:45" ht="14.25" hidden="1" customHeight="1">
      <c r="AS23" s="539">
        <v>0</v>
      </c>
    </row>
    <row r="24" spans="15:45" ht="14.25" hidden="1" customHeight="1">
      <c r="AS24" s="539">
        <v>0</v>
      </c>
    </row>
    <row r="25" spans="15:45" ht="14.65" customHeight="1">
      <c r="Q25" s="757"/>
      <c r="R25" s="757"/>
      <c r="S25" s="848"/>
      <c r="T25" s="557"/>
      <c r="U25" s="557"/>
      <c r="AS25" s="539">
        <v>14</v>
      </c>
    </row>
    <row r="26" spans="15:45" ht="14.65" customHeight="1">
      <c r="Q26" s="757"/>
      <c r="R26" s="757"/>
      <c r="S26" s="1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4"/>
      <c r="U26" s="1174"/>
      <c r="V26" s="1174"/>
      <c r="W26" s="1174"/>
      <c r="X26" s="1174"/>
      <c r="Y26" s="1174"/>
      <c r="Z26" s="1174"/>
      <c r="AA26" s="1174"/>
      <c r="AB26" s="1174"/>
      <c r="AC26" s="1174"/>
      <c r="AD26" s="1174"/>
      <c r="AE26" s="1174"/>
      <c r="AF26" s="1174"/>
      <c r="AG26" s="1174"/>
      <c r="AH26" s="1174"/>
      <c r="AI26" s="1174"/>
      <c r="AJ26" s="1174"/>
      <c r="AS26" s="539">
        <v>14</v>
      </c>
    </row>
    <row r="27" spans="15:45" ht="14.65" customHeight="1">
      <c r="Q27" s="757"/>
      <c r="R27" s="757"/>
      <c r="S27" s="1148" t="str">
        <f>IF(org=0,"Не определено",org)</f>
        <v>АО "НИЖЕГОРОДСКИЙ ВОДОКАНАЛ"</v>
      </c>
      <c r="T27" s="1148"/>
      <c r="U27" s="1148"/>
      <c r="V27" s="1148"/>
      <c r="W27" s="1148"/>
      <c r="X27" s="1148"/>
      <c r="Y27" s="1148"/>
      <c r="Z27" s="1148"/>
      <c r="AA27" s="1148"/>
      <c r="AB27" s="1148"/>
      <c r="AC27" s="1148"/>
      <c r="AD27" s="1148"/>
      <c r="AE27" s="1148"/>
      <c r="AF27" s="1148"/>
      <c r="AG27" s="1148"/>
      <c r="AH27" s="1148"/>
      <c r="AI27" s="1148"/>
      <c r="AJ27" s="1148"/>
      <c r="AS27" s="539">
        <v>14</v>
      </c>
    </row>
    <row r="28" spans="15:45" ht="14.25" hidden="1" customHeight="1">
      <c r="Q28" s="757"/>
      <c r="R28" s="757"/>
      <c r="S28" s="848"/>
      <c r="T28" s="557"/>
      <c r="U28" s="557"/>
      <c r="V28" s="827"/>
      <c r="W28" s="827"/>
      <c r="X28" s="827"/>
      <c r="Y28" s="827"/>
      <c r="Z28" s="827"/>
      <c r="AA28" s="827"/>
      <c r="AB28" s="827"/>
      <c r="AC28" s="827"/>
      <c r="AD28" s="827"/>
      <c r="AE28" s="827"/>
      <c r="AF28" s="827"/>
      <c r="AG28" s="827"/>
      <c r="AH28" s="827"/>
      <c r="AI28" s="827"/>
      <c r="AJ28" s="827"/>
      <c r="AK28" s="827"/>
      <c r="AS28" s="539">
        <v>0</v>
      </c>
    </row>
    <row r="29" spans="15:45" ht="25.5" hidden="1" customHeight="1">
      <c r="S29" s="1184" t="s">
        <v>41</v>
      </c>
      <c r="T29" s="1184"/>
      <c r="U29" s="850"/>
      <c r="V29" s="1186" t="str">
        <f>IF(TITLE_NAME_OR_PR_CHANGE="",IF(TITLE_NAME_OR_PR="","",TITLE_NAME_OR_PR),TITLE_NAME_OR_PR_CHANGE)</f>
        <v/>
      </c>
      <c r="W29" s="1186"/>
      <c r="X29" s="1186"/>
      <c r="Y29" s="1186"/>
      <c r="Z29" s="1186"/>
      <c r="AA29" s="1186"/>
      <c r="AB29" s="1186"/>
      <c r="AD29" s="1186" t="str">
        <f>IF(TITLE_NAME_OR_PR_CHANGE="",IF(TITLE_NAME_OR_PR="","",TITLE_NAME_OR_PR),TITLE_NAME_OR_PR_CHANGE)</f>
        <v/>
      </c>
      <c r="AE29" s="1186"/>
      <c r="AF29" s="1186"/>
      <c r="AG29" s="1186"/>
      <c r="AH29" s="1186"/>
      <c r="AI29" s="1186"/>
      <c r="AJ29" s="1186"/>
      <c r="AS29" s="593">
        <v>0</v>
      </c>
    </row>
    <row r="30" spans="15:45" ht="18.75" hidden="1" customHeight="1">
      <c r="S30" s="1184" t="s">
        <v>431</v>
      </c>
      <c r="T30" s="1184"/>
      <c r="U30" s="850"/>
      <c r="V30" s="1185" t="str">
        <f>IF(TITLE_DATE_PR_CHANGE="",IF(TITLE_DATE_PR="","",TITLE_DATE_PR),TITLE_DATE_PR_CHANGE)</f>
        <v/>
      </c>
      <c r="W30" s="1185"/>
      <c r="X30" s="1185"/>
      <c r="Y30" s="1185"/>
      <c r="Z30" s="1185"/>
      <c r="AA30" s="1185"/>
      <c r="AB30" s="1185"/>
      <c r="AD30" s="1185" t="str">
        <f>IF(TITLE_DATE_PR_CHANGE="",IF(TITLE_DATE_PR="","",TITLE_DATE_PR),TITLE_DATE_PR_CHANGE)</f>
        <v/>
      </c>
      <c r="AE30" s="1185"/>
      <c r="AF30" s="1185"/>
      <c r="AG30" s="1185"/>
      <c r="AH30" s="1185"/>
      <c r="AI30" s="1185"/>
      <c r="AJ30" s="1185"/>
      <c r="AS30" s="593">
        <v>0</v>
      </c>
    </row>
    <row r="31" spans="15:45" ht="18.75" hidden="1" customHeight="1">
      <c r="S31" s="1184" t="s">
        <v>432</v>
      </c>
      <c r="T31" s="1184"/>
      <c r="U31" s="850"/>
      <c r="V31" s="1186" t="str">
        <f>IF(TITLE_NUMBER_PR_CHANGE="",IF(TITLE_NUMBER_PR="","",TITLE_NUMBER_PR),TITLE_NUMBER_PR_CHANGE)</f>
        <v/>
      </c>
      <c r="W31" s="1186"/>
      <c r="X31" s="1186"/>
      <c r="Y31" s="1186"/>
      <c r="Z31" s="1186"/>
      <c r="AA31" s="1186"/>
      <c r="AB31" s="1186"/>
      <c r="AD31" s="1186" t="str">
        <f>IF(TITLE_NUMBER_PR_CHANGE="",IF(TITLE_NUMBER_PR="","",TITLE_NUMBER_PR),TITLE_NUMBER_PR_CHANGE)</f>
        <v/>
      </c>
      <c r="AE31" s="1186"/>
      <c r="AF31" s="1186"/>
      <c r="AG31" s="1186"/>
      <c r="AH31" s="1186"/>
      <c r="AI31" s="1186"/>
      <c r="AJ31" s="1186"/>
      <c r="AS31" s="593">
        <v>0</v>
      </c>
    </row>
    <row r="32" spans="15:45" ht="18.75" hidden="1" customHeight="1">
      <c r="S32" s="1184" t="s">
        <v>42</v>
      </c>
      <c r="T32" s="1184"/>
      <c r="U32" s="850"/>
      <c r="V32" s="1186" t="str">
        <f>IF(TITLE_IST_PUB_CHANGE="",IF(TITLE_IST_PUB="","",TITLE_IST_PUB),TITLE_IST_PUB_CHANGE)</f>
        <v/>
      </c>
      <c r="W32" s="1186"/>
      <c r="X32" s="1186"/>
      <c r="Y32" s="1186"/>
      <c r="Z32" s="1186"/>
      <c r="AA32" s="1186"/>
      <c r="AB32" s="1186"/>
      <c r="AD32" s="1186" t="str">
        <f>IF(TITLE_IST_PUB_CHANGE="",IF(TITLE_IST_PUB="","",TITLE_IST_PUB),TITLE_IST_PUB_CHANGE)</f>
        <v/>
      </c>
      <c r="AE32" s="1186"/>
      <c r="AF32" s="1186"/>
      <c r="AG32" s="1186"/>
      <c r="AH32" s="1186"/>
      <c r="AI32" s="1186"/>
      <c r="AJ32" s="1186"/>
      <c r="AS32" s="593">
        <v>0</v>
      </c>
    </row>
    <row r="33" spans="1:45" ht="14.25" hidden="1" customHeight="1">
      <c r="Q33" s="757"/>
      <c r="R33" s="757"/>
      <c r="S33" s="848"/>
      <c r="T33" s="557"/>
      <c r="U33" s="557"/>
      <c r="V33" s="827"/>
      <c r="W33" s="827"/>
      <c r="X33" s="827"/>
      <c r="Y33" s="827"/>
      <c r="Z33" s="827"/>
      <c r="AA33" s="827"/>
      <c r="AB33" s="827"/>
      <c r="AC33" s="827"/>
      <c r="AD33" s="827"/>
      <c r="AE33" s="827"/>
      <c r="AF33" s="827"/>
      <c r="AG33" s="827"/>
      <c r="AH33" s="827"/>
      <c r="AI33" s="827"/>
      <c r="AJ33" s="827"/>
      <c r="AK33" s="827"/>
      <c r="AS33" s="539">
        <v>0</v>
      </c>
    </row>
    <row r="34" spans="1:45" ht="18.75" hidden="1" customHeight="1">
      <c r="S34" s="1184" t="s">
        <v>433</v>
      </c>
      <c r="T34" s="1184"/>
      <c r="U34" s="850"/>
      <c r="V34" s="1185" t="str">
        <f>IF(TITLE_DATE_PR_CHANGE="",IF(TITLE_DATE_PR="","",TITLE_DATE_PR),TITLE_DATE_PR_CHANGE)</f>
        <v/>
      </c>
      <c r="W34" s="1185"/>
      <c r="X34" s="1185"/>
      <c r="Y34" s="1185"/>
      <c r="Z34" s="1185"/>
      <c r="AA34" s="1185"/>
      <c r="AB34" s="1185"/>
      <c r="AD34" s="1185" t="str">
        <f>IF(TITLE_DATE_PR_CHANGE="",IF(TITLE_DATE_PR="","",TITLE_DATE_PR),TITLE_DATE_PR_CHANGE)</f>
        <v/>
      </c>
      <c r="AE34" s="1185"/>
      <c r="AF34" s="1185"/>
      <c r="AG34" s="1185"/>
      <c r="AH34" s="1185"/>
      <c r="AI34" s="1185"/>
      <c r="AJ34" s="1185"/>
      <c r="AS34" s="593">
        <v>0</v>
      </c>
    </row>
    <row r="35" spans="1:45" ht="18.75" hidden="1" customHeight="1">
      <c r="S35" s="1184" t="s">
        <v>434</v>
      </c>
      <c r="T35" s="1184"/>
      <c r="U35" s="850"/>
      <c r="V35" s="1186" t="str">
        <f>IF(TITLE_NUMBER_PR_CHANGE="",IF(TITLE_NUMBER_PR="","",TITLE_NUMBER_PR),TITLE_NUMBER_PR_CHANGE)</f>
        <v/>
      </c>
      <c r="W35" s="1186"/>
      <c r="X35" s="1186"/>
      <c r="Y35" s="1186"/>
      <c r="Z35" s="1186"/>
      <c r="AA35" s="1186"/>
      <c r="AB35" s="1186"/>
      <c r="AD35" s="1186" t="str">
        <f>IF(TITLE_NUMBER_PR_CHANGE="",IF(TITLE_NUMBER_PR="","",TITLE_NUMBER_PR),TITLE_NUMBER_PR_CHANGE)</f>
        <v/>
      </c>
      <c r="AE35" s="1186"/>
      <c r="AF35" s="1186"/>
      <c r="AG35" s="1186"/>
      <c r="AH35" s="1186"/>
      <c r="AI35" s="1186"/>
      <c r="AJ35" s="1186"/>
      <c r="AS35" s="593">
        <v>0</v>
      </c>
    </row>
    <row r="36" spans="1:45" ht="0" hidden="1" customHeight="1">
      <c r="AC36" s="578" t="s">
        <v>435</v>
      </c>
      <c r="AK36" s="578" t="s">
        <v>435</v>
      </c>
      <c r="AS36" s="593">
        <v>0</v>
      </c>
    </row>
    <row r="37" spans="1:45" ht="14.65" customHeight="1">
      <c r="Q37" s="757"/>
      <c r="R37" s="757"/>
      <c r="S37" s="848"/>
      <c r="T37" s="557"/>
      <c r="U37" s="851"/>
      <c r="V37" s="1204"/>
      <c r="W37" s="1204"/>
      <c r="X37" s="1204"/>
      <c r="Y37" s="1204"/>
      <c r="Z37" s="1204"/>
      <c r="AA37" s="1204"/>
      <c r="AB37" s="1204"/>
      <c r="AC37" s="1204"/>
      <c r="AD37" s="1204"/>
      <c r="AE37" s="1204"/>
      <c r="AF37" s="1204"/>
      <c r="AG37" s="1204"/>
      <c r="AH37" s="1204"/>
      <c r="AI37" s="1204"/>
      <c r="AJ37" s="1204"/>
      <c r="AK37" s="1204"/>
      <c r="AS37" s="539">
        <v>14</v>
      </c>
    </row>
    <row r="38" spans="1:45" ht="14.65" customHeight="1">
      <c r="Q38" s="757"/>
      <c r="R38" s="757"/>
      <c r="S38" s="1070" t="s">
        <v>308</v>
      </c>
      <c r="T38" s="1070"/>
      <c r="U38" s="1070"/>
      <c r="V38" s="1070"/>
      <c r="W38" s="1070"/>
      <c r="X38" s="1070"/>
      <c r="Y38" s="1070"/>
      <c r="Z38" s="1070"/>
      <c r="AA38" s="1070"/>
      <c r="AB38" s="1070"/>
      <c r="AC38" s="1070"/>
      <c r="AD38" s="1070"/>
      <c r="AE38" s="1070"/>
      <c r="AF38" s="1070"/>
      <c r="AG38" s="1070"/>
      <c r="AH38" s="1070"/>
      <c r="AI38" s="1070"/>
      <c r="AJ38" s="1070"/>
      <c r="AK38" s="1070"/>
      <c r="AL38" s="1070"/>
      <c r="AM38" s="1070" t="s">
        <v>309</v>
      </c>
      <c r="AS38" s="539">
        <v>14</v>
      </c>
    </row>
    <row r="39" spans="1:45" ht="14.65" customHeight="1">
      <c r="Q39" s="757"/>
      <c r="R39" s="757"/>
      <c r="S39" s="1205" t="s">
        <v>87</v>
      </c>
      <c r="T39" s="1155" t="s">
        <v>436</v>
      </c>
      <c r="U39" s="818"/>
      <c r="V39" s="1206" t="s">
        <v>437</v>
      </c>
      <c r="W39" s="1207"/>
      <c r="X39" s="1207"/>
      <c r="Y39" s="1207"/>
      <c r="Z39" s="1207"/>
      <c r="AA39" s="1207"/>
      <c r="AB39" s="1208"/>
      <c r="AC39" s="1209" t="s">
        <v>438</v>
      </c>
      <c r="AD39" s="1206" t="s">
        <v>437</v>
      </c>
      <c r="AE39" s="1207"/>
      <c r="AF39" s="1207"/>
      <c r="AG39" s="1207"/>
      <c r="AH39" s="1207"/>
      <c r="AI39" s="1207"/>
      <c r="AJ39" s="1208"/>
      <c r="AK39" s="1209" t="s">
        <v>439</v>
      </c>
      <c r="AL39" s="1212" t="s">
        <v>440</v>
      </c>
      <c r="AM39" s="1070"/>
      <c r="AS39" s="539">
        <v>14</v>
      </c>
    </row>
    <row r="40" spans="1:45" ht="35.65" customHeight="1">
      <c r="Q40" s="757"/>
      <c r="R40" s="757"/>
      <c r="S40" s="1205"/>
      <c r="T40" s="1155"/>
      <c r="U40" s="823"/>
      <c r="V40" s="1128" t="s">
        <v>441</v>
      </c>
      <c r="W40" s="1201" t="s">
        <v>442</v>
      </c>
      <c r="X40" s="1051" t="s">
        <v>443</v>
      </c>
      <c r="Y40" s="1050"/>
      <c r="Z40" s="1051" t="s">
        <v>457</v>
      </c>
      <c r="AA40" s="1056"/>
      <c r="AB40" s="1050"/>
      <c r="AC40" s="1210"/>
      <c r="AD40" s="1128" t="s">
        <v>441</v>
      </c>
      <c r="AE40" s="1201" t="s">
        <v>442</v>
      </c>
      <c r="AF40" s="1051" t="s">
        <v>443</v>
      </c>
      <c r="AG40" s="1050"/>
      <c r="AH40" s="1051" t="s">
        <v>444</v>
      </c>
      <c r="AI40" s="1056"/>
      <c r="AJ40" s="1050"/>
      <c r="AK40" s="1210"/>
      <c r="AL40" s="1213"/>
      <c r="AM40" s="1070"/>
      <c r="AS40" s="539">
        <v>34</v>
      </c>
    </row>
    <row r="41" spans="1:45" ht="35.65" customHeight="1">
      <c r="B41" s="601" t="s">
        <v>145</v>
      </c>
      <c r="C41" s="601" t="s">
        <v>146</v>
      </c>
      <c r="D41" s="601" t="s">
        <v>147</v>
      </c>
      <c r="E41" s="874" t="s">
        <v>445</v>
      </c>
      <c r="F41" s="874" t="s">
        <v>446</v>
      </c>
      <c r="G41" s="874" t="s">
        <v>447</v>
      </c>
      <c r="H41" s="874" t="s">
        <v>448</v>
      </c>
      <c r="I41" s="874" t="s">
        <v>449</v>
      </c>
      <c r="J41" s="874" t="s">
        <v>450</v>
      </c>
      <c r="K41" s="874" t="s">
        <v>451</v>
      </c>
      <c r="L41" s="874" t="s">
        <v>426</v>
      </c>
      <c r="Q41" s="757"/>
      <c r="R41" s="757"/>
      <c r="S41" s="1205"/>
      <c r="T41" s="1155"/>
      <c r="U41" s="853"/>
      <c r="V41" s="1179"/>
      <c r="W41" s="1202"/>
      <c r="X41" s="603" t="s">
        <v>452</v>
      </c>
      <c r="Y41" s="603" t="s">
        <v>453</v>
      </c>
      <c r="Z41" s="603" t="s">
        <v>454</v>
      </c>
      <c r="AA41" s="1160" t="s">
        <v>455</v>
      </c>
      <c r="AB41" s="1173"/>
      <c r="AC41" s="1211"/>
      <c r="AD41" s="1179"/>
      <c r="AE41" s="1202"/>
      <c r="AF41" s="603" t="s">
        <v>452</v>
      </c>
      <c r="AG41" s="603" t="s">
        <v>453</v>
      </c>
      <c r="AH41" s="603" t="s">
        <v>454</v>
      </c>
      <c r="AI41" s="1160" t="s">
        <v>455</v>
      </c>
      <c r="AJ41" s="1173"/>
      <c r="AK41" s="1211"/>
      <c r="AL41" s="1214"/>
      <c r="AM41" s="1070"/>
      <c r="AS41" s="539">
        <v>34</v>
      </c>
    </row>
    <row r="42" spans="1:45" ht="11.25" hidden="1" customHeight="1">
      <c r="Q42" s="854"/>
      <c r="R42" s="855">
        <v>1</v>
      </c>
      <c r="S42" s="330" t="s">
        <v>114</v>
      </c>
      <c r="T42" s="331" t="s">
        <v>102</v>
      </c>
      <c r="U42" s="856" t="str">
        <f ca="1">OFFSET(U42,0,-1)</f>
        <v>2</v>
      </c>
      <c r="V42" s="857">
        <f ca="1">OFFSET(V42,0,-1)+1</f>
        <v>3</v>
      </c>
      <c r="W42" s="857"/>
      <c r="X42" s="857">
        <f ca="1">OFFSET(X42,0,-1)+1</f>
        <v>1</v>
      </c>
      <c r="Y42" s="857">
        <f ca="1">OFFSET(Y42,0,-1)+1</f>
        <v>2</v>
      </c>
      <c r="Z42" s="857">
        <f ca="1">OFFSET(Z42,0,-1)+1</f>
        <v>3</v>
      </c>
      <c r="AA42" s="1203">
        <f ca="1">OFFSET(AA42,0,-1)+1</f>
        <v>4</v>
      </c>
      <c r="AB42" s="1203"/>
      <c r="AC42" s="857">
        <f ca="1">OFFSET(AC42,0,-2)+1</f>
        <v>5</v>
      </c>
      <c r="AD42" s="857">
        <f ca="1">OFFSET(AD42,0,-1)+1</f>
        <v>6</v>
      </c>
      <c r="AE42" s="857"/>
      <c r="AF42" s="857">
        <f ca="1">OFFSET(AF42,0,-1)+1</f>
        <v>1</v>
      </c>
      <c r="AG42" s="857">
        <f ca="1">OFFSET(AG42,0,-1)+1</f>
        <v>2</v>
      </c>
      <c r="AH42" s="857">
        <f ca="1">OFFSET(AH42,0,-1)+1</f>
        <v>3</v>
      </c>
      <c r="AI42" s="1203">
        <f ca="1">OFFSET(AI42,0,-1)+1</f>
        <v>4</v>
      </c>
      <c r="AJ42" s="1203"/>
      <c r="AK42" s="857">
        <f ca="1">OFFSET(AK42,0,-2)+1</f>
        <v>5</v>
      </c>
      <c r="AL42" s="856">
        <f ca="1">OFFSET(AL42,0,-1)</f>
        <v>5</v>
      </c>
      <c r="AM42" s="857">
        <f ca="1">OFFSET(AM42,0,-1)+1</f>
        <v>6</v>
      </c>
      <c r="AS42" s="682">
        <v>0</v>
      </c>
    </row>
    <row r="43" spans="1:45" ht="21.95" customHeight="1">
      <c r="A43" s="607" t="s">
        <v>220</v>
      </c>
      <c r="E43" s="1218">
        <v>1</v>
      </c>
      <c r="R43" s="311"/>
      <c r="S43" s="833">
        <f>INDEX(PT_DIFFERENTIATION_NUM_NTAR,MATCH(A43,PT_DIFFERENTIATION_NTAR_ID,0))</f>
        <v>0</v>
      </c>
      <c r="T43" s="796" t="s">
        <v>133</v>
      </c>
      <c r="U43" s="834"/>
      <c r="V43" s="1187"/>
      <c r="W43" s="1188"/>
      <c r="X43" s="1188"/>
      <c r="Y43" s="1188"/>
      <c r="Z43" s="1188"/>
      <c r="AA43" s="1188"/>
      <c r="AB43" s="1188"/>
      <c r="AC43" s="1189"/>
      <c r="AD43" s="1187" t="str">
        <f>INDEX(PT_DIFFERENTIATION_NTAR,MATCH(A43,PT_DIFFERENTIATION_NTAR_ID,0))</f>
        <v/>
      </c>
      <c r="AE43" s="1188"/>
      <c r="AF43" s="1188"/>
      <c r="AG43" s="1188"/>
      <c r="AH43" s="1188"/>
      <c r="AI43" s="1188"/>
      <c r="AJ43" s="1188"/>
      <c r="AK43" s="1188"/>
      <c r="AL43" s="1189"/>
      <c r="AM43" s="8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3" t="str">
        <f t="shared" ref="AP43:AP57" si="1">IF(T43="","",T43)</f>
        <v>Наименование тарифа</v>
      </c>
      <c r="AS43" s="539">
        <v>21</v>
      </c>
    </row>
    <row r="44" spans="1:45" ht="21.95" customHeight="1">
      <c r="A44" s="607" t="s">
        <v>220</v>
      </c>
      <c r="B44" s="607" t="s">
        <v>221</v>
      </c>
      <c r="E44" s="1219"/>
      <c r="F44" s="1218">
        <v>1</v>
      </c>
      <c r="Q44" s="837"/>
      <c r="R44" s="838"/>
      <c r="S44" s="833" t="str">
        <f>INDEX(PT_DIFFERENTIATION_NUM_TER,MATCH(B44,PT_DIFFERENTIATION_TER_ID,0))</f>
        <v>.</v>
      </c>
      <c r="T44" s="839" t="s">
        <v>405</v>
      </c>
      <c r="U44" s="834"/>
      <c r="V44" s="1187"/>
      <c r="W44" s="1188"/>
      <c r="X44" s="1188"/>
      <c r="Y44" s="1188"/>
      <c r="Z44" s="1188"/>
      <c r="AA44" s="1188"/>
      <c r="AB44" s="1188"/>
      <c r="AC44" s="1189"/>
      <c r="AD44" s="1187" t="str">
        <f>INDEX(PT_DIFFERENTIATION_TER,MATCH(B44,PT_DIFFERENTIATION_TER_ID,0))</f>
        <v/>
      </c>
      <c r="AE44" s="1188"/>
      <c r="AF44" s="1188"/>
      <c r="AG44" s="1188"/>
      <c r="AH44" s="1188"/>
      <c r="AI44" s="1188"/>
      <c r="AJ44" s="1188"/>
      <c r="AK44" s="1188"/>
      <c r="AL44" s="1189"/>
      <c r="AM44" s="836" t="s">
        <v>406</v>
      </c>
      <c r="AP44" s="583" t="str">
        <f t="shared" si="1"/>
        <v>Территория действия тарифа</v>
      </c>
      <c r="AS44" s="539">
        <v>21</v>
      </c>
    </row>
    <row r="45" spans="1:45" ht="24" customHeight="1">
      <c r="A45" s="607" t="s">
        <v>220</v>
      </c>
      <c r="B45" s="607" t="s">
        <v>221</v>
      </c>
      <c r="C45" s="607" t="s">
        <v>222</v>
      </c>
      <c r="E45" s="1219"/>
      <c r="F45" s="1219"/>
      <c r="G45" s="1218">
        <v>1</v>
      </c>
      <c r="Q45" s="837"/>
      <c r="R45" s="838"/>
      <c r="S45" s="833" t="str">
        <f>INDEX(PT_DIFFERENTIATION_NUM_CS,MATCH(C45,PT_DIFFERENTIATION_CS_ID,0))</f>
        <v>..</v>
      </c>
      <c r="T45" s="840" t="s">
        <v>407</v>
      </c>
      <c r="U45" s="834"/>
      <c r="V45" s="1187"/>
      <c r="W45" s="1188"/>
      <c r="X45" s="1188"/>
      <c r="Y45" s="1188"/>
      <c r="Z45" s="1188"/>
      <c r="AA45" s="1188"/>
      <c r="AB45" s="1188"/>
      <c r="AC45" s="1189"/>
      <c r="AD45" s="1187" t="str">
        <f>INDEX(PT_DIFFERENTIATION_CS,MATCH(C45,PT_DIFFERENTIATION_CS_ID,0))</f>
        <v/>
      </c>
      <c r="AE45" s="1188"/>
      <c r="AF45" s="1188"/>
      <c r="AG45" s="1188"/>
      <c r="AH45" s="1188"/>
      <c r="AI45" s="1188"/>
      <c r="AJ45" s="1188"/>
      <c r="AK45" s="1188"/>
      <c r="AL45" s="1189"/>
      <c r="AM45" s="836" t="s">
        <v>408</v>
      </c>
      <c r="AP45" s="583" t="str">
        <f t="shared" si="1"/>
        <v xml:space="preserve">Наименование системы теплоснабжения </v>
      </c>
      <c r="AS45" s="539">
        <v>23</v>
      </c>
    </row>
    <row r="46" spans="1:45" ht="21.95" customHeight="1">
      <c r="A46" s="607" t="s">
        <v>220</v>
      </c>
      <c r="B46" s="607" t="s">
        <v>221</v>
      </c>
      <c r="C46" s="607" t="s">
        <v>222</v>
      </c>
      <c r="D46" s="607" t="s">
        <v>223</v>
      </c>
      <c r="E46" s="1219"/>
      <c r="F46" s="1219"/>
      <c r="G46" s="1219"/>
      <c r="H46" s="1218">
        <v>1</v>
      </c>
      <c r="Q46" s="837"/>
      <c r="R46" s="838"/>
      <c r="S46" s="833" t="str">
        <f>INDEX(PT_DIFFERENTIATION_NUM_IST_TE,MATCH(D46,PT_DIFFERENTIATION_IST_TE_ID,0))</f>
        <v>...</v>
      </c>
      <c r="T46" s="841" t="s">
        <v>409</v>
      </c>
      <c r="U46" s="834"/>
      <c r="V46" s="1187"/>
      <c r="W46" s="1188"/>
      <c r="X46" s="1188"/>
      <c r="Y46" s="1188"/>
      <c r="Z46" s="1188"/>
      <c r="AA46" s="1188"/>
      <c r="AB46" s="1188"/>
      <c r="AC46" s="1189"/>
      <c r="AD46" s="1187" t="str">
        <f>INDEX(PT_DIFFERENTIATION_IST_TE,MATCH(D46,PT_DIFFERENTIATION_IST_TE_ID,0))</f>
        <v/>
      </c>
      <c r="AE46" s="1188"/>
      <c r="AF46" s="1188"/>
      <c r="AG46" s="1188"/>
      <c r="AH46" s="1188"/>
      <c r="AI46" s="1188"/>
      <c r="AJ46" s="1188"/>
      <c r="AK46" s="1188"/>
      <c r="AL46" s="1189"/>
      <c r="AM46" s="836" t="s">
        <v>410</v>
      </c>
      <c r="AP46" s="583" t="str">
        <f t="shared" si="1"/>
        <v xml:space="preserve">Источник тепловой энергии  </v>
      </c>
      <c r="AS46" s="539">
        <v>21</v>
      </c>
    </row>
    <row r="47" spans="1:45" ht="49.5" customHeight="1">
      <c r="A47" s="607" t="s">
        <v>220</v>
      </c>
      <c r="B47" s="607" t="s">
        <v>221</v>
      </c>
      <c r="C47" s="607" t="s">
        <v>222</v>
      </c>
      <c r="D47" s="607" t="s">
        <v>223</v>
      </c>
      <c r="E47" s="1219"/>
      <c r="F47" s="1219"/>
      <c r="G47" s="1219"/>
      <c r="H47" s="1219"/>
      <c r="I47" s="1070" t="str">
        <f>S46&amp;".1"</f>
        <v>....1</v>
      </c>
      <c r="L47" s="874" t="s">
        <v>411</v>
      </c>
      <c r="P47" s="1196">
        <v>1</v>
      </c>
      <c r="R47" s="843"/>
      <c r="S47" s="833" t="str">
        <f>$I47</f>
        <v>....1</v>
      </c>
      <c r="T47" s="844" t="s">
        <v>412</v>
      </c>
      <c r="U47" s="834"/>
      <c r="V47" s="1181"/>
      <c r="W47" s="1182"/>
      <c r="X47" s="1182"/>
      <c r="Y47" s="1182"/>
      <c r="Z47" s="1182"/>
      <c r="AA47" s="1182"/>
      <c r="AB47" s="1182"/>
      <c r="AC47" s="1183"/>
      <c r="AD47" s="1181"/>
      <c r="AE47" s="1182"/>
      <c r="AF47" s="1182"/>
      <c r="AG47" s="1182"/>
      <c r="AH47" s="1182"/>
      <c r="AI47" s="1182"/>
      <c r="AJ47" s="1182"/>
      <c r="AK47" s="1182"/>
      <c r="AL47" s="1183"/>
      <c r="AM47" s="836" t="s">
        <v>413</v>
      </c>
      <c r="AP47" s="583" t="str">
        <f t="shared" si="1"/>
        <v>Схема подключения теплопотребляющей установки к коллектору источника тепловой энергии</v>
      </c>
      <c r="AS47" s="539">
        <v>47</v>
      </c>
    </row>
    <row r="48" spans="1:45" ht="21.95" customHeight="1">
      <c r="A48" s="607" t="s">
        <v>220</v>
      </c>
      <c r="B48" s="607" t="s">
        <v>221</v>
      </c>
      <c r="C48" s="607" t="s">
        <v>222</v>
      </c>
      <c r="D48" s="607" t="s">
        <v>223</v>
      </c>
      <c r="E48" s="1219"/>
      <c r="F48" s="1219"/>
      <c r="G48" s="1219"/>
      <c r="H48" s="1219"/>
      <c r="I48" s="1051"/>
      <c r="J48" s="1070" t="str">
        <f>I47&amp;".1"</f>
        <v>....1.1</v>
      </c>
      <c r="L48" s="874" t="s">
        <v>414</v>
      </c>
      <c r="P48" s="1038"/>
      <c r="Q48" s="1196">
        <v>1</v>
      </c>
      <c r="R48" s="845"/>
      <c r="S48" s="833" t="str">
        <f>$J48</f>
        <v>....1.1</v>
      </c>
      <c r="T48" s="846" t="s">
        <v>415</v>
      </c>
      <c r="U48" s="834"/>
      <c r="V48" s="1181"/>
      <c r="W48" s="1182"/>
      <c r="X48" s="1182"/>
      <c r="Y48" s="1182"/>
      <c r="Z48" s="1182"/>
      <c r="AA48" s="1182"/>
      <c r="AB48" s="1182"/>
      <c r="AC48" s="1183"/>
      <c r="AD48" s="1181"/>
      <c r="AE48" s="1182"/>
      <c r="AF48" s="1182"/>
      <c r="AG48" s="1182"/>
      <c r="AH48" s="1182"/>
      <c r="AI48" s="1182"/>
      <c r="AJ48" s="1182"/>
      <c r="AK48" s="1182"/>
      <c r="AL48" s="1183"/>
      <c r="AM48" s="836" t="s">
        <v>416</v>
      </c>
      <c r="AP48" s="583" t="str">
        <f t="shared" si="1"/>
        <v>Группа потребителей</v>
      </c>
      <c r="AS48" s="539">
        <v>21</v>
      </c>
    </row>
    <row r="49" spans="1:45" ht="21.95" customHeight="1">
      <c r="A49" s="607" t="s">
        <v>220</v>
      </c>
      <c r="B49" s="607" t="s">
        <v>221</v>
      </c>
      <c r="C49" s="607" t="s">
        <v>222</v>
      </c>
      <c r="D49" s="607" t="s">
        <v>223</v>
      </c>
      <c r="E49" s="1219"/>
      <c r="F49" s="1219"/>
      <c r="G49" s="1219"/>
      <c r="H49" s="1219"/>
      <c r="I49" s="1051"/>
      <c r="J49" s="1051"/>
      <c r="K49" s="1070" t="str">
        <f>J48&amp;".1"</f>
        <v>....1.1.1</v>
      </c>
      <c r="L49" s="874" t="s">
        <v>417</v>
      </c>
      <c r="P49" s="1038"/>
      <c r="Q49" s="1038"/>
      <c r="R49" s="845">
        <v>1</v>
      </c>
      <c r="S49" s="833" t="str">
        <f>$K49</f>
        <v>....1.1.1</v>
      </c>
      <c r="T49" s="847"/>
      <c r="U49" s="834"/>
      <c r="V49" s="312"/>
      <c r="W49" s="313"/>
      <c r="X49" s="312"/>
      <c r="Y49" s="314"/>
      <c r="Z49" s="1197"/>
      <c r="AA49" s="1079" t="s">
        <v>61</v>
      </c>
      <c r="AB49" s="1197"/>
      <c r="AC49" s="1079" t="s">
        <v>61</v>
      </c>
      <c r="AD49" s="312"/>
      <c r="AE49" s="313"/>
      <c r="AF49" s="312"/>
      <c r="AG49" s="314"/>
      <c r="AH49" s="1197"/>
      <c r="AI49" s="1079" t="s">
        <v>61</v>
      </c>
      <c r="AJ49" s="1199"/>
      <c r="AK49" s="1079" t="s">
        <v>61</v>
      </c>
      <c r="AL49" s="332"/>
      <c r="AM49" s="1215" t="s">
        <v>418</v>
      </c>
      <c r="AN49" s="578" t="e">
        <f ca="1">STRCHECKDATE(V50:AL50)</f>
        <v>#NAME?</v>
      </c>
      <c r="AP49" s="583" t="str">
        <f t="shared" si="1"/>
        <v/>
      </c>
      <c r="AS49" s="539">
        <v>21</v>
      </c>
    </row>
    <row r="50" spans="1:45" ht="1.1499999999999999" customHeight="1">
      <c r="A50" s="607" t="s">
        <v>220</v>
      </c>
      <c r="B50" s="607" t="s">
        <v>221</v>
      </c>
      <c r="C50" s="607" t="s">
        <v>222</v>
      </c>
      <c r="D50" s="607" t="s">
        <v>223</v>
      </c>
      <c r="E50" s="1219"/>
      <c r="F50" s="1219"/>
      <c r="G50" s="1219"/>
      <c r="H50" s="1219"/>
      <c r="I50" s="1051"/>
      <c r="J50" s="1051"/>
      <c r="K50" s="1070"/>
      <c r="P50" s="1038"/>
      <c r="Q50" s="1038"/>
      <c r="R50" s="845"/>
      <c r="S50" s="127"/>
      <c r="T50" s="834"/>
      <c r="U50" s="834"/>
      <c r="V50" s="313"/>
      <c r="W50" s="313"/>
      <c r="X50" s="313"/>
      <c r="Y50" s="315" t="str">
        <f>Z49&amp;"-"&amp;AB49</f>
        <v>-</v>
      </c>
      <c r="Z50" s="1198"/>
      <c r="AA50" s="1079"/>
      <c r="AB50" s="1198"/>
      <c r="AC50" s="1079"/>
      <c r="AD50" s="313"/>
      <c r="AE50" s="313"/>
      <c r="AF50" s="313"/>
      <c r="AG50" s="315" t="str">
        <f>AH49&amp;"-"&amp;AJ49</f>
        <v>-</v>
      </c>
      <c r="AH50" s="1198"/>
      <c r="AI50" s="1079"/>
      <c r="AJ50" s="1200"/>
      <c r="AK50" s="1079"/>
      <c r="AL50" s="333"/>
      <c r="AM50" s="1216"/>
      <c r="AP50" s="583" t="str">
        <f t="shared" si="1"/>
        <v/>
      </c>
      <c r="AS50" s="539">
        <v>1</v>
      </c>
    </row>
    <row r="51" spans="1:45" ht="11.45" customHeight="1">
      <c r="A51" s="607" t="s">
        <v>220</v>
      </c>
      <c r="B51" s="607" t="s">
        <v>221</v>
      </c>
      <c r="C51" s="607" t="s">
        <v>222</v>
      </c>
      <c r="D51" s="607" t="s">
        <v>223</v>
      </c>
      <c r="E51" s="1219"/>
      <c r="F51" s="1219"/>
      <c r="G51" s="1219"/>
      <c r="H51" s="1219"/>
      <c r="I51" s="1051"/>
      <c r="J51" s="1070"/>
      <c r="P51" s="1038"/>
      <c r="Q51" s="1038"/>
      <c r="R51" s="843"/>
      <c r="S51" s="316"/>
      <c r="T51" s="317" t="s">
        <v>419</v>
      </c>
      <c r="U51" s="52"/>
      <c r="V51" s="52"/>
      <c r="W51" s="52"/>
      <c r="X51" s="52"/>
      <c r="Y51" s="52"/>
      <c r="Z51" s="52"/>
      <c r="AA51" s="52"/>
      <c r="AB51" s="52"/>
      <c r="AC51" s="52"/>
      <c r="AD51" s="52"/>
      <c r="AE51" s="52"/>
      <c r="AF51" s="52"/>
      <c r="AG51" s="52"/>
      <c r="AH51" s="52"/>
      <c r="AI51" s="52"/>
      <c r="AJ51" s="52"/>
      <c r="AK51" s="52"/>
      <c r="AL51" s="318"/>
      <c r="AM51" s="1217"/>
      <c r="AP51" s="583" t="str">
        <f t="shared" si="1"/>
        <v>Добавить вид теплоносителя (параметры теплоносителя)</v>
      </c>
      <c r="AS51" s="539">
        <v>11</v>
      </c>
    </row>
    <row r="52" spans="1:45" ht="11.45" customHeight="1">
      <c r="A52" s="607" t="s">
        <v>220</v>
      </c>
      <c r="B52" s="607" t="s">
        <v>221</v>
      </c>
      <c r="C52" s="607" t="s">
        <v>222</v>
      </c>
      <c r="D52" s="607" t="s">
        <v>223</v>
      </c>
      <c r="E52" s="1219"/>
      <c r="F52" s="1219"/>
      <c r="G52" s="1219"/>
      <c r="H52" s="1219"/>
      <c r="I52" s="1070"/>
      <c r="P52" s="1038"/>
      <c r="R52" s="843"/>
      <c r="S52" s="316"/>
      <c r="T52" s="319" t="s">
        <v>420</v>
      </c>
      <c r="U52" s="52"/>
      <c r="V52" s="52"/>
      <c r="W52" s="52"/>
      <c r="X52" s="52"/>
      <c r="Y52" s="52"/>
      <c r="Z52" s="52"/>
      <c r="AA52" s="52"/>
      <c r="AB52" s="52"/>
      <c r="AC52" s="320"/>
      <c r="AD52" s="52"/>
      <c r="AE52" s="52"/>
      <c r="AF52" s="52"/>
      <c r="AG52" s="52"/>
      <c r="AH52" s="52"/>
      <c r="AI52" s="52"/>
      <c r="AJ52" s="52"/>
      <c r="AK52" s="320"/>
      <c r="AL52" s="52"/>
      <c r="AM52" s="321"/>
      <c r="AP52" s="583" t="str">
        <f t="shared" si="1"/>
        <v>Добавить группу потребителей</v>
      </c>
      <c r="AS52" s="539">
        <v>11</v>
      </c>
    </row>
    <row r="53" spans="1:45" ht="14.65" customHeight="1">
      <c r="A53" s="607" t="s">
        <v>220</v>
      </c>
      <c r="B53" s="607" t="s">
        <v>221</v>
      </c>
      <c r="C53" s="607" t="s">
        <v>222</v>
      </c>
      <c r="D53" s="607" t="s">
        <v>223</v>
      </c>
      <c r="E53" s="1219"/>
      <c r="F53" s="1219"/>
      <c r="G53" s="1219"/>
      <c r="H53" s="1218"/>
      <c r="R53" s="311"/>
      <c r="S53" s="316"/>
      <c r="T53" s="322" t="s">
        <v>421</v>
      </c>
      <c r="U53" s="52"/>
      <c r="V53" s="52"/>
      <c r="W53" s="52"/>
      <c r="X53" s="52"/>
      <c r="Y53" s="52"/>
      <c r="Z53" s="52"/>
      <c r="AA53" s="52"/>
      <c r="AB53" s="52"/>
      <c r="AC53" s="320"/>
      <c r="AD53" s="52"/>
      <c r="AE53" s="52"/>
      <c r="AF53" s="52"/>
      <c r="AG53" s="52"/>
      <c r="AH53" s="52"/>
      <c r="AI53" s="52"/>
      <c r="AJ53" s="52"/>
      <c r="AK53" s="320"/>
      <c r="AL53" s="52"/>
      <c r="AM53" s="321"/>
      <c r="AP53" s="583" t="str">
        <f t="shared" si="1"/>
        <v>Добавить схему подключения</v>
      </c>
      <c r="AS53" s="539">
        <v>14</v>
      </c>
    </row>
    <row r="54" spans="1:45" ht="4.1500000000000004" customHeight="1">
      <c r="A54" s="878" t="s">
        <v>220</v>
      </c>
      <c r="B54" s="878" t="s">
        <v>221</v>
      </c>
      <c r="C54" s="878" t="s">
        <v>222</v>
      </c>
      <c r="E54" s="1219"/>
      <c r="F54" s="1219"/>
      <c r="G54" s="1218"/>
      <c r="T54" s="327" t="s">
        <v>422</v>
      </c>
      <c r="AP54" s="583" t="str">
        <f t="shared" si="1"/>
        <v>Добавить источник для дифференциации</v>
      </c>
      <c r="AS54" s="578">
        <v>4</v>
      </c>
    </row>
    <row r="55" spans="1:45" ht="4.1500000000000004" customHeight="1">
      <c r="A55" s="878" t="s">
        <v>220</v>
      </c>
      <c r="B55" s="878" t="s">
        <v>221</v>
      </c>
      <c r="E55" s="1219"/>
      <c r="F55" s="1218"/>
      <c r="T55" s="327" t="s">
        <v>423</v>
      </c>
      <c r="AP55" s="583" t="str">
        <f t="shared" si="1"/>
        <v>Добавить централизованную систему для дифференциации</v>
      </c>
      <c r="AS55" s="578">
        <v>4</v>
      </c>
    </row>
    <row r="56" spans="1:45" ht="4.1500000000000004" customHeight="1">
      <c r="A56" s="878" t="s">
        <v>220</v>
      </c>
      <c r="E56" s="1218"/>
      <c r="T56" s="327" t="s">
        <v>424</v>
      </c>
      <c r="AP56" s="583" t="str">
        <f t="shared" si="1"/>
        <v>Добавить территорию для дифференциации</v>
      </c>
      <c r="AS56" s="578">
        <v>4</v>
      </c>
    </row>
    <row r="57" spans="1:45" ht="4.1500000000000004" customHeight="1">
      <c r="T57" s="327" t="s">
        <v>456</v>
      </c>
      <c r="AP57" s="583" t="str">
        <f t="shared" si="1"/>
        <v>Добавить наименование тарифа</v>
      </c>
      <c r="AS57" s="578">
        <v>4</v>
      </c>
    </row>
    <row r="58" spans="1:45" ht="11.45" customHeight="1">
      <c r="AS58" s="539">
        <v>11</v>
      </c>
    </row>
    <row r="59" spans="1:45" ht="28.5" customHeight="1">
      <c r="T59" s="1038"/>
      <c r="U59" s="1038"/>
      <c r="V59" s="1038"/>
      <c r="W59" s="1038"/>
      <c r="X59" s="1038"/>
      <c r="Y59" s="1038"/>
      <c r="Z59" s="1038"/>
      <c r="AA59" s="1038"/>
      <c r="AB59" s="1038"/>
      <c r="AC59" s="1038"/>
      <c r="AD59" s="1038"/>
      <c r="AE59" s="1038"/>
      <c r="AF59" s="1038"/>
      <c r="AG59" s="1038"/>
      <c r="AH59" s="1038"/>
      <c r="AI59" s="1038"/>
      <c r="AJ59" s="1038"/>
      <c r="AK59" s="1038"/>
      <c r="AL59" s="1038"/>
      <c r="AM59" s="1038"/>
      <c r="AS59" s="539">
        <v>27</v>
      </c>
    </row>
    <row r="60" spans="1:45" ht="65.25" customHeight="1">
      <c r="T60" s="1038"/>
      <c r="U60" s="1038"/>
      <c r="V60" s="1038"/>
      <c r="W60" s="1038"/>
      <c r="X60" s="1038"/>
      <c r="Y60" s="1038"/>
      <c r="Z60" s="1038"/>
      <c r="AA60" s="1038"/>
      <c r="AB60" s="1038"/>
      <c r="AC60" s="1038"/>
      <c r="AD60" s="1038"/>
      <c r="AE60" s="1038"/>
      <c r="AF60" s="1038"/>
      <c r="AG60" s="1038"/>
      <c r="AH60" s="1038"/>
      <c r="AI60" s="1038"/>
      <c r="AJ60" s="1038"/>
      <c r="AK60" s="1038"/>
      <c r="AL60" s="1038"/>
      <c r="AM60" s="1038"/>
      <c r="AS60" s="539">
        <v>62</v>
      </c>
    </row>
    <row r="61" spans="1:45" ht="14.65" customHeight="1">
      <c r="AS61" s="539">
        <v>14</v>
      </c>
    </row>
    <row r="62" spans="1:45" ht="18.75" customHeight="1">
      <c r="T62" s="1038"/>
      <c r="U62" s="1038"/>
      <c r="V62" s="1038"/>
      <c r="W62" s="1038"/>
      <c r="X62" s="1038"/>
      <c r="Y62" s="1038"/>
      <c r="Z62" s="1038"/>
      <c r="AA62" s="1038"/>
      <c r="AB62" s="1038"/>
      <c r="AC62" s="1038"/>
      <c r="AD62" s="1038"/>
      <c r="AE62" s="1038"/>
      <c r="AF62" s="1038"/>
      <c r="AG62" s="1038"/>
      <c r="AH62" s="1038"/>
      <c r="AI62" s="1038"/>
      <c r="AJ62" s="1038"/>
      <c r="AK62" s="1038"/>
      <c r="AL62" s="1038"/>
      <c r="AM62" s="1038"/>
      <c r="AS62" s="539">
        <v>18</v>
      </c>
    </row>
    <row r="63" spans="1:45" ht="18.75" customHeight="1">
      <c r="T63" s="1038"/>
      <c r="U63" s="1038"/>
      <c r="V63" s="1038"/>
      <c r="W63" s="1038"/>
      <c r="X63" s="1038"/>
      <c r="Y63" s="1038"/>
      <c r="Z63" s="1038"/>
      <c r="AA63" s="1038"/>
      <c r="AB63" s="1038"/>
      <c r="AC63" s="1038"/>
      <c r="AD63" s="1038"/>
      <c r="AE63" s="1038"/>
      <c r="AF63" s="1038"/>
      <c r="AG63" s="1038"/>
      <c r="AH63" s="1038"/>
      <c r="AI63" s="1038"/>
      <c r="AJ63" s="1038"/>
      <c r="AK63" s="1038"/>
      <c r="AL63" s="1038"/>
      <c r="AM63" s="1038"/>
      <c r="AS63" s="539">
        <v>18</v>
      </c>
    </row>
    <row r="64" spans="1:45" ht="29.25" customHeight="1">
      <c r="T64" s="1038"/>
      <c r="U64" s="1038"/>
      <c r="V64" s="1038"/>
      <c r="W64" s="1038"/>
      <c r="X64" s="1038"/>
      <c r="Y64" s="1038"/>
      <c r="Z64" s="1038"/>
      <c r="AA64" s="1038"/>
      <c r="AB64" s="1038"/>
      <c r="AC64" s="1038"/>
      <c r="AD64" s="1038"/>
      <c r="AE64" s="1038"/>
      <c r="AF64" s="1038"/>
      <c r="AG64" s="1038"/>
      <c r="AH64" s="1038"/>
      <c r="AI64" s="1038"/>
      <c r="AJ64" s="1038"/>
      <c r="AK64" s="1038"/>
      <c r="AL64" s="1038"/>
      <c r="AM64" s="1038"/>
      <c r="AS64" s="539">
        <v>28</v>
      </c>
    </row>
    <row r="65" spans="1:45" ht="22.5" hidden="1" customHeight="1">
      <c r="A65" s="539" t="s">
        <v>81</v>
      </c>
      <c r="B65" s="539">
        <v>0</v>
      </c>
      <c r="C65" s="539">
        <v>0</v>
      </c>
      <c r="D65" s="539">
        <v>0</v>
      </c>
      <c r="E65" s="539">
        <v>0</v>
      </c>
      <c r="F65" s="539">
        <v>0</v>
      </c>
      <c r="G65" s="539">
        <v>0</v>
      </c>
      <c r="H65" s="539">
        <v>0</v>
      </c>
      <c r="I65" s="539">
        <v>0</v>
      </c>
      <c r="J65" s="539">
        <v>0</v>
      </c>
      <c r="K65" s="539">
        <v>0</v>
      </c>
      <c r="L65" s="561">
        <v>0</v>
      </c>
      <c r="M65" s="301">
        <v>0</v>
      </c>
      <c r="N65" s="301">
        <v>0</v>
      </c>
      <c r="O65" s="301">
        <v>0</v>
      </c>
      <c r="P65" s="301">
        <v>3</v>
      </c>
      <c r="Q65" s="822">
        <v>3</v>
      </c>
      <c r="R65" s="822">
        <v>3</v>
      </c>
      <c r="S65" s="554">
        <v>12</v>
      </c>
      <c r="T65" s="539">
        <v>31</v>
      </c>
      <c r="U65" s="539">
        <v>0</v>
      </c>
      <c r="V65" s="539">
        <v>0</v>
      </c>
      <c r="W65" s="539">
        <v>0</v>
      </c>
      <c r="X65" s="539">
        <v>0</v>
      </c>
      <c r="Y65" s="539">
        <v>0</v>
      </c>
      <c r="Z65" s="539">
        <v>0</v>
      </c>
      <c r="AA65" s="539">
        <v>0</v>
      </c>
      <c r="AB65" s="539">
        <v>0</v>
      </c>
      <c r="AC65" s="539">
        <v>0</v>
      </c>
      <c r="AD65" s="539">
        <v>24</v>
      </c>
      <c r="AE65" s="539">
        <v>0</v>
      </c>
      <c r="AF65" s="539">
        <v>24</v>
      </c>
      <c r="AG65" s="539">
        <v>24</v>
      </c>
      <c r="AH65" s="539">
        <v>11</v>
      </c>
      <c r="AI65" s="539">
        <v>3</v>
      </c>
      <c r="AJ65" s="539">
        <v>11</v>
      </c>
      <c r="AK65" s="539">
        <v>0</v>
      </c>
      <c r="AL65" s="539">
        <v>4</v>
      </c>
      <c r="AM65" s="539">
        <v>115</v>
      </c>
      <c r="AN65" s="578">
        <v>10</v>
      </c>
      <c r="AO65" s="578">
        <v>10</v>
      </c>
      <c r="AP65" s="578">
        <v>10</v>
      </c>
      <c r="AQ65" s="578">
        <v>10</v>
      </c>
      <c r="AR65" s="578">
        <v>10</v>
      </c>
      <c r="AS65" s="53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1" style="1030" customWidth="1"/>
    <col min="21" max="21" width="0.140625" style="1030" customWidth="1"/>
    <col min="22" max="22" width="24.7109375" style="1030" hidden="1" customWidth="1"/>
    <col min="23" max="23" width="0.140625" style="1030" hidden="1" customWidth="1"/>
    <col min="24" max="25" width="24.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24.7109375" style="1030" customWidth="1"/>
    <col min="31" max="31" width="0.140625" style="1030" customWidth="1"/>
    <col min="32" max="33" width="24" style="1030" customWidth="1"/>
    <col min="34" max="34" width="11" style="1030" customWidth="1"/>
    <col min="35" max="35" width="3.7109375" style="1030" customWidth="1"/>
    <col min="36" max="36" width="11" style="1030" customWidth="1"/>
    <col min="37" max="37" width="8.5703125" style="1030" hidden="1" customWidth="1"/>
    <col min="38" max="38" width="4" style="1030" customWidth="1"/>
    <col min="39" max="39" width="115" style="1030" customWidth="1"/>
    <col min="40" max="44" width="10" style="1030" customWidth="1"/>
    <col min="45" max="45" width="10.5703125" style="1030" hidden="1"/>
  </cols>
  <sheetData>
    <row r="1" spans="5:45" ht="22.5" hidden="1" customHeight="1">
      <c r="AS1" s="539" t="s">
        <v>14</v>
      </c>
    </row>
    <row r="2" spans="5:45" ht="21" hidden="1" customHeight="1">
      <c r="E2" s="1218">
        <v>1</v>
      </c>
      <c r="R2" s="311"/>
      <c r="S2" s="833" t="e">
        <f>INDEX(PT_DIFFERENTIATION_NUM_NTAR,MATCH(A2,PT_DIFFERENTIATION_NTAR_ID,0))</f>
        <v>#N/A</v>
      </c>
      <c r="T2" s="796" t="s">
        <v>133</v>
      </c>
      <c r="U2" s="834"/>
      <c r="V2" s="1187"/>
      <c r="W2" s="1188"/>
      <c r="X2" s="1188"/>
      <c r="Y2" s="1188"/>
      <c r="Z2" s="1188"/>
      <c r="AA2" s="1188"/>
      <c r="AB2" s="1188"/>
      <c r="AC2" s="1189"/>
      <c r="AD2" s="1187" t="e">
        <f>INDEX(PT_DIFFERENTIATION_NTAR,MATCH(A2,PT_DIFFERENTIATION_NTAR_ID,0))</f>
        <v>#N/A</v>
      </c>
      <c r="AE2" s="1188"/>
      <c r="AF2" s="1188"/>
      <c r="AG2" s="1188"/>
      <c r="AH2" s="1188"/>
      <c r="AI2" s="1188"/>
      <c r="AJ2" s="1188"/>
      <c r="AK2" s="1188"/>
      <c r="AL2" s="1189"/>
      <c r="AM2" s="836" t="s">
        <v>404</v>
      </c>
      <c r="AP2" s="583" t="str">
        <f t="shared" ref="AP2:AP15" si="0">IF(T2="","",T2)</f>
        <v>Наименование тарифа</v>
      </c>
      <c r="AS2" s="539">
        <v>0</v>
      </c>
    </row>
    <row r="3" spans="5:45" ht="21" hidden="1" customHeight="1">
      <c r="E3" s="1219"/>
      <c r="F3" s="1218">
        <v>1</v>
      </c>
      <c r="Q3" s="837"/>
      <c r="R3" s="838"/>
      <c r="S3" s="833" t="e">
        <f>INDEX(PT_DIFFERENTIATION_NUM_TER,MATCH(B3,PT_DIFFERENTIATION_TER_ID,0))</f>
        <v>#N/A</v>
      </c>
      <c r="T3" s="839" t="s">
        <v>405</v>
      </c>
      <c r="U3" s="834"/>
      <c r="V3" s="1187"/>
      <c r="W3" s="1188"/>
      <c r="X3" s="1188"/>
      <c r="Y3" s="1188"/>
      <c r="Z3" s="1188"/>
      <c r="AA3" s="1188"/>
      <c r="AB3" s="1188"/>
      <c r="AC3" s="1189"/>
      <c r="AD3" s="1187" t="e">
        <f>INDEX(PT_DIFFERENTIATION_TER,MATCH(B3,PT_DIFFERENTIATION_TER_ID,0))</f>
        <v>#N/A</v>
      </c>
      <c r="AE3" s="1188"/>
      <c r="AF3" s="1188"/>
      <c r="AG3" s="1188"/>
      <c r="AH3" s="1188"/>
      <c r="AI3" s="1188"/>
      <c r="AJ3" s="1188"/>
      <c r="AK3" s="1188"/>
      <c r="AL3" s="1189"/>
      <c r="AM3" s="836" t="s">
        <v>406</v>
      </c>
      <c r="AP3" s="583" t="str">
        <f t="shared" si="0"/>
        <v>Территория действия тарифа</v>
      </c>
      <c r="AS3" s="539">
        <v>0</v>
      </c>
    </row>
    <row r="4" spans="5:45" ht="23.25" hidden="1" customHeight="1">
      <c r="E4" s="1219"/>
      <c r="F4" s="1219"/>
      <c r="G4" s="1218">
        <v>1</v>
      </c>
      <c r="Q4" s="837"/>
      <c r="R4" s="838"/>
      <c r="S4" s="833" t="e">
        <f>INDEX(PT_DIFFERENTIATION_NUM_CS,MATCH(C4,PT_DIFFERENTIATION_CS_ID,0))</f>
        <v>#N/A</v>
      </c>
      <c r="T4" s="840" t="s">
        <v>407</v>
      </c>
      <c r="U4" s="834"/>
      <c r="V4" s="1187"/>
      <c r="W4" s="1188"/>
      <c r="X4" s="1188"/>
      <c r="Y4" s="1188"/>
      <c r="Z4" s="1188"/>
      <c r="AA4" s="1188"/>
      <c r="AB4" s="1188"/>
      <c r="AC4" s="1189"/>
      <c r="AD4" s="1187" t="e">
        <f>INDEX(PT_DIFFERENTIATION_CS,MATCH(C4,PT_DIFFERENTIATION_CS_ID,0))</f>
        <v>#N/A</v>
      </c>
      <c r="AE4" s="1188"/>
      <c r="AF4" s="1188"/>
      <c r="AG4" s="1188"/>
      <c r="AH4" s="1188"/>
      <c r="AI4" s="1188"/>
      <c r="AJ4" s="1188"/>
      <c r="AK4" s="1188"/>
      <c r="AL4" s="1189"/>
      <c r="AM4" s="836" t="s">
        <v>408</v>
      </c>
      <c r="AP4" s="583" t="str">
        <f t="shared" si="0"/>
        <v xml:space="preserve">Наименование системы теплоснабжения </v>
      </c>
      <c r="AS4" s="539">
        <v>0</v>
      </c>
    </row>
    <row r="5" spans="5:45" ht="21" hidden="1" customHeight="1">
      <c r="E5" s="1219"/>
      <c r="F5" s="1219"/>
      <c r="G5" s="1219"/>
      <c r="H5" s="1218">
        <v>1</v>
      </c>
      <c r="Q5" s="837"/>
      <c r="R5" s="838"/>
      <c r="S5" s="833" t="e">
        <f>INDEX(PT_DIFFERENTIATION_NUM_IST_TE,MATCH(D5,PT_DIFFERENTIATION_IST_TE_ID,0))</f>
        <v>#N/A</v>
      </c>
      <c r="T5" s="841" t="s">
        <v>409</v>
      </c>
      <c r="U5" s="834"/>
      <c r="V5" s="1187"/>
      <c r="W5" s="1188"/>
      <c r="X5" s="1188"/>
      <c r="Y5" s="1188"/>
      <c r="Z5" s="1188"/>
      <c r="AA5" s="1188"/>
      <c r="AB5" s="1188"/>
      <c r="AC5" s="1189"/>
      <c r="AD5" s="1187" t="e">
        <f>INDEX(PT_DIFFERENTIATION_IST_TE,MATCH(D5,PT_DIFFERENTIATION_IST_TE_ID,0))</f>
        <v>#N/A</v>
      </c>
      <c r="AE5" s="1188"/>
      <c r="AF5" s="1188"/>
      <c r="AG5" s="1188"/>
      <c r="AH5" s="1188"/>
      <c r="AI5" s="1188"/>
      <c r="AJ5" s="1188"/>
      <c r="AK5" s="1188"/>
      <c r="AL5" s="1189"/>
      <c r="AM5" s="836" t="s">
        <v>410</v>
      </c>
      <c r="AP5" s="583" t="str">
        <f t="shared" si="0"/>
        <v xml:space="preserve">Источник тепловой энергии  </v>
      </c>
      <c r="AS5" s="539">
        <v>0</v>
      </c>
    </row>
    <row r="6" spans="5:45" ht="47.25" hidden="1" customHeight="1">
      <c r="E6" s="1219"/>
      <c r="F6" s="1219"/>
      <c r="G6" s="1219"/>
      <c r="H6" s="1219"/>
      <c r="I6" s="1070" t="e">
        <f>S5&amp;".1"</f>
        <v>#N/A</v>
      </c>
      <c r="L6" s="874" t="s">
        <v>411</v>
      </c>
      <c r="P6" s="1196">
        <v>1</v>
      </c>
      <c r="R6" s="843"/>
      <c r="S6" s="833" t="e">
        <f>$I6</f>
        <v>#N/A</v>
      </c>
      <c r="T6" s="844" t="s">
        <v>412</v>
      </c>
      <c r="U6" s="834"/>
      <c r="V6" s="1181"/>
      <c r="W6" s="1182"/>
      <c r="X6" s="1182"/>
      <c r="Y6" s="1182"/>
      <c r="Z6" s="1182"/>
      <c r="AA6" s="1182"/>
      <c r="AB6" s="1182"/>
      <c r="AC6" s="1183"/>
      <c r="AD6" s="1181"/>
      <c r="AE6" s="1182"/>
      <c r="AF6" s="1182"/>
      <c r="AG6" s="1182"/>
      <c r="AH6" s="1182"/>
      <c r="AI6" s="1182"/>
      <c r="AJ6" s="1182"/>
      <c r="AK6" s="1182"/>
      <c r="AL6" s="1183"/>
      <c r="AM6" s="836" t="s">
        <v>413</v>
      </c>
      <c r="AP6" s="583" t="str">
        <f t="shared" si="0"/>
        <v>Схема подключения теплопотребляющей установки к коллектору источника тепловой энергии</v>
      </c>
      <c r="AS6" s="539">
        <v>0</v>
      </c>
    </row>
    <row r="7" spans="5:45" ht="21" hidden="1" customHeight="1">
      <c r="E7" s="1219"/>
      <c r="F7" s="1219"/>
      <c r="G7" s="1219"/>
      <c r="H7" s="1219"/>
      <c r="I7" s="1051"/>
      <c r="J7" s="1070" t="e">
        <f>I6&amp;".1"</f>
        <v>#N/A</v>
      </c>
      <c r="L7" s="874" t="s">
        <v>414</v>
      </c>
      <c r="P7" s="1038"/>
      <c r="Q7" s="1196">
        <v>1</v>
      </c>
      <c r="R7" s="845"/>
      <c r="S7" s="833" t="e">
        <f>$J7</f>
        <v>#N/A</v>
      </c>
      <c r="T7" s="846" t="s">
        <v>415</v>
      </c>
      <c r="U7" s="834"/>
      <c r="V7" s="1181"/>
      <c r="W7" s="1182"/>
      <c r="X7" s="1182"/>
      <c r="Y7" s="1182"/>
      <c r="Z7" s="1182"/>
      <c r="AA7" s="1182"/>
      <c r="AB7" s="1182"/>
      <c r="AC7" s="1183"/>
      <c r="AD7" s="1181"/>
      <c r="AE7" s="1182"/>
      <c r="AF7" s="1182"/>
      <c r="AG7" s="1182"/>
      <c r="AH7" s="1182"/>
      <c r="AI7" s="1182"/>
      <c r="AJ7" s="1182"/>
      <c r="AK7" s="1182"/>
      <c r="AL7" s="1183"/>
      <c r="AM7" s="836" t="s">
        <v>416</v>
      </c>
      <c r="AP7" s="583" t="str">
        <f t="shared" si="0"/>
        <v>Группа потребителей</v>
      </c>
      <c r="AS7" s="539">
        <v>0</v>
      </c>
    </row>
    <row r="8" spans="5:45" ht="21" hidden="1" customHeight="1">
      <c r="E8" s="1219"/>
      <c r="F8" s="1219"/>
      <c r="G8" s="1219"/>
      <c r="H8" s="1219"/>
      <c r="I8" s="1051"/>
      <c r="J8" s="1051"/>
      <c r="K8" s="1070" t="e">
        <f>J7&amp;".1"</f>
        <v>#N/A</v>
      </c>
      <c r="L8" s="874" t="s">
        <v>417</v>
      </c>
      <c r="P8" s="1038"/>
      <c r="Q8" s="1038"/>
      <c r="R8" s="845">
        <v>1</v>
      </c>
      <c r="S8" s="833" t="e">
        <f>$K8</f>
        <v>#N/A</v>
      </c>
      <c r="T8" s="847"/>
      <c r="U8" s="834"/>
      <c r="V8" s="312"/>
      <c r="W8" s="313"/>
      <c r="X8" s="312"/>
      <c r="Y8" s="314"/>
      <c r="Z8" s="1197"/>
      <c r="AA8" s="1079" t="s">
        <v>61</v>
      </c>
      <c r="AB8" s="1197"/>
      <c r="AC8" s="1079" t="s">
        <v>61</v>
      </c>
      <c r="AD8" s="312"/>
      <c r="AE8" s="313"/>
      <c r="AF8" s="312"/>
      <c r="AG8" s="314"/>
      <c r="AH8" s="1197"/>
      <c r="AI8" s="1079" t="s">
        <v>61</v>
      </c>
      <c r="AJ8" s="1197"/>
      <c r="AK8" s="1079" t="s">
        <v>61</v>
      </c>
      <c r="AL8" s="313"/>
      <c r="AM8" s="1215" t="s">
        <v>418</v>
      </c>
      <c r="AN8" s="578" t="e">
        <f ca="1">STRCHECKDATE(V9:AL9)</f>
        <v>#NAME?</v>
      </c>
      <c r="AP8" s="583" t="str">
        <f t="shared" si="0"/>
        <v/>
      </c>
      <c r="AS8" s="539">
        <v>0</v>
      </c>
    </row>
    <row r="9" spans="5:45" ht="0.75" hidden="1" customHeight="1">
      <c r="E9" s="1219"/>
      <c r="F9" s="1219"/>
      <c r="G9" s="1219"/>
      <c r="H9" s="1219"/>
      <c r="I9" s="1051"/>
      <c r="J9" s="1051"/>
      <c r="K9" s="1070"/>
      <c r="P9" s="1038"/>
      <c r="Q9" s="1038"/>
      <c r="R9" s="845"/>
      <c r="S9" s="127"/>
      <c r="T9" s="834"/>
      <c r="U9" s="834"/>
      <c r="V9" s="313"/>
      <c r="W9" s="313"/>
      <c r="X9" s="313"/>
      <c r="Y9" s="315" t="str">
        <f>Z8&amp;"-"&amp;AB8</f>
        <v>-</v>
      </c>
      <c r="Z9" s="1198"/>
      <c r="AA9" s="1079"/>
      <c r="AB9" s="1198"/>
      <c r="AC9" s="1079"/>
      <c r="AD9" s="313"/>
      <c r="AE9" s="313"/>
      <c r="AF9" s="313"/>
      <c r="AG9" s="315" t="str">
        <f>AH8&amp;"-"&amp;AJ8</f>
        <v>-</v>
      </c>
      <c r="AH9" s="1198"/>
      <c r="AI9" s="1079"/>
      <c r="AJ9" s="1198"/>
      <c r="AK9" s="1079"/>
      <c r="AL9" s="313"/>
      <c r="AM9" s="1216"/>
      <c r="AP9" s="583" t="str">
        <f t="shared" si="0"/>
        <v/>
      </c>
      <c r="AS9" s="539">
        <v>0</v>
      </c>
    </row>
    <row r="10" spans="5:45" ht="15" hidden="1" customHeight="1">
      <c r="E10" s="1219"/>
      <c r="F10" s="1219"/>
      <c r="G10" s="1219"/>
      <c r="H10" s="1219"/>
      <c r="I10" s="1051"/>
      <c r="J10" s="1070"/>
      <c r="P10" s="1038"/>
      <c r="Q10" s="1038"/>
      <c r="R10" s="843"/>
      <c r="S10" s="316"/>
      <c r="T10" s="317" t="s">
        <v>419</v>
      </c>
      <c r="U10" s="52"/>
      <c r="V10" s="52"/>
      <c r="W10" s="52"/>
      <c r="X10" s="52"/>
      <c r="Y10" s="52"/>
      <c r="Z10" s="52"/>
      <c r="AA10" s="52"/>
      <c r="AB10" s="52"/>
      <c r="AC10" s="52"/>
      <c r="AD10" s="52"/>
      <c r="AE10" s="52"/>
      <c r="AF10" s="52"/>
      <c r="AG10" s="52"/>
      <c r="AH10" s="52"/>
      <c r="AI10" s="52"/>
      <c r="AJ10" s="52"/>
      <c r="AK10" s="52"/>
      <c r="AL10" s="318"/>
      <c r="AM10" s="1217"/>
      <c r="AP10" s="583" t="str">
        <f t="shared" si="0"/>
        <v>Добавить вид теплоносителя (параметры теплоносителя)</v>
      </c>
      <c r="AS10" s="539">
        <v>0</v>
      </c>
    </row>
    <row r="11" spans="5:45" ht="15" hidden="1" customHeight="1">
      <c r="E11" s="1219"/>
      <c r="F11" s="1219"/>
      <c r="G11" s="1219"/>
      <c r="H11" s="1219"/>
      <c r="I11" s="1070"/>
      <c r="P11" s="1038"/>
      <c r="R11" s="843"/>
      <c r="S11" s="316"/>
      <c r="T11" s="319" t="s">
        <v>420</v>
      </c>
      <c r="U11" s="52"/>
      <c r="V11" s="52"/>
      <c r="W11" s="52"/>
      <c r="X11" s="52"/>
      <c r="Y11" s="52"/>
      <c r="Z11" s="52"/>
      <c r="AA11" s="52"/>
      <c r="AB11" s="52"/>
      <c r="AC11" s="320"/>
      <c r="AD11" s="52"/>
      <c r="AE11" s="52"/>
      <c r="AF11" s="52"/>
      <c r="AG11" s="52"/>
      <c r="AH11" s="52"/>
      <c r="AI11" s="52"/>
      <c r="AJ11" s="52"/>
      <c r="AK11" s="320"/>
      <c r="AL11" s="52"/>
      <c r="AM11" s="321"/>
      <c r="AP11" s="583" t="str">
        <f t="shared" si="0"/>
        <v>Добавить группу потребителей</v>
      </c>
      <c r="AS11" s="539">
        <v>0</v>
      </c>
    </row>
    <row r="12" spans="5:45" ht="14.25" hidden="1" customHeight="1">
      <c r="E12" s="1219"/>
      <c r="F12" s="1219"/>
      <c r="G12" s="1219"/>
      <c r="H12" s="1218"/>
      <c r="R12" s="311"/>
      <c r="S12" s="316"/>
      <c r="T12" s="322" t="s">
        <v>421</v>
      </c>
      <c r="U12" s="52"/>
      <c r="V12" s="52"/>
      <c r="W12" s="52"/>
      <c r="X12" s="52"/>
      <c r="Y12" s="52"/>
      <c r="Z12" s="52"/>
      <c r="AA12" s="52"/>
      <c r="AB12" s="52"/>
      <c r="AC12" s="320"/>
      <c r="AD12" s="52"/>
      <c r="AE12" s="52"/>
      <c r="AF12" s="52"/>
      <c r="AG12" s="52"/>
      <c r="AH12" s="52"/>
      <c r="AI12" s="52"/>
      <c r="AJ12" s="52"/>
      <c r="AK12" s="320"/>
      <c r="AL12" s="52"/>
      <c r="AM12" s="321"/>
      <c r="AP12" s="583" t="str">
        <f t="shared" si="0"/>
        <v>Добавить схему подключения</v>
      </c>
      <c r="AS12" s="539">
        <v>0</v>
      </c>
    </row>
    <row r="13" spans="5:45" ht="0.75" hidden="1" customHeight="1">
      <c r="E13" s="1219"/>
      <c r="F13" s="1219"/>
      <c r="G13" s="1218"/>
      <c r="S13" s="323"/>
      <c r="T13" s="324" t="s">
        <v>422</v>
      </c>
      <c r="U13" s="325"/>
      <c r="V13" s="325"/>
      <c r="W13" s="325"/>
      <c r="X13" s="325"/>
      <c r="Y13" s="325"/>
      <c r="Z13" s="325"/>
      <c r="AA13" s="325"/>
      <c r="AB13" s="325"/>
      <c r="AC13" s="325"/>
      <c r="AD13" s="325"/>
      <c r="AE13" s="325"/>
      <c r="AF13" s="325"/>
      <c r="AG13" s="325"/>
      <c r="AH13" s="325"/>
      <c r="AI13" s="325"/>
      <c r="AJ13" s="325"/>
      <c r="AK13" s="325"/>
      <c r="AL13" s="325"/>
      <c r="AM13" s="325"/>
      <c r="AP13" s="583" t="str">
        <f t="shared" si="0"/>
        <v>Добавить источник для дифференциации</v>
      </c>
      <c r="AS13" s="578">
        <v>0</v>
      </c>
    </row>
    <row r="14" spans="5:45" ht="0.75" hidden="1" customHeight="1">
      <c r="E14" s="1219"/>
      <c r="F14" s="1218"/>
      <c r="T14" s="326" t="s">
        <v>423</v>
      </c>
      <c r="AP14" s="583" t="str">
        <f t="shared" si="0"/>
        <v>Добавить централизованную систему для дифференциации</v>
      </c>
      <c r="AS14" s="578">
        <v>0</v>
      </c>
    </row>
    <row r="15" spans="5:45" ht="0.75" hidden="1" customHeight="1">
      <c r="E15" s="1218"/>
      <c r="T15" s="327" t="s">
        <v>424</v>
      </c>
      <c r="AP15" s="583" t="str">
        <f t="shared" si="0"/>
        <v>Добавить территорию для дифференциации</v>
      </c>
      <c r="AS15" s="578">
        <v>0</v>
      </c>
    </row>
    <row r="16" spans="5:45" ht="14.25" hidden="1" customHeight="1">
      <c r="AS16" s="539">
        <v>0</v>
      </c>
    </row>
    <row r="17" spans="15:45" ht="14.25" hidden="1" customHeight="1">
      <c r="AD17" s="276"/>
      <c r="AE17" s="276"/>
      <c r="AF17" s="276"/>
      <c r="AG17" s="328"/>
      <c r="AH17" s="1191"/>
      <c r="AI17" s="1190" t="s">
        <v>61</v>
      </c>
      <c r="AJ17" s="1191"/>
      <c r="AK17" s="1190" t="s">
        <v>61</v>
      </c>
      <c r="AS17" s="539">
        <v>0</v>
      </c>
    </row>
    <row r="18" spans="15:45" ht="14.25" hidden="1" customHeight="1">
      <c r="AD18" s="276"/>
      <c r="AE18" s="276"/>
      <c r="AF18" s="276"/>
      <c r="AG18" s="315" t="str">
        <f>AH17&amp;"-"&amp;AJ17</f>
        <v>-</v>
      </c>
      <c r="AH18" s="1190"/>
      <c r="AI18" s="1190"/>
      <c r="AJ18" s="1190"/>
      <c r="AK18" s="1190"/>
      <c r="AS18" s="539">
        <v>0</v>
      </c>
    </row>
    <row r="19" spans="15:45" ht="14.25" hidden="1" customHeight="1">
      <c r="AS19" s="539">
        <v>0</v>
      </c>
    </row>
    <row r="20" spans="15:45" ht="14.25" hidden="1" customHeight="1">
      <c r="O20" s="349" t="s">
        <v>425</v>
      </c>
      <c r="Z20" s="329"/>
      <c r="AB20" s="329"/>
      <c r="AH20" s="329"/>
      <c r="AJ20" s="329"/>
      <c r="AS20" s="556">
        <v>0</v>
      </c>
    </row>
    <row r="21" spans="15:45" ht="14.25" hidden="1" customHeight="1">
      <c r="AS21" s="556">
        <v>0</v>
      </c>
    </row>
    <row r="22" spans="15:45" ht="14.25" hidden="1" customHeight="1">
      <c r="O22" s="874" t="s">
        <v>426</v>
      </c>
      <c r="T22" s="556" t="s">
        <v>427</v>
      </c>
      <c r="AA22" s="599" t="s">
        <v>428</v>
      </c>
      <c r="AC22" s="599" t="s">
        <v>429</v>
      </c>
      <c r="AD22" s="556" t="s">
        <v>427</v>
      </c>
      <c r="AI22" s="599" t="s">
        <v>430</v>
      </c>
      <c r="AK22" s="599" t="s">
        <v>429</v>
      </c>
      <c r="AS22" s="556">
        <v>0</v>
      </c>
    </row>
    <row r="23" spans="15:45" ht="14.25" hidden="1" customHeight="1">
      <c r="AS23" s="539">
        <v>0</v>
      </c>
    </row>
    <row r="24" spans="15:45" ht="14.25" hidden="1" customHeight="1">
      <c r="AS24" s="539">
        <v>0</v>
      </c>
    </row>
    <row r="25" spans="15:45" ht="14.65" customHeight="1">
      <c r="Q25" s="757"/>
      <c r="R25" s="757"/>
      <c r="S25" s="848"/>
      <c r="T25" s="557"/>
      <c r="U25" s="557"/>
      <c r="AS25" s="539">
        <v>14</v>
      </c>
    </row>
    <row r="26" spans="15:45" ht="14.65" customHeight="1">
      <c r="Q26" s="757"/>
      <c r="R26" s="757"/>
      <c r="S26" s="1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4"/>
      <c r="U26" s="1174"/>
      <c r="V26" s="1174"/>
      <c r="W26" s="1174"/>
      <c r="X26" s="1174"/>
      <c r="Y26" s="1174"/>
      <c r="Z26" s="1174"/>
      <c r="AA26" s="1174"/>
      <c r="AB26" s="1174"/>
      <c r="AC26" s="1174"/>
      <c r="AD26" s="1174"/>
      <c r="AE26" s="1174"/>
      <c r="AF26" s="1174"/>
      <c r="AG26" s="1174"/>
      <c r="AH26" s="1174"/>
      <c r="AI26" s="1174"/>
      <c r="AJ26" s="1174"/>
      <c r="AS26" s="539">
        <v>14</v>
      </c>
    </row>
    <row r="27" spans="15:45" ht="14.65" customHeight="1">
      <c r="Q27" s="757"/>
      <c r="R27" s="757"/>
      <c r="S27" s="1148" t="str">
        <f>IF(org=0,"Не определено",org)</f>
        <v>АО "НИЖЕГОРОДСКИЙ ВОДОКАНАЛ"</v>
      </c>
      <c r="T27" s="1148"/>
      <c r="U27" s="1148"/>
      <c r="V27" s="1148"/>
      <c r="W27" s="1148"/>
      <c r="X27" s="1148"/>
      <c r="Y27" s="1148"/>
      <c r="Z27" s="1148"/>
      <c r="AA27" s="1148"/>
      <c r="AB27" s="1148"/>
      <c r="AC27" s="1148"/>
      <c r="AD27" s="1148"/>
      <c r="AE27" s="1148"/>
      <c r="AF27" s="1148"/>
      <c r="AG27" s="1148"/>
      <c r="AH27" s="1148"/>
      <c r="AI27" s="1148"/>
      <c r="AJ27" s="1148"/>
      <c r="AS27" s="539">
        <v>14</v>
      </c>
    </row>
    <row r="28" spans="15:45" ht="14.25" hidden="1" customHeight="1">
      <c r="Q28" s="757"/>
      <c r="R28" s="757"/>
      <c r="S28" s="848"/>
      <c r="T28" s="557"/>
      <c r="U28" s="557"/>
      <c r="V28" s="827"/>
      <c r="W28" s="827"/>
      <c r="X28" s="827"/>
      <c r="Y28" s="827"/>
      <c r="Z28" s="827"/>
      <c r="AA28" s="827"/>
      <c r="AB28" s="827"/>
      <c r="AC28" s="827"/>
      <c r="AD28" s="827"/>
      <c r="AE28" s="827"/>
      <c r="AF28" s="827"/>
      <c r="AG28" s="827"/>
      <c r="AH28" s="827"/>
      <c r="AI28" s="827"/>
      <c r="AJ28" s="827"/>
      <c r="AK28" s="827"/>
      <c r="AS28" s="539">
        <v>0</v>
      </c>
    </row>
    <row r="29" spans="15:45" ht="25.5" hidden="1" customHeight="1">
      <c r="S29" s="1184" t="s">
        <v>41</v>
      </c>
      <c r="T29" s="1184"/>
      <c r="U29" s="850"/>
      <c r="V29" s="1186" t="str">
        <f>IF(TITLE_NAME_OR_PR_CHANGE="",IF(TITLE_NAME_OR_PR="","",TITLE_NAME_OR_PR),TITLE_NAME_OR_PR_CHANGE)</f>
        <v/>
      </c>
      <c r="W29" s="1186"/>
      <c r="X29" s="1186"/>
      <c r="Y29" s="1186"/>
      <c r="Z29" s="1186"/>
      <c r="AA29" s="1186"/>
      <c r="AB29" s="1186"/>
      <c r="AD29" s="1186" t="str">
        <f>IF(TITLE_NAME_OR_PR_CHANGE="",IF(TITLE_NAME_OR_PR="","",TITLE_NAME_OR_PR),TITLE_NAME_OR_PR_CHANGE)</f>
        <v/>
      </c>
      <c r="AE29" s="1186"/>
      <c r="AF29" s="1186"/>
      <c r="AG29" s="1186"/>
      <c r="AH29" s="1186"/>
      <c r="AI29" s="1186"/>
      <c r="AJ29" s="1186"/>
      <c r="AS29" s="593">
        <v>0</v>
      </c>
    </row>
    <row r="30" spans="15:45" ht="18.75" hidden="1" customHeight="1">
      <c r="S30" s="1184" t="s">
        <v>431</v>
      </c>
      <c r="T30" s="1184"/>
      <c r="U30" s="850"/>
      <c r="V30" s="1185" t="str">
        <f>IF(TITLE_DATE_PR_CHANGE="",IF(TITLE_DATE_PR="","",TITLE_DATE_PR),TITLE_DATE_PR_CHANGE)</f>
        <v/>
      </c>
      <c r="W30" s="1185"/>
      <c r="X30" s="1185"/>
      <c r="Y30" s="1185"/>
      <c r="Z30" s="1185"/>
      <c r="AA30" s="1185"/>
      <c r="AB30" s="1185"/>
      <c r="AD30" s="1185" t="str">
        <f>IF(TITLE_DATE_PR_CHANGE="",IF(TITLE_DATE_PR="","",TITLE_DATE_PR),TITLE_DATE_PR_CHANGE)</f>
        <v/>
      </c>
      <c r="AE30" s="1185"/>
      <c r="AF30" s="1185"/>
      <c r="AG30" s="1185"/>
      <c r="AH30" s="1185"/>
      <c r="AI30" s="1185"/>
      <c r="AJ30" s="1185"/>
      <c r="AS30" s="593">
        <v>0</v>
      </c>
    </row>
    <row r="31" spans="15:45" ht="18.75" hidden="1" customHeight="1">
      <c r="S31" s="1184" t="s">
        <v>432</v>
      </c>
      <c r="T31" s="1184"/>
      <c r="U31" s="850"/>
      <c r="V31" s="1186" t="str">
        <f>IF(TITLE_NUMBER_PR_CHANGE="",IF(TITLE_NUMBER_PR="","",TITLE_NUMBER_PR),TITLE_NUMBER_PR_CHANGE)</f>
        <v/>
      </c>
      <c r="W31" s="1186"/>
      <c r="X31" s="1186"/>
      <c r="Y31" s="1186"/>
      <c r="Z31" s="1186"/>
      <c r="AA31" s="1186"/>
      <c r="AB31" s="1186"/>
      <c r="AD31" s="1186" t="str">
        <f>IF(TITLE_NUMBER_PR_CHANGE="",IF(TITLE_NUMBER_PR="","",TITLE_NUMBER_PR),TITLE_NUMBER_PR_CHANGE)</f>
        <v/>
      </c>
      <c r="AE31" s="1186"/>
      <c r="AF31" s="1186"/>
      <c r="AG31" s="1186"/>
      <c r="AH31" s="1186"/>
      <c r="AI31" s="1186"/>
      <c r="AJ31" s="1186"/>
      <c r="AS31" s="593">
        <v>0</v>
      </c>
    </row>
    <row r="32" spans="15:45" ht="18.75" hidden="1" customHeight="1">
      <c r="S32" s="1184" t="s">
        <v>42</v>
      </c>
      <c r="T32" s="1184"/>
      <c r="U32" s="850"/>
      <c r="V32" s="1186" t="str">
        <f>IF(TITLE_IST_PUB_CHANGE="",IF(TITLE_IST_PUB="","",TITLE_IST_PUB),TITLE_IST_PUB_CHANGE)</f>
        <v/>
      </c>
      <c r="W32" s="1186"/>
      <c r="X32" s="1186"/>
      <c r="Y32" s="1186"/>
      <c r="Z32" s="1186"/>
      <c r="AA32" s="1186"/>
      <c r="AB32" s="1186"/>
      <c r="AD32" s="1186" t="str">
        <f>IF(TITLE_IST_PUB_CHANGE="",IF(TITLE_IST_PUB="","",TITLE_IST_PUB),TITLE_IST_PUB_CHANGE)</f>
        <v/>
      </c>
      <c r="AE32" s="1186"/>
      <c r="AF32" s="1186"/>
      <c r="AG32" s="1186"/>
      <c r="AH32" s="1186"/>
      <c r="AI32" s="1186"/>
      <c r="AJ32" s="1186"/>
      <c r="AS32" s="593">
        <v>0</v>
      </c>
    </row>
    <row r="33" spans="1:45" ht="14.25" hidden="1" customHeight="1">
      <c r="Q33" s="757"/>
      <c r="R33" s="757"/>
      <c r="S33" s="848"/>
      <c r="T33" s="557"/>
      <c r="U33" s="557"/>
      <c r="V33" s="827"/>
      <c r="W33" s="827"/>
      <c r="X33" s="827"/>
      <c r="Y33" s="827"/>
      <c r="Z33" s="827"/>
      <c r="AA33" s="827"/>
      <c r="AB33" s="827"/>
      <c r="AC33" s="827"/>
      <c r="AD33" s="827"/>
      <c r="AE33" s="827"/>
      <c r="AF33" s="827"/>
      <c r="AG33" s="827"/>
      <c r="AH33" s="827"/>
      <c r="AI33" s="827"/>
      <c r="AJ33" s="827"/>
      <c r="AK33" s="827"/>
      <c r="AS33" s="539">
        <v>0</v>
      </c>
    </row>
    <row r="34" spans="1:45" ht="18.75" hidden="1" customHeight="1">
      <c r="S34" s="1184" t="s">
        <v>433</v>
      </c>
      <c r="T34" s="1184"/>
      <c r="U34" s="850"/>
      <c r="V34" s="1185" t="str">
        <f>IF(TITLE_DATE_PR_CHANGE="",IF(TITLE_DATE_PR="","",TITLE_DATE_PR),TITLE_DATE_PR_CHANGE)</f>
        <v/>
      </c>
      <c r="W34" s="1185"/>
      <c r="X34" s="1185"/>
      <c r="Y34" s="1185"/>
      <c r="Z34" s="1185"/>
      <c r="AA34" s="1185"/>
      <c r="AB34" s="1185"/>
      <c r="AD34" s="1185" t="str">
        <f>IF(TITLE_DATE_PR_CHANGE="",IF(TITLE_DATE_PR="","",TITLE_DATE_PR),TITLE_DATE_PR_CHANGE)</f>
        <v/>
      </c>
      <c r="AE34" s="1185"/>
      <c r="AF34" s="1185"/>
      <c r="AG34" s="1185"/>
      <c r="AH34" s="1185"/>
      <c r="AI34" s="1185"/>
      <c r="AJ34" s="1185"/>
      <c r="AS34" s="593">
        <v>0</v>
      </c>
    </row>
    <row r="35" spans="1:45" ht="18.75" hidden="1" customHeight="1">
      <c r="S35" s="1184" t="s">
        <v>434</v>
      </c>
      <c r="T35" s="1184"/>
      <c r="U35" s="850"/>
      <c r="V35" s="1186" t="str">
        <f>IF(TITLE_NUMBER_PR_CHANGE="",IF(TITLE_NUMBER_PR="","",TITLE_NUMBER_PR),TITLE_NUMBER_PR_CHANGE)</f>
        <v/>
      </c>
      <c r="W35" s="1186"/>
      <c r="X35" s="1186"/>
      <c r="Y35" s="1186"/>
      <c r="Z35" s="1186"/>
      <c r="AA35" s="1186"/>
      <c r="AB35" s="1186"/>
      <c r="AD35" s="1186" t="str">
        <f>IF(TITLE_NUMBER_PR_CHANGE="",IF(TITLE_NUMBER_PR="","",TITLE_NUMBER_PR),TITLE_NUMBER_PR_CHANGE)</f>
        <v/>
      </c>
      <c r="AE35" s="1186"/>
      <c r="AF35" s="1186"/>
      <c r="AG35" s="1186"/>
      <c r="AH35" s="1186"/>
      <c r="AI35" s="1186"/>
      <c r="AJ35" s="1186"/>
      <c r="AS35" s="593">
        <v>0</v>
      </c>
    </row>
    <row r="36" spans="1:45" ht="0" hidden="1" customHeight="1">
      <c r="AC36" s="578" t="s">
        <v>435</v>
      </c>
      <c r="AK36" s="578" t="s">
        <v>435</v>
      </c>
      <c r="AS36" s="593">
        <v>0</v>
      </c>
    </row>
    <row r="37" spans="1:45" ht="14.65" customHeight="1">
      <c r="Q37" s="757"/>
      <c r="R37" s="757"/>
      <c r="S37" s="848"/>
      <c r="T37" s="557"/>
      <c r="U37" s="851"/>
      <c r="V37" s="1204"/>
      <c r="W37" s="1204"/>
      <c r="X37" s="1204"/>
      <c r="Y37" s="1204"/>
      <c r="Z37" s="1204"/>
      <c r="AA37" s="1204"/>
      <c r="AB37" s="1204"/>
      <c r="AC37" s="1204"/>
      <c r="AD37" s="1204"/>
      <c r="AE37" s="1204"/>
      <c r="AF37" s="1204"/>
      <c r="AG37" s="1204"/>
      <c r="AH37" s="1204"/>
      <c r="AI37" s="1204"/>
      <c r="AJ37" s="1204"/>
      <c r="AK37" s="1204"/>
      <c r="AS37" s="539">
        <v>14</v>
      </c>
    </row>
    <row r="38" spans="1:45" ht="14.65" customHeight="1">
      <c r="Q38" s="757"/>
      <c r="R38" s="757"/>
      <c r="S38" s="1070" t="s">
        <v>308</v>
      </c>
      <c r="T38" s="1070"/>
      <c r="U38" s="1070"/>
      <c r="V38" s="1070"/>
      <c r="W38" s="1070"/>
      <c r="X38" s="1070"/>
      <c r="Y38" s="1070"/>
      <c r="Z38" s="1070"/>
      <c r="AA38" s="1070"/>
      <c r="AB38" s="1070"/>
      <c r="AC38" s="1070"/>
      <c r="AD38" s="1070"/>
      <c r="AE38" s="1070"/>
      <c r="AF38" s="1070"/>
      <c r="AG38" s="1070"/>
      <c r="AH38" s="1070"/>
      <c r="AI38" s="1070"/>
      <c r="AJ38" s="1070"/>
      <c r="AK38" s="1070"/>
      <c r="AL38" s="1070"/>
      <c r="AM38" s="1070" t="s">
        <v>309</v>
      </c>
      <c r="AS38" s="539">
        <v>14</v>
      </c>
    </row>
    <row r="39" spans="1:45" ht="14.65" customHeight="1">
      <c r="Q39" s="757"/>
      <c r="R39" s="757"/>
      <c r="S39" s="1205" t="s">
        <v>87</v>
      </c>
      <c r="T39" s="1155" t="s">
        <v>436</v>
      </c>
      <c r="U39" s="818"/>
      <c r="V39" s="1206" t="s">
        <v>437</v>
      </c>
      <c r="W39" s="1207"/>
      <c r="X39" s="1207"/>
      <c r="Y39" s="1207"/>
      <c r="Z39" s="1207"/>
      <c r="AA39" s="1207"/>
      <c r="AB39" s="1208"/>
      <c r="AC39" s="1209" t="s">
        <v>438</v>
      </c>
      <c r="AD39" s="1206" t="s">
        <v>437</v>
      </c>
      <c r="AE39" s="1207"/>
      <c r="AF39" s="1207"/>
      <c r="AG39" s="1207"/>
      <c r="AH39" s="1207"/>
      <c r="AI39" s="1207"/>
      <c r="AJ39" s="1208"/>
      <c r="AK39" s="1209" t="s">
        <v>439</v>
      </c>
      <c r="AL39" s="1212" t="s">
        <v>440</v>
      </c>
      <c r="AM39" s="1070"/>
      <c r="AS39" s="539">
        <v>14</v>
      </c>
    </row>
    <row r="40" spans="1:45" ht="35.65" customHeight="1">
      <c r="Q40" s="757"/>
      <c r="R40" s="757"/>
      <c r="S40" s="1205"/>
      <c r="T40" s="1155"/>
      <c r="U40" s="823"/>
      <c r="V40" s="1128" t="s">
        <v>441</v>
      </c>
      <c r="W40" s="1201" t="s">
        <v>442</v>
      </c>
      <c r="X40" s="1051" t="s">
        <v>443</v>
      </c>
      <c r="Y40" s="1050"/>
      <c r="Z40" s="1051" t="s">
        <v>457</v>
      </c>
      <c r="AA40" s="1056"/>
      <c r="AB40" s="1050"/>
      <c r="AC40" s="1210"/>
      <c r="AD40" s="1128" t="s">
        <v>441</v>
      </c>
      <c r="AE40" s="1201" t="s">
        <v>442</v>
      </c>
      <c r="AF40" s="1051" t="s">
        <v>443</v>
      </c>
      <c r="AG40" s="1050"/>
      <c r="AH40" s="1051" t="s">
        <v>444</v>
      </c>
      <c r="AI40" s="1056"/>
      <c r="AJ40" s="1050"/>
      <c r="AK40" s="1210"/>
      <c r="AL40" s="1213"/>
      <c r="AM40" s="1070"/>
      <c r="AS40" s="539">
        <v>34</v>
      </c>
    </row>
    <row r="41" spans="1:45" ht="35.65" customHeight="1">
      <c r="B41" s="601" t="s">
        <v>145</v>
      </c>
      <c r="C41" s="601" t="s">
        <v>146</v>
      </c>
      <c r="D41" s="601" t="s">
        <v>147</v>
      </c>
      <c r="E41" s="874" t="s">
        <v>445</v>
      </c>
      <c r="F41" s="874" t="s">
        <v>446</v>
      </c>
      <c r="G41" s="874" t="s">
        <v>447</v>
      </c>
      <c r="H41" s="874" t="s">
        <v>448</v>
      </c>
      <c r="I41" s="874" t="s">
        <v>449</v>
      </c>
      <c r="J41" s="874" t="s">
        <v>450</v>
      </c>
      <c r="K41" s="874" t="s">
        <v>451</v>
      </c>
      <c r="L41" s="874" t="s">
        <v>426</v>
      </c>
      <c r="Q41" s="757"/>
      <c r="R41" s="757"/>
      <c r="S41" s="1205"/>
      <c r="T41" s="1155"/>
      <c r="U41" s="853"/>
      <c r="V41" s="1179"/>
      <c r="W41" s="1202"/>
      <c r="X41" s="603" t="s">
        <v>452</v>
      </c>
      <c r="Y41" s="603" t="s">
        <v>453</v>
      </c>
      <c r="Z41" s="603" t="s">
        <v>454</v>
      </c>
      <c r="AA41" s="1160" t="s">
        <v>455</v>
      </c>
      <c r="AB41" s="1173"/>
      <c r="AC41" s="1211"/>
      <c r="AD41" s="1179"/>
      <c r="AE41" s="1202"/>
      <c r="AF41" s="603" t="s">
        <v>452</v>
      </c>
      <c r="AG41" s="603" t="s">
        <v>453</v>
      </c>
      <c r="AH41" s="603" t="s">
        <v>454</v>
      </c>
      <c r="AI41" s="1160" t="s">
        <v>455</v>
      </c>
      <c r="AJ41" s="1173"/>
      <c r="AK41" s="1211"/>
      <c r="AL41" s="1214"/>
      <c r="AM41" s="1070"/>
      <c r="AS41" s="539">
        <v>34</v>
      </c>
    </row>
    <row r="42" spans="1:45" ht="11.25" hidden="1" customHeight="1">
      <c r="Q42" s="854"/>
      <c r="R42" s="855">
        <v>1</v>
      </c>
      <c r="S42" s="330" t="s">
        <v>114</v>
      </c>
      <c r="T42" s="331" t="s">
        <v>102</v>
      </c>
      <c r="U42" s="856" t="str">
        <f ca="1">OFFSET(U42,0,-1)</f>
        <v>2</v>
      </c>
      <c r="V42" s="857">
        <f ca="1">OFFSET(V42,0,-1)+1</f>
        <v>3</v>
      </c>
      <c r="W42" s="857"/>
      <c r="X42" s="857">
        <f ca="1">OFFSET(X42,0,-1)+1</f>
        <v>1</v>
      </c>
      <c r="Y42" s="857">
        <f ca="1">OFFSET(Y42,0,-1)+1</f>
        <v>2</v>
      </c>
      <c r="Z42" s="857">
        <f ca="1">OFFSET(Z42,0,-1)+1</f>
        <v>3</v>
      </c>
      <c r="AA42" s="1203">
        <f ca="1">OFFSET(AA42,0,-1)+1</f>
        <v>4</v>
      </c>
      <c r="AB42" s="1203"/>
      <c r="AC42" s="857">
        <f ca="1">OFFSET(AC42,0,-2)+1</f>
        <v>5</v>
      </c>
      <c r="AD42" s="857">
        <f ca="1">OFFSET(AD42,0,-1)+1</f>
        <v>6</v>
      </c>
      <c r="AE42" s="857"/>
      <c r="AF42" s="857">
        <f ca="1">OFFSET(AF42,0,-1)+1</f>
        <v>1</v>
      </c>
      <c r="AG42" s="857">
        <f ca="1">OFFSET(AG42,0,-1)+1</f>
        <v>2</v>
      </c>
      <c r="AH42" s="857">
        <f ca="1">OFFSET(AH42,0,-1)+1</f>
        <v>3</v>
      </c>
      <c r="AI42" s="1203">
        <f ca="1">OFFSET(AI42,0,-1)+1</f>
        <v>4</v>
      </c>
      <c r="AJ42" s="1203"/>
      <c r="AK42" s="857">
        <f ca="1">OFFSET(AK42,0,-2)+1</f>
        <v>5</v>
      </c>
      <c r="AL42" s="856">
        <f ca="1">OFFSET(AL42,0,-1)</f>
        <v>5</v>
      </c>
      <c r="AM42" s="857">
        <f ca="1">OFFSET(AM42,0,-1)+1</f>
        <v>6</v>
      </c>
      <c r="AS42" s="682">
        <v>0</v>
      </c>
    </row>
    <row r="43" spans="1:45" ht="21.95" customHeight="1">
      <c r="A43" s="607" t="s">
        <v>220</v>
      </c>
      <c r="E43" s="1218">
        <v>1</v>
      </c>
      <c r="R43" s="311"/>
      <c r="S43" s="833">
        <f>INDEX(PT_DIFFERENTIATION_NUM_NTAR,MATCH(A43,PT_DIFFERENTIATION_NTAR_ID,0))</f>
        <v>0</v>
      </c>
      <c r="T43" s="796" t="s">
        <v>133</v>
      </c>
      <c r="U43" s="834"/>
      <c r="V43" s="1187"/>
      <c r="W43" s="1188"/>
      <c r="X43" s="1188"/>
      <c r="Y43" s="1188"/>
      <c r="Z43" s="1188"/>
      <c r="AA43" s="1188"/>
      <c r="AB43" s="1188"/>
      <c r="AC43" s="1189"/>
      <c r="AD43" s="1187" t="str">
        <f>INDEX(PT_DIFFERENTIATION_NTAR,MATCH(A43,PT_DIFFERENTIATION_NTAR_ID,0))</f>
        <v/>
      </c>
      <c r="AE43" s="1188"/>
      <c r="AF43" s="1188"/>
      <c r="AG43" s="1188"/>
      <c r="AH43" s="1188"/>
      <c r="AI43" s="1188"/>
      <c r="AJ43" s="1188"/>
      <c r="AK43" s="1188"/>
      <c r="AL43" s="1189"/>
      <c r="AM43" s="8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3" t="str">
        <f t="shared" ref="AP43:AP57" si="1">IF(T43="","",T43)</f>
        <v>Наименование тарифа</v>
      </c>
      <c r="AS43" s="539">
        <v>21</v>
      </c>
    </row>
    <row r="44" spans="1:45" ht="21.95" customHeight="1">
      <c r="A44" s="607" t="s">
        <v>220</v>
      </c>
      <c r="B44" s="607" t="s">
        <v>221</v>
      </c>
      <c r="E44" s="1219"/>
      <c r="F44" s="1218">
        <v>1</v>
      </c>
      <c r="Q44" s="837"/>
      <c r="R44" s="838"/>
      <c r="S44" s="833" t="str">
        <f>INDEX(PT_DIFFERENTIATION_NUM_TER,MATCH(B44,PT_DIFFERENTIATION_TER_ID,0))</f>
        <v>.</v>
      </c>
      <c r="T44" s="839" t="s">
        <v>405</v>
      </c>
      <c r="U44" s="834"/>
      <c r="V44" s="1187"/>
      <c r="W44" s="1188"/>
      <c r="X44" s="1188"/>
      <c r="Y44" s="1188"/>
      <c r="Z44" s="1188"/>
      <c r="AA44" s="1188"/>
      <c r="AB44" s="1188"/>
      <c r="AC44" s="1189"/>
      <c r="AD44" s="1187" t="str">
        <f>INDEX(PT_DIFFERENTIATION_TER,MATCH(B44,PT_DIFFERENTIATION_TER_ID,0))</f>
        <v/>
      </c>
      <c r="AE44" s="1188"/>
      <c r="AF44" s="1188"/>
      <c r="AG44" s="1188"/>
      <c r="AH44" s="1188"/>
      <c r="AI44" s="1188"/>
      <c r="AJ44" s="1188"/>
      <c r="AK44" s="1188"/>
      <c r="AL44" s="1189"/>
      <c r="AM44" s="836" t="s">
        <v>406</v>
      </c>
      <c r="AP44" s="583" t="str">
        <f t="shared" si="1"/>
        <v>Территория действия тарифа</v>
      </c>
      <c r="AS44" s="539">
        <v>21</v>
      </c>
    </row>
    <row r="45" spans="1:45" ht="24" customHeight="1">
      <c r="A45" s="607" t="s">
        <v>220</v>
      </c>
      <c r="B45" s="607" t="s">
        <v>221</v>
      </c>
      <c r="C45" s="607" t="s">
        <v>222</v>
      </c>
      <c r="E45" s="1219"/>
      <c r="F45" s="1219"/>
      <c r="G45" s="1218">
        <v>1</v>
      </c>
      <c r="Q45" s="837"/>
      <c r="R45" s="838"/>
      <c r="S45" s="833" t="str">
        <f>INDEX(PT_DIFFERENTIATION_NUM_CS,MATCH(C45,PT_DIFFERENTIATION_CS_ID,0))</f>
        <v>..</v>
      </c>
      <c r="T45" s="840" t="s">
        <v>407</v>
      </c>
      <c r="U45" s="834"/>
      <c r="V45" s="1187"/>
      <c r="W45" s="1188"/>
      <c r="X45" s="1188"/>
      <c r="Y45" s="1188"/>
      <c r="Z45" s="1188"/>
      <c r="AA45" s="1188"/>
      <c r="AB45" s="1188"/>
      <c r="AC45" s="1189"/>
      <c r="AD45" s="1187" t="str">
        <f>INDEX(PT_DIFFERENTIATION_CS,MATCH(C45,PT_DIFFERENTIATION_CS_ID,0))</f>
        <v/>
      </c>
      <c r="AE45" s="1188"/>
      <c r="AF45" s="1188"/>
      <c r="AG45" s="1188"/>
      <c r="AH45" s="1188"/>
      <c r="AI45" s="1188"/>
      <c r="AJ45" s="1188"/>
      <c r="AK45" s="1188"/>
      <c r="AL45" s="1189"/>
      <c r="AM45" s="836" t="s">
        <v>408</v>
      </c>
      <c r="AP45" s="583" t="str">
        <f t="shared" si="1"/>
        <v xml:space="preserve">Наименование системы теплоснабжения </v>
      </c>
      <c r="AS45" s="539">
        <v>23</v>
      </c>
    </row>
    <row r="46" spans="1:45" ht="21.95" customHeight="1">
      <c r="A46" s="607" t="s">
        <v>220</v>
      </c>
      <c r="B46" s="607" t="s">
        <v>221</v>
      </c>
      <c r="C46" s="607" t="s">
        <v>222</v>
      </c>
      <c r="D46" s="607" t="s">
        <v>223</v>
      </c>
      <c r="E46" s="1219"/>
      <c r="F46" s="1219"/>
      <c r="G46" s="1219"/>
      <c r="H46" s="1218">
        <v>1</v>
      </c>
      <c r="Q46" s="837"/>
      <c r="R46" s="838"/>
      <c r="S46" s="833" t="str">
        <f>INDEX(PT_DIFFERENTIATION_NUM_IST_TE,MATCH(D46,PT_DIFFERENTIATION_IST_TE_ID,0))</f>
        <v>...</v>
      </c>
      <c r="T46" s="841" t="s">
        <v>409</v>
      </c>
      <c r="U46" s="834"/>
      <c r="V46" s="1187"/>
      <c r="W46" s="1188"/>
      <c r="X46" s="1188"/>
      <c r="Y46" s="1188"/>
      <c r="Z46" s="1188"/>
      <c r="AA46" s="1188"/>
      <c r="AB46" s="1188"/>
      <c r="AC46" s="1189"/>
      <c r="AD46" s="1187" t="str">
        <f>INDEX(PT_DIFFERENTIATION_IST_TE,MATCH(D46,PT_DIFFERENTIATION_IST_TE_ID,0))</f>
        <v/>
      </c>
      <c r="AE46" s="1188"/>
      <c r="AF46" s="1188"/>
      <c r="AG46" s="1188"/>
      <c r="AH46" s="1188"/>
      <c r="AI46" s="1188"/>
      <c r="AJ46" s="1188"/>
      <c r="AK46" s="1188"/>
      <c r="AL46" s="1189"/>
      <c r="AM46" s="836" t="s">
        <v>410</v>
      </c>
      <c r="AP46" s="583" t="str">
        <f t="shared" si="1"/>
        <v xml:space="preserve">Источник тепловой энергии  </v>
      </c>
      <c r="AS46" s="539">
        <v>21</v>
      </c>
    </row>
    <row r="47" spans="1:45" ht="49.5" customHeight="1">
      <c r="A47" s="607" t="s">
        <v>220</v>
      </c>
      <c r="B47" s="607" t="s">
        <v>221</v>
      </c>
      <c r="C47" s="607" t="s">
        <v>222</v>
      </c>
      <c r="D47" s="607" t="s">
        <v>223</v>
      </c>
      <c r="E47" s="1219"/>
      <c r="F47" s="1219"/>
      <c r="G47" s="1219"/>
      <c r="H47" s="1219"/>
      <c r="I47" s="1070" t="str">
        <f>S46&amp;".1"</f>
        <v>....1</v>
      </c>
      <c r="L47" s="874" t="s">
        <v>411</v>
      </c>
      <c r="P47" s="1196">
        <v>1</v>
      </c>
      <c r="R47" s="843"/>
      <c r="S47" s="833" t="str">
        <f>$I47</f>
        <v>....1</v>
      </c>
      <c r="T47" s="844" t="s">
        <v>412</v>
      </c>
      <c r="U47" s="834"/>
      <c r="V47" s="1181"/>
      <c r="W47" s="1182"/>
      <c r="X47" s="1182"/>
      <c r="Y47" s="1182"/>
      <c r="Z47" s="1182"/>
      <c r="AA47" s="1182"/>
      <c r="AB47" s="1182"/>
      <c r="AC47" s="1183"/>
      <c r="AD47" s="1181"/>
      <c r="AE47" s="1182"/>
      <c r="AF47" s="1182"/>
      <c r="AG47" s="1182"/>
      <c r="AH47" s="1182"/>
      <c r="AI47" s="1182"/>
      <c r="AJ47" s="1182"/>
      <c r="AK47" s="1182"/>
      <c r="AL47" s="1183"/>
      <c r="AM47" s="836" t="s">
        <v>413</v>
      </c>
      <c r="AP47" s="583" t="str">
        <f t="shared" si="1"/>
        <v>Схема подключения теплопотребляющей установки к коллектору источника тепловой энергии</v>
      </c>
      <c r="AS47" s="539">
        <v>47</v>
      </c>
    </row>
    <row r="48" spans="1:45" ht="21.95" customHeight="1">
      <c r="A48" s="607" t="s">
        <v>220</v>
      </c>
      <c r="B48" s="607" t="s">
        <v>221</v>
      </c>
      <c r="C48" s="607" t="s">
        <v>222</v>
      </c>
      <c r="D48" s="607" t="s">
        <v>223</v>
      </c>
      <c r="E48" s="1219"/>
      <c r="F48" s="1219"/>
      <c r="G48" s="1219"/>
      <c r="H48" s="1219"/>
      <c r="I48" s="1051"/>
      <c r="J48" s="1070" t="str">
        <f>I47&amp;".1"</f>
        <v>....1.1</v>
      </c>
      <c r="L48" s="874" t="s">
        <v>414</v>
      </c>
      <c r="P48" s="1038"/>
      <c r="Q48" s="1196">
        <v>1</v>
      </c>
      <c r="R48" s="845"/>
      <c r="S48" s="833" t="str">
        <f>$J48</f>
        <v>....1.1</v>
      </c>
      <c r="T48" s="846" t="s">
        <v>415</v>
      </c>
      <c r="U48" s="834"/>
      <c r="V48" s="1181"/>
      <c r="W48" s="1182"/>
      <c r="X48" s="1182"/>
      <c r="Y48" s="1182"/>
      <c r="Z48" s="1182"/>
      <c r="AA48" s="1182"/>
      <c r="AB48" s="1182"/>
      <c r="AC48" s="1183"/>
      <c r="AD48" s="1181"/>
      <c r="AE48" s="1182"/>
      <c r="AF48" s="1182"/>
      <c r="AG48" s="1182"/>
      <c r="AH48" s="1182"/>
      <c r="AI48" s="1182"/>
      <c r="AJ48" s="1182"/>
      <c r="AK48" s="1182"/>
      <c r="AL48" s="1183"/>
      <c r="AM48" s="836" t="s">
        <v>416</v>
      </c>
      <c r="AP48" s="583" t="str">
        <f t="shared" si="1"/>
        <v>Группа потребителей</v>
      </c>
      <c r="AS48" s="539">
        <v>21</v>
      </c>
    </row>
    <row r="49" spans="1:45" ht="21.95" customHeight="1">
      <c r="A49" s="607" t="s">
        <v>220</v>
      </c>
      <c r="B49" s="607" t="s">
        <v>221</v>
      </c>
      <c r="C49" s="607" t="s">
        <v>222</v>
      </c>
      <c r="D49" s="607" t="s">
        <v>223</v>
      </c>
      <c r="E49" s="1219"/>
      <c r="F49" s="1219"/>
      <c r="G49" s="1219"/>
      <c r="H49" s="1219"/>
      <c r="I49" s="1051"/>
      <c r="J49" s="1051"/>
      <c r="K49" s="1070" t="str">
        <f>J48&amp;".1"</f>
        <v>....1.1.1</v>
      </c>
      <c r="L49" s="874" t="s">
        <v>417</v>
      </c>
      <c r="P49" s="1038"/>
      <c r="Q49" s="1038"/>
      <c r="R49" s="845">
        <v>1</v>
      </c>
      <c r="S49" s="833" t="str">
        <f>$K49</f>
        <v>....1.1.1</v>
      </c>
      <c r="T49" s="847"/>
      <c r="U49" s="834"/>
      <c r="V49" s="312"/>
      <c r="W49" s="313"/>
      <c r="X49" s="312"/>
      <c r="Y49" s="314"/>
      <c r="Z49" s="1197"/>
      <c r="AA49" s="1079" t="s">
        <v>61</v>
      </c>
      <c r="AB49" s="1197"/>
      <c r="AC49" s="1079" t="s">
        <v>61</v>
      </c>
      <c r="AD49" s="312"/>
      <c r="AE49" s="313"/>
      <c r="AF49" s="312"/>
      <c r="AG49" s="314"/>
      <c r="AH49" s="1197"/>
      <c r="AI49" s="1079" t="s">
        <v>61</v>
      </c>
      <c r="AJ49" s="1199"/>
      <c r="AK49" s="1079" t="s">
        <v>61</v>
      </c>
      <c r="AL49" s="332"/>
      <c r="AM49" s="1215" t="s">
        <v>418</v>
      </c>
      <c r="AN49" s="578" t="e">
        <f ca="1">STRCHECKDATE(V50:AL50)</f>
        <v>#NAME?</v>
      </c>
      <c r="AP49" s="583" t="str">
        <f t="shared" si="1"/>
        <v/>
      </c>
      <c r="AS49" s="539">
        <v>21</v>
      </c>
    </row>
    <row r="50" spans="1:45" ht="1.1499999999999999" customHeight="1">
      <c r="A50" s="607" t="s">
        <v>220</v>
      </c>
      <c r="B50" s="607" t="s">
        <v>221</v>
      </c>
      <c r="C50" s="607" t="s">
        <v>222</v>
      </c>
      <c r="D50" s="607" t="s">
        <v>223</v>
      </c>
      <c r="E50" s="1219"/>
      <c r="F50" s="1219"/>
      <c r="G50" s="1219"/>
      <c r="H50" s="1219"/>
      <c r="I50" s="1051"/>
      <c r="J50" s="1051"/>
      <c r="K50" s="1070"/>
      <c r="P50" s="1038"/>
      <c r="Q50" s="1038"/>
      <c r="R50" s="845"/>
      <c r="S50" s="127"/>
      <c r="T50" s="834"/>
      <c r="U50" s="834"/>
      <c r="V50" s="313"/>
      <c r="W50" s="313"/>
      <c r="X50" s="313"/>
      <c r="Y50" s="315" t="str">
        <f>Z49&amp;"-"&amp;AB49</f>
        <v>-</v>
      </c>
      <c r="Z50" s="1198"/>
      <c r="AA50" s="1079"/>
      <c r="AB50" s="1198"/>
      <c r="AC50" s="1079"/>
      <c r="AD50" s="313"/>
      <c r="AE50" s="313"/>
      <c r="AF50" s="313"/>
      <c r="AG50" s="315" t="str">
        <f>AH49&amp;"-"&amp;AJ49</f>
        <v>-</v>
      </c>
      <c r="AH50" s="1198"/>
      <c r="AI50" s="1079"/>
      <c r="AJ50" s="1200"/>
      <c r="AK50" s="1079"/>
      <c r="AL50" s="333"/>
      <c r="AM50" s="1216"/>
      <c r="AP50" s="583" t="str">
        <f t="shared" si="1"/>
        <v/>
      </c>
      <c r="AS50" s="539">
        <v>1</v>
      </c>
    </row>
    <row r="51" spans="1:45" ht="11.45" customHeight="1">
      <c r="A51" s="607" t="s">
        <v>220</v>
      </c>
      <c r="B51" s="607" t="s">
        <v>221</v>
      </c>
      <c r="C51" s="607" t="s">
        <v>222</v>
      </c>
      <c r="D51" s="607" t="s">
        <v>223</v>
      </c>
      <c r="E51" s="1219"/>
      <c r="F51" s="1219"/>
      <c r="G51" s="1219"/>
      <c r="H51" s="1219"/>
      <c r="I51" s="1051"/>
      <c r="J51" s="1070"/>
      <c r="P51" s="1038"/>
      <c r="Q51" s="1038"/>
      <c r="R51" s="843"/>
      <c r="S51" s="316"/>
      <c r="T51" s="317" t="s">
        <v>419</v>
      </c>
      <c r="U51" s="52"/>
      <c r="V51" s="52"/>
      <c r="W51" s="52"/>
      <c r="X51" s="52"/>
      <c r="Y51" s="52"/>
      <c r="Z51" s="52"/>
      <c r="AA51" s="52"/>
      <c r="AB51" s="52"/>
      <c r="AC51" s="52"/>
      <c r="AD51" s="52"/>
      <c r="AE51" s="52"/>
      <c r="AF51" s="52"/>
      <c r="AG51" s="52"/>
      <c r="AH51" s="52"/>
      <c r="AI51" s="52"/>
      <c r="AJ51" s="52"/>
      <c r="AK51" s="52"/>
      <c r="AL51" s="318"/>
      <c r="AM51" s="1217"/>
      <c r="AP51" s="583" t="str">
        <f t="shared" si="1"/>
        <v>Добавить вид теплоносителя (параметры теплоносителя)</v>
      </c>
      <c r="AS51" s="539">
        <v>11</v>
      </c>
    </row>
    <row r="52" spans="1:45" ht="11.45" customHeight="1">
      <c r="A52" s="607" t="s">
        <v>220</v>
      </c>
      <c r="B52" s="607" t="s">
        <v>221</v>
      </c>
      <c r="C52" s="607" t="s">
        <v>222</v>
      </c>
      <c r="D52" s="607" t="s">
        <v>223</v>
      </c>
      <c r="E52" s="1219"/>
      <c r="F52" s="1219"/>
      <c r="G52" s="1219"/>
      <c r="H52" s="1219"/>
      <c r="I52" s="1070"/>
      <c r="P52" s="1038"/>
      <c r="R52" s="843"/>
      <c r="S52" s="316"/>
      <c r="T52" s="319" t="s">
        <v>420</v>
      </c>
      <c r="U52" s="52"/>
      <c r="V52" s="52"/>
      <c r="W52" s="52"/>
      <c r="X52" s="52"/>
      <c r="Y52" s="52"/>
      <c r="Z52" s="52"/>
      <c r="AA52" s="52"/>
      <c r="AB52" s="52"/>
      <c r="AC52" s="320"/>
      <c r="AD52" s="52"/>
      <c r="AE52" s="52"/>
      <c r="AF52" s="52"/>
      <c r="AG52" s="52"/>
      <c r="AH52" s="52"/>
      <c r="AI52" s="52"/>
      <c r="AJ52" s="52"/>
      <c r="AK52" s="320"/>
      <c r="AL52" s="52"/>
      <c r="AM52" s="321"/>
      <c r="AP52" s="583" t="str">
        <f t="shared" si="1"/>
        <v>Добавить группу потребителей</v>
      </c>
      <c r="AS52" s="539">
        <v>11</v>
      </c>
    </row>
    <row r="53" spans="1:45" ht="14.65" customHeight="1">
      <c r="A53" s="607" t="s">
        <v>220</v>
      </c>
      <c r="B53" s="607" t="s">
        <v>221</v>
      </c>
      <c r="C53" s="607" t="s">
        <v>222</v>
      </c>
      <c r="D53" s="607" t="s">
        <v>223</v>
      </c>
      <c r="E53" s="1219"/>
      <c r="F53" s="1219"/>
      <c r="G53" s="1219"/>
      <c r="H53" s="1218"/>
      <c r="R53" s="311"/>
      <c r="S53" s="316"/>
      <c r="T53" s="322" t="s">
        <v>421</v>
      </c>
      <c r="U53" s="52"/>
      <c r="V53" s="52"/>
      <c r="W53" s="52"/>
      <c r="X53" s="52"/>
      <c r="Y53" s="52"/>
      <c r="Z53" s="52"/>
      <c r="AA53" s="52"/>
      <c r="AB53" s="52"/>
      <c r="AC53" s="320"/>
      <c r="AD53" s="52"/>
      <c r="AE53" s="52"/>
      <c r="AF53" s="52"/>
      <c r="AG53" s="52"/>
      <c r="AH53" s="52"/>
      <c r="AI53" s="52"/>
      <c r="AJ53" s="52"/>
      <c r="AK53" s="320"/>
      <c r="AL53" s="52"/>
      <c r="AM53" s="321"/>
      <c r="AP53" s="583" t="str">
        <f t="shared" si="1"/>
        <v>Добавить схему подключения</v>
      </c>
      <c r="AS53" s="539">
        <v>14</v>
      </c>
    </row>
    <row r="54" spans="1:45" ht="1.1499999999999999" customHeight="1">
      <c r="A54" s="607" t="s">
        <v>220</v>
      </c>
      <c r="B54" s="607" t="s">
        <v>221</v>
      </c>
      <c r="C54" s="607" t="s">
        <v>222</v>
      </c>
      <c r="E54" s="1219"/>
      <c r="F54" s="1219"/>
      <c r="G54" s="1218"/>
      <c r="T54" s="327" t="s">
        <v>422</v>
      </c>
      <c r="AP54" s="583" t="str">
        <f t="shared" si="1"/>
        <v>Добавить источник для дифференциации</v>
      </c>
      <c r="AS54" s="578">
        <v>1</v>
      </c>
    </row>
    <row r="55" spans="1:45" ht="1.1499999999999999" customHeight="1">
      <c r="A55" s="607" t="s">
        <v>220</v>
      </c>
      <c r="B55" s="607" t="s">
        <v>221</v>
      </c>
      <c r="E55" s="1219"/>
      <c r="F55" s="1218"/>
      <c r="T55" s="327" t="s">
        <v>423</v>
      </c>
      <c r="AP55" s="583" t="str">
        <f t="shared" si="1"/>
        <v>Добавить централизованную систему для дифференциации</v>
      </c>
      <c r="AS55" s="578">
        <v>1</v>
      </c>
    </row>
    <row r="56" spans="1:45" ht="1.1499999999999999" customHeight="1">
      <c r="A56" s="607" t="s">
        <v>220</v>
      </c>
      <c r="E56" s="1218"/>
      <c r="T56" s="327" t="s">
        <v>424</v>
      </c>
      <c r="AP56" s="583" t="str">
        <f t="shared" si="1"/>
        <v>Добавить территорию для дифференциации</v>
      </c>
      <c r="AS56" s="578">
        <v>1</v>
      </c>
    </row>
    <row r="57" spans="1:45" ht="1.1499999999999999" customHeight="1">
      <c r="T57" s="327" t="s">
        <v>456</v>
      </c>
      <c r="AP57" s="583" t="str">
        <f t="shared" si="1"/>
        <v>Добавить наименование тарифа</v>
      </c>
      <c r="AS57" s="578">
        <v>1</v>
      </c>
    </row>
    <row r="58" spans="1:45" ht="11.45" customHeight="1">
      <c r="AS58" s="539">
        <v>11</v>
      </c>
    </row>
    <row r="59" spans="1:45" ht="28.5" customHeight="1">
      <c r="T59" s="1038"/>
      <c r="U59" s="1038"/>
      <c r="V59" s="1038"/>
      <c r="W59" s="1038"/>
      <c r="X59" s="1038"/>
      <c r="Y59" s="1038"/>
      <c r="Z59" s="1038"/>
      <c r="AA59" s="1038"/>
      <c r="AB59" s="1038"/>
      <c r="AC59" s="1038"/>
      <c r="AD59" s="1038"/>
      <c r="AE59" s="1038"/>
      <c r="AF59" s="1038"/>
      <c r="AG59" s="1038"/>
      <c r="AH59" s="1038"/>
      <c r="AI59" s="1038"/>
      <c r="AJ59" s="1038"/>
      <c r="AK59" s="1038"/>
      <c r="AL59" s="1038"/>
      <c r="AM59" s="1038"/>
      <c r="AS59" s="539">
        <v>27</v>
      </c>
    </row>
    <row r="60" spans="1:45" ht="65.25" customHeight="1">
      <c r="T60" s="1038"/>
      <c r="U60" s="1038"/>
      <c r="V60" s="1038"/>
      <c r="W60" s="1038"/>
      <c r="X60" s="1038"/>
      <c r="Y60" s="1038"/>
      <c r="Z60" s="1038"/>
      <c r="AA60" s="1038"/>
      <c r="AB60" s="1038"/>
      <c r="AC60" s="1038"/>
      <c r="AD60" s="1038"/>
      <c r="AE60" s="1038"/>
      <c r="AF60" s="1038"/>
      <c r="AG60" s="1038"/>
      <c r="AH60" s="1038"/>
      <c r="AI60" s="1038"/>
      <c r="AJ60" s="1038"/>
      <c r="AK60" s="1038"/>
      <c r="AL60" s="1038"/>
      <c r="AM60" s="1038"/>
      <c r="AS60" s="539">
        <v>62</v>
      </c>
    </row>
    <row r="61" spans="1:45" ht="14.65" customHeight="1">
      <c r="AS61" s="539">
        <v>14</v>
      </c>
    </row>
    <row r="62" spans="1:45" ht="18.75" customHeight="1">
      <c r="T62" s="1038"/>
      <c r="U62" s="1038"/>
      <c r="V62" s="1038"/>
      <c r="W62" s="1038"/>
      <c r="X62" s="1038"/>
      <c r="Y62" s="1038"/>
      <c r="Z62" s="1038"/>
      <c r="AA62" s="1038"/>
      <c r="AB62" s="1038"/>
      <c r="AC62" s="1038"/>
      <c r="AD62" s="1038"/>
      <c r="AE62" s="1038"/>
      <c r="AF62" s="1038"/>
      <c r="AG62" s="1038"/>
      <c r="AH62" s="1038"/>
      <c r="AI62" s="1038"/>
      <c r="AJ62" s="1038"/>
      <c r="AK62" s="1038"/>
      <c r="AL62" s="1038"/>
      <c r="AM62" s="1038"/>
      <c r="AS62" s="539">
        <v>18</v>
      </c>
    </row>
    <row r="63" spans="1:45" ht="18.75" customHeight="1">
      <c r="T63" s="1038"/>
      <c r="U63" s="1038"/>
      <c r="V63" s="1038"/>
      <c r="W63" s="1038"/>
      <c r="X63" s="1038"/>
      <c r="Y63" s="1038"/>
      <c r="Z63" s="1038"/>
      <c r="AA63" s="1038"/>
      <c r="AB63" s="1038"/>
      <c r="AC63" s="1038"/>
      <c r="AD63" s="1038"/>
      <c r="AE63" s="1038"/>
      <c r="AF63" s="1038"/>
      <c r="AG63" s="1038"/>
      <c r="AH63" s="1038"/>
      <c r="AI63" s="1038"/>
      <c r="AJ63" s="1038"/>
      <c r="AK63" s="1038"/>
      <c r="AL63" s="1038"/>
      <c r="AM63" s="1038"/>
      <c r="AS63" s="539">
        <v>18</v>
      </c>
    </row>
    <row r="64" spans="1:45" ht="29.25" customHeight="1">
      <c r="T64" s="1038"/>
      <c r="U64" s="1038"/>
      <c r="V64" s="1038"/>
      <c r="W64" s="1038"/>
      <c r="X64" s="1038"/>
      <c r="Y64" s="1038"/>
      <c r="Z64" s="1038"/>
      <c r="AA64" s="1038"/>
      <c r="AB64" s="1038"/>
      <c r="AC64" s="1038"/>
      <c r="AD64" s="1038"/>
      <c r="AE64" s="1038"/>
      <c r="AF64" s="1038"/>
      <c r="AG64" s="1038"/>
      <c r="AH64" s="1038"/>
      <c r="AI64" s="1038"/>
      <c r="AJ64" s="1038"/>
      <c r="AK64" s="1038"/>
      <c r="AL64" s="1038"/>
      <c r="AM64" s="1038"/>
      <c r="AS64" s="539">
        <v>28</v>
      </c>
    </row>
    <row r="65" spans="1:45" ht="22.5" hidden="1" customHeight="1">
      <c r="A65" s="539" t="s">
        <v>81</v>
      </c>
      <c r="B65" s="539">
        <v>0</v>
      </c>
      <c r="C65" s="539">
        <v>0</v>
      </c>
      <c r="D65" s="539">
        <v>0</v>
      </c>
      <c r="E65" s="539">
        <v>0</v>
      </c>
      <c r="F65" s="539">
        <v>0</v>
      </c>
      <c r="G65" s="539">
        <v>0</v>
      </c>
      <c r="H65" s="539">
        <v>0</v>
      </c>
      <c r="I65" s="539">
        <v>0</v>
      </c>
      <c r="J65" s="539">
        <v>0</v>
      </c>
      <c r="K65" s="539">
        <v>0</v>
      </c>
      <c r="L65" s="561">
        <v>0</v>
      </c>
      <c r="M65" s="301">
        <v>0</v>
      </c>
      <c r="N65" s="301">
        <v>0</v>
      </c>
      <c r="O65" s="301">
        <v>0</v>
      </c>
      <c r="P65" s="301">
        <v>3</v>
      </c>
      <c r="Q65" s="822">
        <v>3</v>
      </c>
      <c r="R65" s="822">
        <v>3</v>
      </c>
      <c r="S65" s="554">
        <v>12</v>
      </c>
      <c r="T65" s="539">
        <v>31</v>
      </c>
      <c r="U65" s="539">
        <v>0</v>
      </c>
      <c r="V65" s="539">
        <v>0</v>
      </c>
      <c r="W65" s="539">
        <v>0</v>
      </c>
      <c r="X65" s="539">
        <v>0</v>
      </c>
      <c r="Y65" s="539">
        <v>0</v>
      </c>
      <c r="Z65" s="539">
        <v>0</v>
      </c>
      <c r="AA65" s="539">
        <v>0</v>
      </c>
      <c r="AB65" s="539">
        <v>0</v>
      </c>
      <c r="AC65" s="539">
        <v>0</v>
      </c>
      <c r="AD65" s="539">
        <v>24</v>
      </c>
      <c r="AE65" s="539">
        <v>0</v>
      </c>
      <c r="AF65" s="539">
        <v>24</v>
      </c>
      <c r="AG65" s="539">
        <v>24</v>
      </c>
      <c r="AH65" s="539">
        <v>11</v>
      </c>
      <c r="AI65" s="539">
        <v>3</v>
      </c>
      <c r="AJ65" s="539">
        <v>11</v>
      </c>
      <c r="AK65" s="539">
        <v>0</v>
      </c>
      <c r="AL65" s="539">
        <v>4</v>
      </c>
      <c r="AM65" s="539">
        <v>115</v>
      </c>
      <c r="AN65" s="578">
        <v>10</v>
      </c>
      <c r="AO65" s="578">
        <v>10</v>
      </c>
      <c r="AP65" s="578">
        <v>10</v>
      </c>
      <c r="AQ65" s="578">
        <v>10</v>
      </c>
      <c r="AR65" s="578">
        <v>10</v>
      </c>
      <c r="AS65" s="53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1" style="1030" customWidth="1"/>
    <col min="21" max="21" width="0.7109375" style="1030" hidden="1" customWidth="1"/>
    <col min="22" max="22" width="1.7109375" style="1030" hidden="1" customWidth="1"/>
    <col min="23" max="23" width="24.7109375" style="1030" hidden="1" customWidth="1"/>
    <col min="24" max="25" width="0.14062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0.140625" style="1030" customWidth="1"/>
    <col min="31" max="31" width="24" style="1030" customWidth="1"/>
    <col min="32" max="33" width="0.140625" style="1030" customWidth="1"/>
    <col min="34" max="34" width="11" style="1030" customWidth="1"/>
    <col min="35" max="35" width="3.7109375" style="1030" customWidth="1"/>
    <col min="36" max="36" width="11" style="1030" customWidth="1"/>
    <col min="37" max="37" width="8.5703125" style="1030" hidden="1" customWidth="1"/>
    <col min="38" max="38" width="4" style="1030" customWidth="1"/>
    <col min="39" max="39" width="115" style="1030" customWidth="1"/>
    <col min="40" max="44" width="10" style="1030" customWidth="1"/>
    <col min="45" max="45" width="10.5703125" style="1030" hidden="1"/>
  </cols>
  <sheetData>
    <row r="1" spans="5:45" ht="22.5" hidden="1" customHeight="1">
      <c r="AS1" s="539" t="s">
        <v>14</v>
      </c>
    </row>
    <row r="2" spans="5:45" ht="21" hidden="1" customHeight="1">
      <c r="E2" s="1192">
        <v>1</v>
      </c>
      <c r="R2" s="311"/>
      <c r="S2" s="833" t="e">
        <f>INDEX(PT_DIFFERENTIATION_NUM_NTAR,MATCH(A2,PT_DIFFERENTIATION_NTAR_ID,0))</f>
        <v>#N/A</v>
      </c>
      <c r="T2" s="796" t="s">
        <v>133</v>
      </c>
      <c r="U2" s="834"/>
      <c r="V2" s="1187"/>
      <c r="W2" s="1188"/>
      <c r="X2" s="1188"/>
      <c r="Y2" s="1188"/>
      <c r="Z2" s="1188"/>
      <c r="AA2" s="1188"/>
      <c r="AB2" s="1188"/>
      <c r="AC2" s="1189"/>
      <c r="AD2" s="1187" t="e">
        <f>INDEX(PT_DIFFERENTIATION_NTAR,MATCH(A2,PT_DIFFERENTIATION_NTAR_ID,0))</f>
        <v>#N/A</v>
      </c>
      <c r="AE2" s="1188"/>
      <c r="AF2" s="1188"/>
      <c r="AG2" s="1188"/>
      <c r="AH2" s="1188"/>
      <c r="AI2" s="1188"/>
      <c r="AJ2" s="1188"/>
      <c r="AK2" s="1188"/>
      <c r="AL2" s="1189"/>
      <c r="AM2" s="836" t="s">
        <v>404</v>
      </c>
      <c r="AP2" s="583" t="str">
        <f t="shared" ref="AP2:AP15" si="0">IF(T2="","",T2)</f>
        <v>Наименование тарифа</v>
      </c>
      <c r="AS2" s="539">
        <v>0</v>
      </c>
    </row>
    <row r="3" spans="5:45" ht="21"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8"/>
      <c r="AC3" s="1189"/>
      <c r="AD3" s="1187" t="e">
        <f>INDEX(PT_DIFFERENTIATION_TER,MATCH(B3,PT_DIFFERENTIATION_TER_ID,0))</f>
        <v>#N/A</v>
      </c>
      <c r="AE3" s="1188"/>
      <c r="AF3" s="1188"/>
      <c r="AG3" s="1188"/>
      <c r="AH3" s="1188"/>
      <c r="AI3" s="1188"/>
      <c r="AJ3" s="1188"/>
      <c r="AK3" s="1188"/>
      <c r="AL3" s="1189"/>
      <c r="AM3" s="836" t="s">
        <v>406</v>
      </c>
      <c r="AP3" s="583" t="str">
        <f t="shared" si="0"/>
        <v>Территория действия тарифа</v>
      </c>
      <c r="AS3" s="539">
        <v>0</v>
      </c>
    </row>
    <row r="4" spans="5:45" ht="23.25" hidden="1" customHeight="1">
      <c r="E4" s="1193"/>
      <c r="F4" s="1193"/>
      <c r="G4" s="1192">
        <v>1</v>
      </c>
      <c r="Q4" s="837"/>
      <c r="R4" s="838"/>
      <c r="S4" s="833" t="e">
        <f>INDEX(PT_DIFFERENTIATION_NUM_CS,MATCH(C4,PT_DIFFERENTIATION_CS_ID,0))</f>
        <v>#N/A</v>
      </c>
      <c r="T4" s="840" t="s">
        <v>407</v>
      </c>
      <c r="U4" s="834"/>
      <c r="V4" s="1187"/>
      <c r="W4" s="1188"/>
      <c r="X4" s="1188"/>
      <c r="Y4" s="1188"/>
      <c r="Z4" s="1188"/>
      <c r="AA4" s="1188"/>
      <c r="AB4" s="1188"/>
      <c r="AC4" s="1189"/>
      <c r="AD4" s="1187" t="e">
        <f>INDEX(PT_DIFFERENTIATION_CS,MATCH(C4,PT_DIFFERENTIATION_CS_ID,0))</f>
        <v>#N/A</v>
      </c>
      <c r="AE4" s="1188"/>
      <c r="AF4" s="1188"/>
      <c r="AG4" s="1188"/>
      <c r="AH4" s="1188"/>
      <c r="AI4" s="1188"/>
      <c r="AJ4" s="1188"/>
      <c r="AK4" s="1188"/>
      <c r="AL4" s="1189"/>
      <c r="AM4" s="836" t="s">
        <v>408</v>
      </c>
      <c r="AP4" s="583" t="str">
        <f t="shared" si="0"/>
        <v xml:space="preserve">Наименование системы теплоснабжения </v>
      </c>
      <c r="AS4" s="539">
        <v>0</v>
      </c>
    </row>
    <row r="5" spans="5:45" ht="21" hidden="1" customHeight="1">
      <c r="E5" s="1193"/>
      <c r="F5" s="1193"/>
      <c r="G5" s="1193"/>
      <c r="H5" s="1192">
        <v>1</v>
      </c>
      <c r="Q5" s="837"/>
      <c r="R5" s="838"/>
      <c r="S5" s="833" t="e">
        <f>INDEX(PT_DIFFERENTIATION_NUM_IST_TE,MATCH(D5,PT_DIFFERENTIATION_IST_TE_ID,0))</f>
        <v>#N/A</v>
      </c>
      <c r="T5" s="841" t="s">
        <v>409</v>
      </c>
      <c r="U5" s="834"/>
      <c r="V5" s="1187"/>
      <c r="W5" s="1188"/>
      <c r="X5" s="1188"/>
      <c r="Y5" s="1188"/>
      <c r="Z5" s="1188"/>
      <c r="AA5" s="1188"/>
      <c r="AB5" s="1188"/>
      <c r="AC5" s="1189"/>
      <c r="AD5" s="1187" t="e">
        <f>INDEX(PT_DIFFERENTIATION_IST_TE,MATCH(D5,PT_DIFFERENTIATION_IST_TE_ID,0))</f>
        <v>#N/A</v>
      </c>
      <c r="AE5" s="1188"/>
      <c r="AF5" s="1188"/>
      <c r="AG5" s="1188"/>
      <c r="AH5" s="1188"/>
      <c r="AI5" s="1188"/>
      <c r="AJ5" s="1188"/>
      <c r="AK5" s="1188"/>
      <c r="AL5" s="1189"/>
      <c r="AM5" s="836" t="s">
        <v>410</v>
      </c>
      <c r="AP5" s="583" t="str">
        <f t="shared" si="0"/>
        <v xml:space="preserve">Источник тепловой энергии  </v>
      </c>
      <c r="AS5" s="539">
        <v>0</v>
      </c>
    </row>
    <row r="6" spans="5:45" ht="47.25" hidden="1" customHeight="1">
      <c r="E6" s="1193"/>
      <c r="F6" s="1193"/>
      <c r="G6" s="1193"/>
      <c r="H6" s="1193"/>
      <c r="I6" s="1194" t="e">
        <f>S5&amp;".1"</f>
        <v>#N/A</v>
      </c>
      <c r="L6" s="842" t="s">
        <v>411</v>
      </c>
      <c r="P6" s="1196">
        <v>1</v>
      </c>
      <c r="R6" s="843"/>
      <c r="S6" s="833" t="e">
        <f>$I6</f>
        <v>#N/A</v>
      </c>
      <c r="T6" s="844" t="s">
        <v>412</v>
      </c>
      <c r="U6" s="834"/>
      <c r="V6" s="1181"/>
      <c r="W6" s="1182"/>
      <c r="X6" s="1182"/>
      <c r="Y6" s="1182"/>
      <c r="Z6" s="1182"/>
      <c r="AA6" s="1182"/>
      <c r="AB6" s="1182"/>
      <c r="AC6" s="1183"/>
      <c r="AD6" s="1181"/>
      <c r="AE6" s="1182"/>
      <c r="AF6" s="1182"/>
      <c r="AG6" s="1182"/>
      <c r="AH6" s="1182"/>
      <c r="AI6" s="1182"/>
      <c r="AJ6" s="1182"/>
      <c r="AK6" s="1182"/>
      <c r="AL6" s="1183"/>
      <c r="AM6" s="836" t="s">
        <v>413</v>
      </c>
      <c r="AP6" s="583" t="str">
        <f t="shared" si="0"/>
        <v>Схема подключения теплопотребляющей установки к коллектору источника тепловой энергии</v>
      </c>
      <c r="AS6" s="539">
        <v>0</v>
      </c>
    </row>
    <row r="7" spans="5:45" ht="21" hidden="1" customHeight="1">
      <c r="E7" s="1193"/>
      <c r="F7" s="1193"/>
      <c r="G7" s="1193"/>
      <c r="H7" s="1193"/>
      <c r="I7" s="1195"/>
      <c r="J7" s="1194" t="e">
        <f>I6&amp;".1"</f>
        <v>#N/A</v>
      </c>
      <c r="L7" s="842" t="s">
        <v>414</v>
      </c>
      <c r="P7" s="1038"/>
      <c r="Q7" s="1196">
        <v>1</v>
      </c>
      <c r="R7" s="845"/>
      <c r="S7" s="833" t="e">
        <f>$J7</f>
        <v>#N/A</v>
      </c>
      <c r="T7" s="846" t="s">
        <v>415</v>
      </c>
      <c r="U7" s="834"/>
      <c r="V7" s="1181"/>
      <c r="W7" s="1182"/>
      <c r="X7" s="1182"/>
      <c r="Y7" s="1182"/>
      <c r="Z7" s="1182"/>
      <c r="AA7" s="1182"/>
      <c r="AB7" s="1182"/>
      <c r="AC7" s="1183"/>
      <c r="AD7" s="1181"/>
      <c r="AE7" s="1182"/>
      <c r="AF7" s="1182"/>
      <c r="AG7" s="1182"/>
      <c r="AH7" s="1182"/>
      <c r="AI7" s="1182"/>
      <c r="AJ7" s="1182"/>
      <c r="AK7" s="1182"/>
      <c r="AL7" s="1183"/>
      <c r="AM7" s="836" t="s">
        <v>416</v>
      </c>
      <c r="AP7" s="583" t="str">
        <f t="shared" si="0"/>
        <v>Группа потребителей</v>
      </c>
      <c r="AS7" s="539">
        <v>0</v>
      </c>
    </row>
    <row r="8" spans="5:45" ht="21" hidden="1" customHeight="1">
      <c r="E8" s="1193"/>
      <c r="F8" s="1193"/>
      <c r="G8" s="1193"/>
      <c r="H8" s="1193"/>
      <c r="I8" s="1195"/>
      <c r="J8" s="1195"/>
      <c r="K8" s="1194" t="e">
        <f>J7&amp;".1"</f>
        <v>#N/A</v>
      </c>
      <c r="L8" s="842" t="s">
        <v>417</v>
      </c>
      <c r="P8" s="1038"/>
      <c r="Q8" s="1038"/>
      <c r="R8" s="845">
        <v>1</v>
      </c>
      <c r="S8" s="833" t="e">
        <f>$K8</f>
        <v>#N/A</v>
      </c>
      <c r="T8" s="847"/>
      <c r="U8" s="834"/>
      <c r="V8" s="313"/>
      <c r="W8" s="312"/>
      <c r="X8" s="313"/>
      <c r="Y8" s="334"/>
      <c r="Z8" s="1197"/>
      <c r="AA8" s="1079" t="s">
        <v>61</v>
      </c>
      <c r="AB8" s="1197"/>
      <c r="AC8" s="1079" t="s">
        <v>61</v>
      </c>
      <c r="AD8" s="313"/>
      <c r="AE8" s="312"/>
      <c r="AF8" s="313"/>
      <c r="AG8" s="334"/>
      <c r="AH8" s="1197"/>
      <c r="AI8" s="1079" t="s">
        <v>61</v>
      </c>
      <c r="AJ8" s="1197"/>
      <c r="AK8" s="1079" t="s">
        <v>61</v>
      </c>
      <c r="AL8" s="313"/>
      <c r="AM8" s="1215" t="s">
        <v>418</v>
      </c>
      <c r="AN8" s="578" t="e">
        <f ca="1">STRCHECKDATE(V9:AL9)</f>
        <v>#NAME?</v>
      </c>
      <c r="AP8" s="583" t="str">
        <f t="shared" si="0"/>
        <v/>
      </c>
      <c r="AS8" s="539">
        <v>0</v>
      </c>
    </row>
    <row r="9" spans="5:45" ht="0.75" hidden="1" customHeight="1">
      <c r="E9" s="1193"/>
      <c r="F9" s="1193"/>
      <c r="G9" s="1193"/>
      <c r="H9" s="1193"/>
      <c r="I9" s="1195"/>
      <c r="J9" s="1195"/>
      <c r="K9" s="1194"/>
      <c r="P9" s="1038"/>
      <c r="Q9" s="1038"/>
      <c r="R9" s="845"/>
      <c r="S9" s="127"/>
      <c r="T9" s="834"/>
      <c r="U9" s="834"/>
      <c r="V9" s="313"/>
      <c r="W9" s="313"/>
      <c r="X9" s="313"/>
      <c r="Y9" s="315" t="str">
        <f>Z8&amp;"-"&amp;AB8</f>
        <v>-</v>
      </c>
      <c r="Z9" s="1198"/>
      <c r="AA9" s="1079"/>
      <c r="AB9" s="1198"/>
      <c r="AC9" s="1079"/>
      <c r="AD9" s="313"/>
      <c r="AE9" s="313"/>
      <c r="AF9" s="313"/>
      <c r="AG9" s="315" t="str">
        <f>AH8&amp;"-"&amp;AJ8</f>
        <v>-</v>
      </c>
      <c r="AH9" s="1198"/>
      <c r="AI9" s="1079"/>
      <c r="AJ9" s="1198"/>
      <c r="AK9" s="1079"/>
      <c r="AL9" s="313"/>
      <c r="AM9" s="1216"/>
      <c r="AP9" s="583" t="str">
        <f t="shared" si="0"/>
        <v/>
      </c>
      <c r="AS9" s="539">
        <v>0</v>
      </c>
    </row>
    <row r="10" spans="5:45" ht="15" hidden="1" customHeight="1">
      <c r="E10" s="1193"/>
      <c r="F10" s="1193"/>
      <c r="G10" s="1193"/>
      <c r="H10" s="1193"/>
      <c r="I10" s="1195"/>
      <c r="J10" s="1194"/>
      <c r="P10" s="1038"/>
      <c r="Q10" s="1038"/>
      <c r="R10" s="843"/>
      <c r="S10" s="316"/>
      <c r="T10" s="317" t="s">
        <v>419</v>
      </c>
      <c r="U10" s="52"/>
      <c r="V10" s="52"/>
      <c r="W10" s="52"/>
      <c r="X10" s="52"/>
      <c r="Y10" s="52"/>
      <c r="Z10" s="52"/>
      <c r="AA10" s="52"/>
      <c r="AB10" s="52"/>
      <c r="AC10" s="52"/>
      <c r="AD10" s="52"/>
      <c r="AE10" s="52"/>
      <c r="AF10" s="52"/>
      <c r="AG10" s="52"/>
      <c r="AH10" s="52"/>
      <c r="AI10" s="52"/>
      <c r="AJ10" s="52"/>
      <c r="AK10" s="52"/>
      <c r="AL10" s="318"/>
      <c r="AM10" s="1217"/>
      <c r="AP10" s="583" t="str">
        <f t="shared" si="0"/>
        <v>Добавить вид теплоносителя (параметры теплоносителя)</v>
      </c>
      <c r="AS10" s="539">
        <v>0</v>
      </c>
    </row>
    <row r="11" spans="5:45" ht="15" hidden="1" customHeight="1">
      <c r="E11" s="1193"/>
      <c r="F11" s="1193"/>
      <c r="G11" s="1193"/>
      <c r="H11" s="1193"/>
      <c r="I11" s="1194"/>
      <c r="P11" s="1038"/>
      <c r="R11" s="843"/>
      <c r="S11" s="316"/>
      <c r="T11" s="319" t="s">
        <v>420</v>
      </c>
      <c r="U11" s="52"/>
      <c r="V11" s="52"/>
      <c r="W11" s="52"/>
      <c r="X11" s="52"/>
      <c r="Y11" s="52"/>
      <c r="Z11" s="52"/>
      <c r="AA11" s="52"/>
      <c r="AB11" s="52"/>
      <c r="AC11" s="320"/>
      <c r="AD11" s="52"/>
      <c r="AE11" s="52"/>
      <c r="AF11" s="52"/>
      <c r="AG11" s="52"/>
      <c r="AH11" s="52"/>
      <c r="AI11" s="52"/>
      <c r="AJ11" s="52"/>
      <c r="AK11" s="320"/>
      <c r="AL11" s="52"/>
      <c r="AM11" s="321"/>
      <c r="AP11" s="583" t="str">
        <f t="shared" si="0"/>
        <v>Добавить группу потребителей</v>
      </c>
      <c r="AS11" s="539">
        <v>0</v>
      </c>
    </row>
    <row r="12" spans="5:45" ht="14.25" hidden="1" customHeight="1">
      <c r="E12" s="1193"/>
      <c r="F12" s="1193"/>
      <c r="G12" s="1193"/>
      <c r="H12" s="1192"/>
      <c r="R12" s="311"/>
      <c r="S12" s="316"/>
      <c r="T12" s="322" t="s">
        <v>421</v>
      </c>
      <c r="U12" s="52"/>
      <c r="V12" s="52"/>
      <c r="W12" s="52"/>
      <c r="X12" s="52"/>
      <c r="Y12" s="52"/>
      <c r="Z12" s="52"/>
      <c r="AA12" s="52"/>
      <c r="AB12" s="52"/>
      <c r="AC12" s="320"/>
      <c r="AD12" s="52"/>
      <c r="AE12" s="52"/>
      <c r="AF12" s="52"/>
      <c r="AG12" s="52"/>
      <c r="AH12" s="52"/>
      <c r="AI12" s="52"/>
      <c r="AJ12" s="52"/>
      <c r="AK12" s="320"/>
      <c r="AL12" s="52"/>
      <c r="AM12" s="321"/>
      <c r="AP12" s="583" t="str">
        <f t="shared" si="0"/>
        <v>Добавить схему подключения</v>
      </c>
      <c r="AS12" s="539">
        <v>0</v>
      </c>
    </row>
    <row r="13" spans="5:45" ht="0.75" hidden="1" customHeight="1">
      <c r="E13" s="1193"/>
      <c r="F13" s="1193"/>
      <c r="G13" s="1192"/>
      <c r="S13" s="323"/>
      <c r="T13" s="324" t="s">
        <v>422</v>
      </c>
      <c r="U13" s="325"/>
      <c r="V13" s="325"/>
      <c r="W13" s="325"/>
      <c r="X13" s="325"/>
      <c r="Y13" s="325"/>
      <c r="Z13" s="325"/>
      <c r="AA13" s="325"/>
      <c r="AB13" s="325"/>
      <c r="AC13" s="325"/>
      <c r="AD13" s="325"/>
      <c r="AE13" s="325"/>
      <c r="AF13" s="325"/>
      <c r="AG13" s="325"/>
      <c r="AH13" s="325"/>
      <c r="AI13" s="325"/>
      <c r="AJ13" s="325"/>
      <c r="AK13" s="325"/>
      <c r="AL13" s="325"/>
      <c r="AM13" s="325"/>
      <c r="AP13" s="583" t="str">
        <f t="shared" si="0"/>
        <v>Добавить источник для дифференциации</v>
      </c>
      <c r="AS13" s="578">
        <v>0</v>
      </c>
    </row>
    <row r="14" spans="5:45" ht="0.75" hidden="1" customHeight="1">
      <c r="E14" s="1193"/>
      <c r="F14" s="1192"/>
      <c r="T14" s="326" t="s">
        <v>423</v>
      </c>
      <c r="AP14" s="583" t="str">
        <f t="shared" si="0"/>
        <v>Добавить централизованную систему для дифференциации</v>
      </c>
      <c r="AS14" s="578">
        <v>0</v>
      </c>
    </row>
    <row r="15" spans="5:45" ht="0.75" hidden="1" customHeight="1">
      <c r="E15" s="1192"/>
      <c r="T15" s="327" t="s">
        <v>424</v>
      </c>
      <c r="AP15" s="583" t="str">
        <f t="shared" si="0"/>
        <v>Добавить территорию для дифференциации</v>
      </c>
      <c r="AS15" s="578">
        <v>0</v>
      </c>
    </row>
    <row r="16" spans="5:45" ht="14.25" hidden="1" customHeight="1">
      <c r="AS16" s="539">
        <v>0</v>
      </c>
    </row>
    <row r="17" spans="15:45" ht="14.25" hidden="1" customHeight="1">
      <c r="AD17" s="276"/>
      <c r="AE17" s="276"/>
      <c r="AF17" s="276"/>
      <c r="AG17" s="328"/>
      <c r="AH17" s="1191"/>
      <c r="AI17" s="1190" t="s">
        <v>61</v>
      </c>
      <c r="AJ17" s="1191"/>
      <c r="AK17" s="1190" t="s">
        <v>61</v>
      </c>
      <c r="AS17" s="539">
        <v>0</v>
      </c>
    </row>
    <row r="18" spans="15:45" ht="14.25" hidden="1" customHeight="1">
      <c r="AD18" s="276"/>
      <c r="AE18" s="276"/>
      <c r="AF18" s="276"/>
      <c r="AG18" s="315" t="str">
        <f>AH17&amp;"-"&amp;AJ17</f>
        <v>-</v>
      </c>
      <c r="AH18" s="1190"/>
      <c r="AI18" s="1190"/>
      <c r="AJ18" s="1190"/>
      <c r="AK18" s="1190"/>
      <c r="AS18" s="539">
        <v>0</v>
      </c>
    </row>
    <row r="19" spans="15:45" ht="14.25" hidden="1" customHeight="1">
      <c r="AS19" s="539">
        <v>0</v>
      </c>
    </row>
    <row r="20" spans="15:45" ht="22.5" hidden="1" customHeight="1">
      <c r="O20" s="329" t="s">
        <v>425</v>
      </c>
      <c r="Z20" s="329"/>
      <c r="AB20" s="329"/>
      <c r="AH20" s="329"/>
      <c r="AJ20" s="329"/>
      <c r="AS20" s="556">
        <v>0</v>
      </c>
    </row>
    <row r="21" spans="15:45" ht="14.25" hidden="1" customHeight="1">
      <c r="AS21" s="556">
        <v>0</v>
      </c>
    </row>
    <row r="22" spans="15:45" ht="33.75" hidden="1" customHeight="1">
      <c r="O22" s="842" t="s">
        <v>426</v>
      </c>
      <c r="T22" s="556" t="s">
        <v>427</v>
      </c>
      <c r="AA22" s="599" t="s">
        <v>428</v>
      </c>
      <c r="AC22" s="599" t="s">
        <v>429</v>
      </c>
      <c r="AD22" s="556" t="s">
        <v>427</v>
      </c>
      <c r="AI22" s="599" t="s">
        <v>430</v>
      </c>
      <c r="AK22" s="599" t="s">
        <v>429</v>
      </c>
      <c r="AS22" s="556">
        <v>0</v>
      </c>
    </row>
    <row r="23" spans="15:45" ht="14.25" hidden="1" customHeight="1">
      <c r="AS23" s="539">
        <v>0</v>
      </c>
    </row>
    <row r="24" spans="15:45" ht="14.25" hidden="1" customHeight="1">
      <c r="AS24" s="539">
        <v>0</v>
      </c>
    </row>
    <row r="25" spans="15:45" ht="14.65" customHeight="1">
      <c r="Q25" s="757"/>
      <c r="R25" s="757"/>
      <c r="S25" s="848"/>
      <c r="T25" s="557"/>
      <c r="U25" s="557"/>
      <c r="AS25" s="539">
        <v>14</v>
      </c>
    </row>
    <row r="26" spans="15:45" ht="29.25" customHeight="1">
      <c r="Q26" s="757"/>
      <c r="R26" s="757"/>
      <c r="S26" s="1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174"/>
      <c r="U26" s="1174"/>
      <c r="V26" s="1174"/>
      <c r="W26" s="1174"/>
      <c r="X26" s="1174"/>
      <c r="Y26" s="1174"/>
      <c r="Z26" s="1174"/>
      <c r="AA26" s="1174"/>
      <c r="AB26" s="1174"/>
      <c r="AC26" s="1174"/>
      <c r="AD26" s="1174"/>
      <c r="AE26" s="1174"/>
      <c r="AF26" s="1174"/>
      <c r="AG26" s="1174"/>
      <c r="AH26" s="1174"/>
      <c r="AI26" s="1174"/>
      <c r="AJ26" s="1174"/>
      <c r="AS26" s="539">
        <v>28</v>
      </c>
    </row>
    <row r="27" spans="15:45" ht="14.65" customHeight="1">
      <c r="Q27" s="757"/>
      <c r="R27" s="757"/>
      <c r="S27" s="1148" t="str">
        <f>IF(org=0,"Не определено",org)</f>
        <v>АО "НИЖЕГОРОДСКИЙ ВОДОКАНАЛ"</v>
      </c>
      <c r="T27" s="1148"/>
      <c r="U27" s="1148"/>
      <c r="V27" s="1148"/>
      <c r="W27" s="1148"/>
      <c r="X27" s="1148"/>
      <c r="Y27" s="1148"/>
      <c r="Z27" s="1148"/>
      <c r="AA27" s="1148"/>
      <c r="AB27" s="1148"/>
      <c r="AC27" s="1148"/>
      <c r="AD27" s="1148"/>
      <c r="AE27" s="1148"/>
      <c r="AF27" s="1148"/>
      <c r="AG27" s="1148"/>
      <c r="AH27" s="1148"/>
      <c r="AI27" s="1148"/>
      <c r="AJ27" s="1148"/>
      <c r="AS27" s="539">
        <v>14</v>
      </c>
    </row>
    <row r="28" spans="15:45" ht="14.25" hidden="1" customHeight="1">
      <c r="Q28" s="757"/>
      <c r="R28" s="757"/>
      <c r="S28" s="848"/>
      <c r="T28" s="557"/>
      <c r="U28" s="557"/>
      <c r="V28" s="827"/>
      <c r="W28" s="827"/>
      <c r="X28" s="827"/>
      <c r="Y28" s="827"/>
      <c r="Z28" s="827"/>
      <c r="AA28" s="827"/>
      <c r="AB28" s="827"/>
      <c r="AC28" s="827"/>
      <c r="AD28" s="827"/>
      <c r="AE28" s="827"/>
      <c r="AF28" s="827"/>
      <c r="AG28" s="827"/>
      <c r="AH28" s="827"/>
      <c r="AI28" s="827"/>
      <c r="AJ28" s="827"/>
      <c r="AK28" s="827"/>
      <c r="AS28" s="539">
        <v>0</v>
      </c>
    </row>
    <row r="29" spans="15:45" ht="25.5" hidden="1" customHeight="1">
      <c r="S29" s="1184" t="s">
        <v>41</v>
      </c>
      <c r="T29" s="1184"/>
      <c r="U29" s="850"/>
      <c r="V29" s="1186" t="str">
        <f>IF(TITLE_NAME_OR_PR_CHANGE="",IF(TITLE_NAME_OR_PR="","",TITLE_NAME_OR_PR),TITLE_NAME_OR_PR_CHANGE)</f>
        <v/>
      </c>
      <c r="W29" s="1186"/>
      <c r="X29" s="1186"/>
      <c r="Y29" s="1186"/>
      <c r="Z29" s="1186"/>
      <c r="AA29" s="1186"/>
      <c r="AB29" s="1186"/>
      <c r="AD29" s="1186" t="str">
        <f>IF(TITLE_NAME_OR_PR_CHANGE="",IF(TITLE_NAME_OR_PR="","",TITLE_NAME_OR_PR),TITLE_NAME_OR_PR_CHANGE)</f>
        <v/>
      </c>
      <c r="AE29" s="1186"/>
      <c r="AF29" s="1186"/>
      <c r="AG29" s="1186"/>
      <c r="AH29" s="1186"/>
      <c r="AI29" s="1186"/>
      <c r="AJ29" s="1186"/>
      <c r="AS29" s="593">
        <v>0</v>
      </c>
    </row>
    <row r="30" spans="15:45" ht="18.75" hidden="1" customHeight="1">
      <c r="S30" s="1184" t="s">
        <v>431</v>
      </c>
      <c r="T30" s="1184"/>
      <c r="U30" s="850"/>
      <c r="V30" s="1185" t="str">
        <f>IF(TITLE_DATE_PR_CHANGE="",IF(TITLE_DATE_PR="","",TITLE_DATE_PR),TITLE_DATE_PR_CHANGE)</f>
        <v/>
      </c>
      <c r="W30" s="1185"/>
      <c r="X30" s="1185"/>
      <c r="Y30" s="1185"/>
      <c r="Z30" s="1185"/>
      <c r="AA30" s="1185"/>
      <c r="AB30" s="1185"/>
      <c r="AD30" s="1185" t="str">
        <f>IF(TITLE_DATE_PR_CHANGE="",IF(TITLE_DATE_PR="","",TITLE_DATE_PR),TITLE_DATE_PR_CHANGE)</f>
        <v/>
      </c>
      <c r="AE30" s="1185"/>
      <c r="AF30" s="1185"/>
      <c r="AG30" s="1185"/>
      <c r="AH30" s="1185"/>
      <c r="AI30" s="1185"/>
      <c r="AJ30" s="1185"/>
      <c r="AS30" s="593">
        <v>0</v>
      </c>
    </row>
    <row r="31" spans="15:45" ht="18.75" hidden="1" customHeight="1">
      <c r="S31" s="1184" t="s">
        <v>432</v>
      </c>
      <c r="T31" s="1184"/>
      <c r="U31" s="850"/>
      <c r="V31" s="1186" t="str">
        <f>IF(TITLE_NUMBER_PR_CHANGE="",IF(TITLE_NUMBER_PR="","",TITLE_NUMBER_PR),TITLE_NUMBER_PR_CHANGE)</f>
        <v/>
      </c>
      <c r="W31" s="1186"/>
      <c r="X31" s="1186"/>
      <c r="Y31" s="1186"/>
      <c r="Z31" s="1186"/>
      <c r="AA31" s="1186"/>
      <c r="AB31" s="1186"/>
      <c r="AD31" s="1186" t="str">
        <f>IF(TITLE_NUMBER_PR_CHANGE="",IF(TITLE_NUMBER_PR="","",TITLE_NUMBER_PR),TITLE_NUMBER_PR_CHANGE)</f>
        <v/>
      </c>
      <c r="AE31" s="1186"/>
      <c r="AF31" s="1186"/>
      <c r="AG31" s="1186"/>
      <c r="AH31" s="1186"/>
      <c r="AI31" s="1186"/>
      <c r="AJ31" s="1186"/>
      <c r="AS31" s="593">
        <v>0</v>
      </c>
    </row>
    <row r="32" spans="15:45" ht="18.75" hidden="1" customHeight="1">
      <c r="S32" s="1184" t="s">
        <v>42</v>
      </c>
      <c r="T32" s="1184"/>
      <c r="U32" s="850"/>
      <c r="V32" s="1186" t="str">
        <f>IF(TITLE_IST_PUB_CHANGE="",IF(TITLE_IST_PUB="","",TITLE_IST_PUB),TITLE_IST_PUB_CHANGE)</f>
        <v/>
      </c>
      <c r="W32" s="1186"/>
      <c r="X32" s="1186"/>
      <c r="Y32" s="1186"/>
      <c r="Z32" s="1186"/>
      <c r="AA32" s="1186"/>
      <c r="AB32" s="1186"/>
      <c r="AD32" s="1186" t="str">
        <f>IF(TITLE_IST_PUB_CHANGE="",IF(TITLE_IST_PUB="","",TITLE_IST_PUB),TITLE_IST_PUB_CHANGE)</f>
        <v/>
      </c>
      <c r="AE32" s="1186"/>
      <c r="AF32" s="1186"/>
      <c r="AG32" s="1186"/>
      <c r="AH32" s="1186"/>
      <c r="AI32" s="1186"/>
      <c r="AJ32" s="1186"/>
      <c r="AS32" s="593">
        <v>0</v>
      </c>
    </row>
    <row r="33" spans="1:45" ht="14.25" hidden="1" customHeight="1">
      <c r="Q33" s="757"/>
      <c r="R33" s="757"/>
      <c r="S33" s="848"/>
      <c r="T33" s="557"/>
      <c r="U33" s="557"/>
      <c r="V33" s="827"/>
      <c r="W33" s="827"/>
      <c r="X33" s="827"/>
      <c r="Y33" s="827"/>
      <c r="Z33" s="827"/>
      <c r="AA33" s="827"/>
      <c r="AB33" s="827"/>
      <c r="AC33" s="827"/>
      <c r="AD33" s="827"/>
      <c r="AE33" s="827"/>
      <c r="AF33" s="827"/>
      <c r="AG33" s="827"/>
      <c r="AH33" s="827"/>
      <c r="AI33" s="827"/>
      <c r="AJ33" s="827"/>
      <c r="AK33" s="827"/>
      <c r="AS33" s="539">
        <v>0</v>
      </c>
    </row>
    <row r="34" spans="1:45" ht="18.75" hidden="1" customHeight="1">
      <c r="S34" s="1184" t="s">
        <v>433</v>
      </c>
      <c r="T34" s="1184"/>
      <c r="U34" s="850"/>
      <c r="V34" s="1185" t="str">
        <f>IF(TITLE_DATE_PR_CHANGE="",IF(TITLE_DATE_PR="","",TITLE_DATE_PR),TITLE_DATE_PR_CHANGE)</f>
        <v/>
      </c>
      <c r="W34" s="1185"/>
      <c r="X34" s="1185"/>
      <c r="Y34" s="1185"/>
      <c r="Z34" s="1185"/>
      <c r="AA34" s="1185"/>
      <c r="AB34" s="1185"/>
      <c r="AD34" s="1185" t="str">
        <f>IF(TITLE_DATE_PR_CHANGE="",IF(TITLE_DATE_PR="","",TITLE_DATE_PR),TITLE_DATE_PR_CHANGE)</f>
        <v/>
      </c>
      <c r="AE34" s="1185"/>
      <c r="AF34" s="1185"/>
      <c r="AG34" s="1185"/>
      <c r="AH34" s="1185"/>
      <c r="AI34" s="1185"/>
      <c r="AJ34" s="1185"/>
      <c r="AS34" s="593">
        <v>0</v>
      </c>
    </row>
    <row r="35" spans="1:45" ht="18.75" hidden="1" customHeight="1">
      <c r="S35" s="1184" t="s">
        <v>434</v>
      </c>
      <c r="T35" s="1184"/>
      <c r="U35" s="850"/>
      <c r="V35" s="1186" t="str">
        <f>IF(TITLE_NUMBER_PR_CHANGE="",IF(TITLE_NUMBER_PR="","",TITLE_NUMBER_PR),TITLE_NUMBER_PR_CHANGE)</f>
        <v/>
      </c>
      <c r="W35" s="1186"/>
      <c r="X35" s="1186"/>
      <c r="Y35" s="1186"/>
      <c r="Z35" s="1186"/>
      <c r="AA35" s="1186"/>
      <c r="AB35" s="1186"/>
      <c r="AD35" s="1186" t="str">
        <f>IF(TITLE_NUMBER_PR_CHANGE="",IF(TITLE_NUMBER_PR="","",TITLE_NUMBER_PR),TITLE_NUMBER_PR_CHANGE)</f>
        <v/>
      </c>
      <c r="AE35" s="1186"/>
      <c r="AF35" s="1186"/>
      <c r="AG35" s="1186"/>
      <c r="AH35" s="1186"/>
      <c r="AI35" s="1186"/>
      <c r="AJ35" s="1186"/>
      <c r="AS35" s="593">
        <v>0</v>
      </c>
    </row>
    <row r="36" spans="1:45" ht="0" hidden="1" customHeight="1">
      <c r="AC36" s="578" t="s">
        <v>435</v>
      </c>
      <c r="AK36" s="578" t="s">
        <v>435</v>
      </c>
      <c r="AS36" s="593">
        <v>0</v>
      </c>
    </row>
    <row r="37" spans="1:45" ht="14.65" customHeight="1">
      <c r="Q37" s="757"/>
      <c r="R37" s="757"/>
      <c r="S37" s="848"/>
      <c r="T37" s="557"/>
      <c r="U37" s="851"/>
      <c r="V37" s="1204"/>
      <c r="W37" s="1204"/>
      <c r="X37" s="1204"/>
      <c r="Y37" s="1204"/>
      <c r="Z37" s="1204"/>
      <c r="AA37" s="1204"/>
      <c r="AB37" s="1204"/>
      <c r="AC37" s="1204"/>
      <c r="AD37" s="1204"/>
      <c r="AE37" s="1204"/>
      <c r="AF37" s="1204"/>
      <c r="AG37" s="1204"/>
      <c r="AH37" s="1204"/>
      <c r="AI37" s="1204"/>
      <c r="AJ37" s="1204"/>
      <c r="AK37" s="1204"/>
      <c r="AS37" s="539">
        <v>14</v>
      </c>
    </row>
    <row r="38" spans="1:45" ht="14.65" customHeight="1">
      <c r="Q38" s="757"/>
      <c r="R38" s="757"/>
      <c r="S38" s="1070" t="s">
        <v>308</v>
      </c>
      <c r="T38" s="1070"/>
      <c r="U38" s="1070"/>
      <c r="V38" s="1070"/>
      <c r="W38" s="1070"/>
      <c r="X38" s="1070"/>
      <c r="Y38" s="1070"/>
      <c r="Z38" s="1070"/>
      <c r="AA38" s="1070"/>
      <c r="AB38" s="1070"/>
      <c r="AC38" s="1070"/>
      <c r="AD38" s="1070"/>
      <c r="AE38" s="1070"/>
      <c r="AF38" s="1070"/>
      <c r="AG38" s="1070"/>
      <c r="AH38" s="1070"/>
      <c r="AI38" s="1070"/>
      <c r="AJ38" s="1070"/>
      <c r="AK38" s="1070"/>
      <c r="AL38" s="1070"/>
      <c r="AM38" s="1070" t="s">
        <v>309</v>
      </c>
      <c r="AS38" s="539">
        <v>14</v>
      </c>
    </row>
    <row r="39" spans="1:45" ht="14.65" customHeight="1">
      <c r="Q39" s="757"/>
      <c r="R39" s="757"/>
      <c r="S39" s="1205" t="s">
        <v>87</v>
      </c>
      <c r="T39" s="1155" t="s">
        <v>436</v>
      </c>
      <c r="U39" s="818"/>
      <c r="V39" s="1206" t="s">
        <v>437</v>
      </c>
      <c r="W39" s="1207"/>
      <c r="X39" s="1222"/>
      <c r="Y39" s="1222"/>
      <c r="Z39" s="1207"/>
      <c r="AA39" s="1207"/>
      <c r="AB39" s="1208"/>
      <c r="AC39" s="1209" t="s">
        <v>438</v>
      </c>
      <c r="AD39" s="1206" t="s">
        <v>437</v>
      </c>
      <c r="AE39" s="1207"/>
      <c r="AF39" s="1222"/>
      <c r="AG39" s="1222"/>
      <c r="AH39" s="1207"/>
      <c r="AI39" s="1207"/>
      <c r="AJ39" s="1208"/>
      <c r="AK39" s="1209" t="s">
        <v>439</v>
      </c>
      <c r="AL39" s="1212" t="s">
        <v>440</v>
      </c>
      <c r="AM39" s="1070"/>
      <c r="AS39" s="539">
        <v>14</v>
      </c>
    </row>
    <row r="40" spans="1:45" ht="24" customHeight="1">
      <c r="Q40" s="757"/>
      <c r="R40" s="757"/>
      <c r="S40" s="1205"/>
      <c r="T40" s="1155"/>
      <c r="U40" s="823"/>
      <c r="V40" s="1220" t="s">
        <v>441</v>
      </c>
      <c r="W40" s="1129" t="s">
        <v>442</v>
      </c>
      <c r="X40" s="635" t="s">
        <v>443</v>
      </c>
      <c r="Y40" s="635"/>
      <c r="Z40" s="1056" t="s">
        <v>444</v>
      </c>
      <c r="AA40" s="1056"/>
      <c r="AB40" s="1050"/>
      <c r="AC40" s="1210"/>
      <c r="AD40" s="1220" t="s">
        <v>441</v>
      </c>
      <c r="AE40" s="1129" t="s">
        <v>442</v>
      </c>
      <c r="AF40" s="635" t="s">
        <v>443</v>
      </c>
      <c r="AG40" s="635"/>
      <c r="AH40" s="1056" t="s">
        <v>444</v>
      </c>
      <c r="AI40" s="1056"/>
      <c r="AJ40" s="1050"/>
      <c r="AK40" s="1210"/>
      <c r="AL40" s="1213"/>
      <c r="AM40" s="1070"/>
      <c r="AS40" s="539">
        <v>23</v>
      </c>
    </row>
    <row r="41" spans="1:45" ht="24" customHeight="1">
      <c r="B41" s="599" t="s">
        <v>145</v>
      </c>
      <c r="C41" s="599" t="s">
        <v>146</v>
      </c>
      <c r="D41" s="599" t="s">
        <v>147</v>
      </c>
      <c r="E41" s="842" t="s">
        <v>445</v>
      </c>
      <c r="F41" s="842" t="s">
        <v>446</v>
      </c>
      <c r="G41" s="842" t="s">
        <v>447</v>
      </c>
      <c r="H41" s="842" t="s">
        <v>448</v>
      </c>
      <c r="I41" s="842" t="s">
        <v>449</v>
      </c>
      <c r="J41" s="842" t="s">
        <v>450</v>
      </c>
      <c r="K41" s="842" t="s">
        <v>451</v>
      </c>
      <c r="L41" s="842" t="s">
        <v>426</v>
      </c>
      <c r="Q41" s="757"/>
      <c r="R41" s="757"/>
      <c r="S41" s="1205"/>
      <c r="T41" s="1155"/>
      <c r="U41" s="853"/>
      <c r="V41" s="1221"/>
      <c r="W41" s="1134"/>
      <c r="X41" s="585" t="s">
        <v>452</v>
      </c>
      <c r="Y41" s="585" t="s">
        <v>453</v>
      </c>
      <c r="Z41" s="675" t="s">
        <v>454</v>
      </c>
      <c r="AA41" s="1160" t="s">
        <v>455</v>
      </c>
      <c r="AB41" s="1173"/>
      <c r="AC41" s="1211"/>
      <c r="AD41" s="1221"/>
      <c r="AE41" s="1134"/>
      <c r="AF41" s="585" t="s">
        <v>452</v>
      </c>
      <c r="AG41" s="585" t="s">
        <v>453</v>
      </c>
      <c r="AH41" s="675" t="s">
        <v>454</v>
      </c>
      <c r="AI41" s="1160" t="s">
        <v>455</v>
      </c>
      <c r="AJ41" s="1173"/>
      <c r="AK41" s="1211"/>
      <c r="AL41" s="1214"/>
      <c r="AM41" s="1070"/>
      <c r="AS41" s="601">
        <v>23</v>
      </c>
    </row>
    <row r="42" spans="1:45" ht="11.25" hidden="1" customHeight="1">
      <c r="Q42" s="854"/>
      <c r="R42" s="855">
        <v>1</v>
      </c>
      <c r="S42" s="330" t="s">
        <v>114</v>
      </c>
      <c r="T42" s="331" t="s">
        <v>102</v>
      </c>
      <c r="U42" s="856" t="str">
        <f ca="1">OFFSET(U42,0,-1)</f>
        <v>2</v>
      </c>
      <c r="V42" s="857">
        <f ca="1">OFFSET(V42,0,-1)+1</f>
        <v>3</v>
      </c>
      <c r="W42" s="857"/>
      <c r="X42" s="681">
        <f ca="1">OFFSET(X42,0,-1)+1</f>
        <v>1</v>
      </c>
      <c r="Y42" s="681">
        <f ca="1">OFFSET(Y42,0,-1)+1</f>
        <v>2</v>
      </c>
      <c r="Z42" s="857">
        <f ca="1">OFFSET(Z42,0,-1)+1</f>
        <v>3</v>
      </c>
      <c r="AA42" s="1203">
        <f ca="1">OFFSET(AA42,0,-1)+1</f>
        <v>4</v>
      </c>
      <c r="AB42" s="1203"/>
      <c r="AC42" s="857">
        <f ca="1">OFFSET(AC42,0,-2)+1</f>
        <v>5</v>
      </c>
      <c r="AD42" s="857">
        <f ca="1">OFFSET(AD42,0,-1)+1</f>
        <v>6</v>
      </c>
      <c r="AE42" s="857"/>
      <c r="AF42" s="681">
        <f ca="1">OFFSET(AF42,0,-1)+1</f>
        <v>1</v>
      </c>
      <c r="AG42" s="681">
        <f ca="1">OFFSET(AG42,0,-1)+1</f>
        <v>2</v>
      </c>
      <c r="AH42" s="857">
        <f ca="1">OFFSET(AH42,0,-1)+1</f>
        <v>3</v>
      </c>
      <c r="AI42" s="1203">
        <f ca="1">OFFSET(AI42,0,-1)+1</f>
        <v>4</v>
      </c>
      <c r="AJ42" s="1203"/>
      <c r="AK42" s="857">
        <f ca="1">OFFSET(AK42,0,-2)+1</f>
        <v>5</v>
      </c>
      <c r="AL42" s="856">
        <f ca="1">OFFSET(AL42,0,-1)</f>
        <v>5</v>
      </c>
      <c r="AM42" s="857">
        <f ca="1">OFFSET(AM42,0,-1)+1</f>
        <v>6</v>
      </c>
      <c r="AS42" s="682">
        <v>0</v>
      </c>
    </row>
    <row r="43" spans="1:45" ht="21.95" customHeight="1">
      <c r="A43" s="858" t="s">
        <v>202</v>
      </c>
      <c r="E43" s="1192">
        <v>1</v>
      </c>
      <c r="R43" s="311"/>
      <c r="S43" s="833">
        <f>INDEX(PT_DIFFERENTIATION_NUM_NTAR,MATCH(A43,PT_DIFFERENTIATION_NTAR_ID,0))</f>
        <v>0</v>
      </c>
      <c r="T43" s="796" t="s">
        <v>133</v>
      </c>
      <c r="U43" s="834"/>
      <c r="V43" s="1187"/>
      <c r="W43" s="1188"/>
      <c r="X43" s="1188"/>
      <c r="Y43" s="1188"/>
      <c r="Z43" s="1188"/>
      <c r="AA43" s="1188"/>
      <c r="AB43" s="1188"/>
      <c r="AC43" s="1189"/>
      <c r="AD43" s="1187" t="str">
        <f>INDEX(PT_DIFFERENTIATION_NTAR,MATCH(A43,PT_DIFFERENTIATION_NTAR_ID,0))</f>
        <v/>
      </c>
      <c r="AE43" s="1188"/>
      <c r="AF43" s="1188"/>
      <c r="AG43" s="1188"/>
      <c r="AH43" s="1188"/>
      <c r="AI43" s="1188"/>
      <c r="AJ43" s="1188"/>
      <c r="AK43" s="1188"/>
      <c r="AL43" s="1189"/>
      <c r="AM43" s="83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3" t="str">
        <f t="shared" ref="AP43:AP57" si="1">IF(T43="","",T43)</f>
        <v>Наименование тарифа</v>
      </c>
      <c r="AS43" s="539">
        <v>21</v>
      </c>
    </row>
    <row r="44" spans="1:45" ht="21.95" customHeight="1">
      <c r="A44" s="858" t="s">
        <v>202</v>
      </c>
      <c r="B44" s="858" t="s">
        <v>203</v>
      </c>
      <c r="E44" s="1193"/>
      <c r="F44" s="1192">
        <v>1</v>
      </c>
      <c r="Q44" s="837"/>
      <c r="R44" s="838"/>
      <c r="S44" s="833" t="str">
        <f>INDEX(PT_DIFFERENTIATION_NUM_TER,MATCH(B44,PT_DIFFERENTIATION_TER_ID,0))</f>
        <v>.</v>
      </c>
      <c r="T44" s="839" t="s">
        <v>405</v>
      </c>
      <c r="U44" s="834"/>
      <c r="V44" s="1187"/>
      <c r="W44" s="1188"/>
      <c r="X44" s="1188"/>
      <c r="Y44" s="1188"/>
      <c r="Z44" s="1188"/>
      <c r="AA44" s="1188"/>
      <c r="AB44" s="1188"/>
      <c r="AC44" s="1189"/>
      <c r="AD44" s="1187" t="str">
        <f>INDEX(PT_DIFFERENTIATION_TER,MATCH(B44,PT_DIFFERENTIATION_TER_ID,0))</f>
        <v/>
      </c>
      <c r="AE44" s="1188"/>
      <c r="AF44" s="1188"/>
      <c r="AG44" s="1188"/>
      <c r="AH44" s="1188"/>
      <c r="AI44" s="1188"/>
      <c r="AJ44" s="1188"/>
      <c r="AK44" s="1188"/>
      <c r="AL44" s="1189"/>
      <c r="AM44" s="836" t="s">
        <v>406</v>
      </c>
      <c r="AP44" s="583" t="str">
        <f t="shared" si="1"/>
        <v>Территория действия тарифа</v>
      </c>
      <c r="AS44" s="539">
        <v>21</v>
      </c>
    </row>
    <row r="45" spans="1:45" ht="24" customHeight="1">
      <c r="A45" s="858" t="s">
        <v>202</v>
      </c>
      <c r="B45" s="858" t="s">
        <v>203</v>
      </c>
      <c r="C45" s="858" t="s">
        <v>204</v>
      </c>
      <c r="E45" s="1193"/>
      <c r="F45" s="1193"/>
      <c r="G45" s="1192">
        <v>1</v>
      </c>
      <c r="Q45" s="837"/>
      <c r="R45" s="838"/>
      <c r="S45" s="833" t="str">
        <f>INDEX(PT_DIFFERENTIATION_NUM_CS,MATCH(C45,PT_DIFFERENTIATION_CS_ID,0))</f>
        <v>..</v>
      </c>
      <c r="T45" s="840" t="s">
        <v>407</v>
      </c>
      <c r="U45" s="834"/>
      <c r="V45" s="1187"/>
      <c r="W45" s="1188"/>
      <c r="X45" s="1188"/>
      <c r="Y45" s="1188"/>
      <c r="Z45" s="1188"/>
      <c r="AA45" s="1188"/>
      <c r="AB45" s="1188"/>
      <c r="AC45" s="1189"/>
      <c r="AD45" s="1187" t="str">
        <f>INDEX(PT_DIFFERENTIATION_CS,MATCH(C45,PT_DIFFERENTIATION_CS_ID,0))</f>
        <v/>
      </c>
      <c r="AE45" s="1188"/>
      <c r="AF45" s="1188"/>
      <c r="AG45" s="1188"/>
      <c r="AH45" s="1188"/>
      <c r="AI45" s="1188"/>
      <c r="AJ45" s="1188"/>
      <c r="AK45" s="1188"/>
      <c r="AL45" s="1189"/>
      <c r="AM45" s="836" t="s">
        <v>408</v>
      </c>
      <c r="AP45" s="583" t="str">
        <f t="shared" si="1"/>
        <v xml:space="preserve">Наименование системы теплоснабжения </v>
      </c>
      <c r="AS45" s="539">
        <v>23</v>
      </c>
    </row>
    <row r="46" spans="1:45" ht="21.95" customHeight="1">
      <c r="A46" s="858" t="s">
        <v>202</v>
      </c>
      <c r="B46" s="858" t="s">
        <v>203</v>
      </c>
      <c r="C46" s="858" t="s">
        <v>204</v>
      </c>
      <c r="D46" s="858" t="s">
        <v>205</v>
      </c>
      <c r="E46" s="1193"/>
      <c r="F46" s="1193"/>
      <c r="G46" s="1193"/>
      <c r="H46" s="1192">
        <v>1</v>
      </c>
      <c r="Q46" s="837"/>
      <c r="R46" s="838"/>
      <c r="S46" s="833" t="str">
        <f>INDEX(PT_DIFFERENTIATION_NUM_IST_TE,MATCH(D46,PT_DIFFERENTIATION_IST_TE_ID,0))</f>
        <v>...</v>
      </c>
      <c r="T46" s="841" t="s">
        <v>409</v>
      </c>
      <c r="U46" s="834"/>
      <c r="V46" s="1187"/>
      <c r="W46" s="1188"/>
      <c r="X46" s="1188"/>
      <c r="Y46" s="1188"/>
      <c r="Z46" s="1188"/>
      <c r="AA46" s="1188"/>
      <c r="AB46" s="1188"/>
      <c r="AC46" s="1189"/>
      <c r="AD46" s="1187" t="str">
        <f>INDEX(PT_DIFFERENTIATION_IST_TE,MATCH(D46,PT_DIFFERENTIATION_IST_TE_ID,0))</f>
        <v/>
      </c>
      <c r="AE46" s="1188"/>
      <c r="AF46" s="1188"/>
      <c r="AG46" s="1188"/>
      <c r="AH46" s="1188"/>
      <c r="AI46" s="1188"/>
      <c r="AJ46" s="1188"/>
      <c r="AK46" s="1188"/>
      <c r="AL46" s="1189"/>
      <c r="AM46" s="836" t="s">
        <v>410</v>
      </c>
      <c r="AP46" s="583" t="str">
        <f t="shared" si="1"/>
        <v xml:space="preserve">Источник тепловой энергии  </v>
      </c>
      <c r="AS46" s="539">
        <v>21</v>
      </c>
    </row>
    <row r="47" spans="1:45" ht="49.5" customHeight="1">
      <c r="A47" s="858" t="s">
        <v>202</v>
      </c>
      <c r="B47" s="858" t="s">
        <v>203</v>
      </c>
      <c r="C47" s="858" t="s">
        <v>204</v>
      </c>
      <c r="D47" s="858" t="s">
        <v>205</v>
      </c>
      <c r="E47" s="1193"/>
      <c r="F47" s="1193"/>
      <c r="G47" s="1193"/>
      <c r="H47" s="1193"/>
      <c r="I47" s="1194" t="str">
        <f>S46&amp;".1"</f>
        <v>....1</v>
      </c>
      <c r="L47" s="842" t="s">
        <v>411</v>
      </c>
      <c r="P47" s="1196">
        <v>1</v>
      </c>
      <c r="R47" s="843"/>
      <c r="S47" s="833" t="str">
        <f>$I47</f>
        <v>....1</v>
      </c>
      <c r="T47" s="844" t="s">
        <v>412</v>
      </c>
      <c r="U47" s="834"/>
      <c r="V47" s="1181"/>
      <c r="W47" s="1182"/>
      <c r="X47" s="1182"/>
      <c r="Y47" s="1182"/>
      <c r="Z47" s="1182"/>
      <c r="AA47" s="1182"/>
      <c r="AB47" s="1182"/>
      <c r="AC47" s="1183"/>
      <c r="AD47" s="1181"/>
      <c r="AE47" s="1182"/>
      <c r="AF47" s="1182"/>
      <c r="AG47" s="1182"/>
      <c r="AH47" s="1182"/>
      <c r="AI47" s="1182"/>
      <c r="AJ47" s="1182"/>
      <c r="AK47" s="1182"/>
      <c r="AL47" s="1183"/>
      <c r="AM47" s="836" t="s">
        <v>413</v>
      </c>
      <c r="AP47" s="583" t="str">
        <f t="shared" si="1"/>
        <v>Схема подключения теплопотребляющей установки к коллектору источника тепловой энергии</v>
      </c>
      <c r="AS47" s="539">
        <v>47</v>
      </c>
    </row>
    <row r="48" spans="1:45" ht="21.95" customHeight="1">
      <c r="A48" s="858" t="s">
        <v>202</v>
      </c>
      <c r="B48" s="858" t="s">
        <v>203</v>
      </c>
      <c r="C48" s="858" t="s">
        <v>204</v>
      </c>
      <c r="D48" s="858" t="s">
        <v>205</v>
      </c>
      <c r="E48" s="1193"/>
      <c r="F48" s="1193"/>
      <c r="G48" s="1193"/>
      <c r="H48" s="1193"/>
      <c r="I48" s="1195"/>
      <c r="J48" s="1194" t="str">
        <f>I47&amp;".1"</f>
        <v>....1.1</v>
      </c>
      <c r="L48" s="842" t="s">
        <v>414</v>
      </c>
      <c r="P48" s="1038"/>
      <c r="Q48" s="1196">
        <v>1</v>
      </c>
      <c r="R48" s="845"/>
      <c r="S48" s="833" t="str">
        <f>$J48</f>
        <v>....1.1</v>
      </c>
      <c r="T48" s="846" t="s">
        <v>415</v>
      </c>
      <c r="U48" s="834"/>
      <c r="V48" s="1181"/>
      <c r="W48" s="1182"/>
      <c r="X48" s="1182"/>
      <c r="Y48" s="1182"/>
      <c r="Z48" s="1182"/>
      <c r="AA48" s="1182"/>
      <c r="AB48" s="1182"/>
      <c r="AC48" s="1183"/>
      <c r="AD48" s="1181"/>
      <c r="AE48" s="1182"/>
      <c r="AF48" s="1182"/>
      <c r="AG48" s="1182"/>
      <c r="AH48" s="1182"/>
      <c r="AI48" s="1182"/>
      <c r="AJ48" s="1182"/>
      <c r="AK48" s="1182"/>
      <c r="AL48" s="1183"/>
      <c r="AM48" s="836" t="s">
        <v>416</v>
      </c>
      <c r="AP48" s="583" t="str">
        <f t="shared" si="1"/>
        <v>Группа потребителей</v>
      </c>
      <c r="AS48" s="539">
        <v>21</v>
      </c>
    </row>
    <row r="49" spans="1:45" ht="21.95" customHeight="1">
      <c r="A49" s="858" t="s">
        <v>202</v>
      </c>
      <c r="B49" s="858" t="s">
        <v>203</v>
      </c>
      <c r="C49" s="858" t="s">
        <v>204</v>
      </c>
      <c r="D49" s="858" t="s">
        <v>205</v>
      </c>
      <c r="E49" s="1193"/>
      <c r="F49" s="1193"/>
      <c r="G49" s="1193"/>
      <c r="H49" s="1193"/>
      <c r="I49" s="1195"/>
      <c r="J49" s="1195"/>
      <c r="K49" s="1194" t="str">
        <f>J48&amp;".1"</f>
        <v>....1.1.1</v>
      </c>
      <c r="L49" s="842" t="s">
        <v>417</v>
      </c>
      <c r="P49" s="1038"/>
      <c r="Q49" s="1038"/>
      <c r="R49" s="845">
        <v>1</v>
      </c>
      <c r="S49" s="833" t="str">
        <f>$K49</f>
        <v>....1.1.1</v>
      </c>
      <c r="T49" s="847"/>
      <c r="U49" s="834"/>
      <c r="V49" s="313"/>
      <c r="W49" s="312"/>
      <c r="X49" s="313"/>
      <c r="Y49" s="334"/>
      <c r="Z49" s="1197"/>
      <c r="AA49" s="1079" t="s">
        <v>61</v>
      </c>
      <c r="AB49" s="1197"/>
      <c r="AC49" s="1079" t="s">
        <v>61</v>
      </c>
      <c r="AD49" s="313"/>
      <c r="AE49" s="312"/>
      <c r="AF49" s="313"/>
      <c r="AG49" s="334"/>
      <c r="AH49" s="1197"/>
      <c r="AI49" s="1079" t="s">
        <v>61</v>
      </c>
      <c r="AJ49" s="1199"/>
      <c r="AK49" s="1079" t="s">
        <v>61</v>
      </c>
      <c r="AL49" s="332"/>
      <c r="AM49" s="1215" t="s">
        <v>418</v>
      </c>
      <c r="AN49" s="578" t="e">
        <f ca="1">STRCHECKDATE(V50:AL50)</f>
        <v>#NAME?</v>
      </c>
      <c r="AP49" s="583" t="str">
        <f t="shared" si="1"/>
        <v/>
      </c>
      <c r="AS49" s="539">
        <v>21</v>
      </c>
    </row>
    <row r="50" spans="1:45" ht="1.1499999999999999" customHeight="1">
      <c r="A50" s="858" t="s">
        <v>202</v>
      </c>
      <c r="B50" s="858" t="s">
        <v>203</v>
      </c>
      <c r="C50" s="858" t="s">
        <v>204</v>
      </c>
      <c r="D50" s="858" t="s">
        <v>205</v>
      </c>
      <c r="E50" s="1193"/>
      <c r="F50" s="1193"/>
      <c r="G50" s="1193"/>
      <c r="H50" s="1193"/>
      <c r="I50" s="1195"/>
      <c r="J50" s="1195"/>
      <c r="K50" s="1194"/>
      <c r="P50" s="1038"/>
      <c r="Q50" s="1038"/>
      <c r="R50" s="845"/>
      <c r="S50" s="127"/>
      <c r="T50" s="834"/>
      <c r="U50" s="834"/>
      <c r="V50" s="313"/>
      <c r="W50" s="313"/>
      <c r="X50" s="313"/>
      <c r="Y50" s="315" t="str">
        <f>Z49&amp;"-"&amp;AB49</f>
        <v>-</v>
      </c>
      <c r="Z50" s="1198"/>
      <c r="AA50" s="1079"/>
      <c r="AB50" s="1198"/>
      <c r="AC50" s="1079"/>
      <c r="AD50" s="313"/>
      <c r="AE50" s="313"/>
      <c r="AF50" s="313"/>
      <c r="AG50" s="315" t="str">
        <f>AH49&amp;"-"&amp;AJ49</f>
        <v>-</v>
      </c>
      <c r="AH50" s="1198"/>
      <c r="AI50" s="1079"/>
      <c r="AJ50" s="1200"/>
      <c r="AK50" s="1079"/>
      <c r="AL50" s="333"/>
      <c r="AM50" s="1216"/>
      <c r="AP50" s="583" t="str">
        <f t="shared" si="1"/>
        <v/>
      </c>
      <c r="AS50" s="539">
        <v>1</v>
      </c>
    </row>
    <row r="51" spans="1:45" ht="11.45" customHeight="1">
      <c r="A51" s="858" t="s">
        <v>202</v>
      </c>
      <c r="B51" s="858" t="s">
        <v>203</v>
      </c>
      <c r="C51" s="858" t="s">
        <v>204</v>
      </c>
      <c r="D51" s="858" t="s">
        <v>205</v>
      </c>
      <c r="E51" s="1193"/>
      <c r="F51" s="1193"/>
      <c r="G51" s="1193"/>
      <c r="H51" s="1193"/>
      <c r="I51" s="1195"/>
      <c r="J51" s="1194"/>
      <c r="P51" s="1038"/>
      <c r="Q51" s="1038"/>
      <c r="R51" s="843"/>
      <c r="S51" s="316"/>
      <c r="T51" s="317" t="s">
        <v>419</v>
      </c>
      <c r="U51" s="52"/>
      <c r="V51" s="52"/>
      <c r="W51" s="52"/>
      <c r="X51" s="52"/>
      <c r="Y51" s="52"/>
      <c r="Z51" s="52"/>
      <c r="AA51" s="52"/>
      <c r="AB51" s="52"/>
      <c r="AC51" s="52"/>
      <c r="AD51" s="52"/>
      <c r="AE51" s="52"/>
      <c r="AF51" s="52"/>
      <c r="AG51" s="52"/>
      <c r="AH51" s="52"/>
      <c r="AI51" s="52"/>
      <c r="AJ51" s="52"/>
      <c r="AK51" s="52"/>
      <c r="AL51" s="318"/>
      <c r="AM51" s="1217"/>
      <c r="AP51" s="583" t="str">
        <f t="shared" si="1"/>
        <v>Добавить вид теплоносителя (параметры теплоносителя)</v>
      </c>
      <c r="AS51" s="539">
        <v>11</v>
      </c>
    </row>
    <row r="52" spans="1:45" ht="11.45" customHeight="1">
      <c r="A52" s="858" t="s">
        <v>202</v>
      </c>
      <c r="B52" s="858" t="s">
        <v>203</v>
      </c>
      <c r="C52" s="858" t="s">
        <v>204</v>
      </c>
      <c r="D52" s="858" t="s">
        <v>205</v>
      </c>
      <c r="E52" s="1193"/>
      <c r="F52" s="1193"/>
      <c r="G52" s="1193"/>
      <c r="H52" s="1193"/>
      <c r="I52" s="1194"/>
      <c r="P52" s="1038"/>
      <c r="R52" s="843"/>
      <c r="S52" s="316"/>
      <c r="T52" s="319" t="s">
        <v>420</v>
      </c>
      <c r="U52" s="52"/>
      <c r="V52" s="52"/>
      <c r="W52" s="52"/>
      <c r="X52" s="52"/>
      <c r="Y52" s="52"/>
      <c r="Z52" s="52"/>
      <c r="AA52" s="52"/>
      <c r="AB52" s="52"/>
      <c r="AC52" s="320"/>
      <c r="AD52" s="52"/>
      <c r="AE52" s="52"/>
      <c r="AF52" s="52"/>
      <c r="AG52" s="52"/>
      <c r="AH52" s="52"/>
      <c r="AI52" s="52"/>
      <c r="AJ52" s="52"/>
      <c r="AK52" s="320"/>
      <c r="AL52" s="52"/>
      <c r="AM52" s="321"/>
      <c r="AP52" s="583" t="str">
        <f t="shared" si="1"/>
        <v>Добавить группу потребителей</v>
      </c>
      <c r="AS52" s="539">
        <v>11</v>
      </c>
    </row>
    <row r="53" spans="1:45" ht="14.65" customHeight="1">
      <c r="A53" s="858" t="s">
        <v>202</v>
      </c>
      <c r="B53" s="858" t="s">
        <v>203</v>
      </c>
      <c r="C53" s="858" t="s">
        <v>204</v>
      </c>
      <c r="D53" s="858" t="s">
        <v>205</v>
      </c>
      <c r="E53" s="1193"/>
      <c r="F53" s="1193"/>
      <c r="G53" s="1193"/>
      <c r="H53" s="1192"/>
      <c r="R53" s="311"/>
      <c r="S53" s="316"/>
      <c r="T53" s="322" t="s">
        <v>421</v>
      </c>
      <c r="U53" s="52"/>
      <c r="V53" s="52"/>
      <c r="W53" s="52"/>
      <c r="X53" s="52"/>
      <c r="Y53" s="52"/>
      <c r="Z53" s="52"/>
      <c r="AA53" s="52"/>
      <c r="AB53" s="52"/>
      <c r="AC53" s="320"/>
      <c r="AD53" s="52"/>
      <c r="AE53" s="52"/>
      <c r="AF53" s="52"/>
      <c r="AG53" s="52"/>
      <c r="AH53" s="52"/>
      <c r="AI53" s="52"/>
      <c r="AJ53" s="52"/>
      <c r="AK53" s="320"/>
      <c r="AL53" s="52"/>
      <c r="AM53" s="321"/>
      <c r="AP53" s="583" t="str">
        <f t="shared" si="1"/>
        <v>Добавить схему подключения</v>
      </c>
      <c r="AS53" s="539">
        <v>14</v>
      </c>
    </row>
    <row r="54" spans="1:45" ht="1.1499999999999999" customHeight="1">
      <c r="A54" s="575" t="s">
        <v>202</v>
      </c>
      <c r="B54" s="575" t="s">
        <v>203</v>
      </c>
      <c r="C54" s="575" t="s">
        <v>204</v>
      </c>
      <c r="E54" s="1193"/>
      <c r="F54" s="1193"/>
      <c r="G54" s="1192"/>
      <c r="T54" s="327" t="s">
        <v>422</v>
      </c>
      <c r="AP54" s="583" t="str">
        <f t="shared" si="1"/>
        <v>Добавить источник для дифференциации</v>
      </c>
      <c r="AS54" s="578">
        <v>1</v>
      </c>
    </row>
    <row r="55" spans="1:45" ht="1.1499999999999999" customHeight="1">
      <c r="A55" s="575" t="s">
        <v>202</v>
      </c>
      <c r="B55" s="575" t="s">
        <v>203</v>
      </c>
      <c r="E55" s="1193"/>
      <c r="F55" s="1192"/>
      <c r="T55" s="327" t="s">
        <v>423</v>
      </c>
      <c r="AP55" s="583" t="str">
        <f t="shared" si="1"/>
        <v>Добавить централизованную систему для дифференциации</v>
      </c>
      <c r="AS55" s="578">
        <v>1</v>
      </c>
    </row>
    <row r="56" spans="1:45" ht="1.1499999999999999" customHeight="1">
      <c r="A56" s="575" t="s">
        <v>202</v>
      </c>
      <c r="E56" s="1192"/>
      <c r="T56" s="327" t="s">
        <v>424</v>
      </c>
      <c r="AP56" s="583" t="str">
        <f t="shared" si="1"/>
        <v>Добавить территорию для дифференциации</v>
      </c>
      <c r="AS56" s="578">
        <v>1</v>
      </c>
    </row>
    <row r="57" spans="1:45" ht="1.1499999999999999" customHeight="1">
      <c r="T57" s="327" t="s">
        <v>456</v>
      </c>
      <c r="AP57" s="583" t="str">
        <f t="shared" si="1"/>
        <v>Добавить наименование тарифа</v>
      </c>
      <c r="AS57" s="578">
        <v>1</v>
      </c>
    </row>
    <row r="58" spans="1:45" ht="11.45" customHeight="1">
      <c r="AS58" s="539">
        <v>11</v>
      </c>
    </row>
    <row r="59" spans="1:45" ht="28.5" customHeight="1">
      <c r="T59" s="1038"/>
      <c r="U59" s="1038"/>
      <c r="V59" s="1038"/>
      <c r="W59" s="1038"/>
      <c r="X59" s="1038"/>
      <c r="Y59" s="1038"/>
      <c r="Z59" s="1038"/>
      <c r="AA59" s="1038"/>
      <c r="AB59" s="1038"/>
      <c r="AC59" s="1038"/>
      <c r="AD59" s="1038"/>
      <c r="AE59" s="1038"/>
      <c r="AF59" s="1038"/>
      <c r="AG59" s="1038"/>
      <c r="AH59" s="1038"/>
      <c r="AI59" s="1038"/>
      <c r="AJ59" s="1038"/>
      <c r="AK59" s="1038"/>
      <c r="AL59" s="1038"/>
      <c r="AM59" s="1038"/>
      <c r="AS59" s="539">
        <v>27</v>
      </c>
    </row>
    <row r="60" spans="1:45" ht="78.75" customHeight="1">
      <c r="T60" s="1038"/>
      <c r="U60" s="1038"/>
      <c r="V60" s="1038"/>
      <c r="W60" s="1038"/>
      <c r="X60" s="1038"/>
      <c r="Y60" s="1038"/>
      <c r="Z60" s="1038"/>
      <c r="AA60" s="1038"/>
      <c r="AB60" s="1038"/>
      <c r="AC60" s="1038"/>
      <c r="AD60" s="1038"/>
      <c r="AE60" s="1038"/>
      <c r="AF60" s="1038"/>
      <c r="AG60" s="1038"/>
      <c r="AH60" s="1038"/>
      <c r="AI60" s="1038"/>
      <c r="AJ60" s="1038"/>
      <c r="AK60" s="1038"/>
      <c r="AL60" s="1038"/>
      <c r="AM60" s="1038"/>
      <c r="AS60" s="539">
        <v>75</v>
      </c>
    </row>
    <row r="61" spans="1:45" ht="14.65" customHeight="1">
      <c r="AS61" s="539">
        <v>14</v>
      </c>
    </row>
    <row r="62" spans="1:45" ht="18.75" customHeight="1">
      <c r="T62" s="1038"/>
      <c r="U62" s="1038"/>
      <c r="V62" s="1038"/>
      <c r="W62" s="1038"/>
      <c r="X62" s="1038"/>
      <c r="Y62" s="1038"/>
      <c r="Z62" s="1038"/>
      <c r="AA62" s="1038"/>
      <c r="AB62" s="1038"/>
      <c r="AC62" s="1038"/>
      <c r="AD62" s="1038"/>
      <c r="AE62" s="1038"/>
      <c r="AF62" s="1038"/>
      <c r="AG62" s="1038"/>
      <c r="AH62" s="1038"/>
      <c r="AI62" s="1038"/>
      <c r="AJ62" s="1038"/>
      <c r="AK62" s="1038"/>
      <c r="AL62" s="1038"/>
      <c r="AM62" s="1038"/>
      <c r="AS62" s="539">
        <v>18</v>
      </c>
    </row>
    <row r="63" spans="1:45" ht="18.75" customHeight="1">
      <c r="T63" s="1038"/>
      <c r="U63" s="1038"/>
      <c r="V63" s="1038"/>
      <c r="W63" s="1038"/>
      <c r="X63" s="1038"/>
      <c r="Y63" s="1038"/>
      <c r="Z63" s="1038"/>
      <c r="AA63" s="1038"/>
      <c r="AB63" s="1038"/>
      <c r="AC63" s="1038"/>
      <c r="AD63" s="1038"/>
      <c r="AE63" s="1038"/>
      <c r="AF63" s="1038"/>
      <c r="AG63" s="1038"/>
      <c r="AH63" s="1038"/>
      <c r="AI63" s="1038"/>
      <c r="AJ63" s="1038"/>
      <c r="AK63" s="1038"/>
      <c r="AL63" s="1038"/>
      <c r="AM63" s="1038"/>
      <c r="AS63" s="539">
        <v>18</v>
      </c>
    </row>
    <row r="64" spans="1:45" ht="39.75" customHeight="1">
      <c r="T64" s="1038"/>
      <c r="U64" s="1038"/>
      <c r="V64" s="1038"/>
      <c r="W64" s="1038"/>
      <c r="X64" s="1038"/>
      <c r="Y64" s="1038"/>
      <c r="Z64" s="1038"/>
      <c r="AA64" s="1038"/>
      <c r="AB64" s="1038"/>
      <c r="AC64" s="1038"/>
      <c r="AD64" s="1038"/>
      <c r="AE64" s="1038"/>
      <c r="AF64" s="1038"/>
      <c r="AG64" s="1038"/>
      <c r="AH64" s="1038"/>
      <c r="AI64" s="1038"/>
      <c r="AJ64" s="1038"/>
      <c r="AK64" s="1038"/>
      <c r="AL64" s="1038"/>
      <c r="AM64" s="1038"/>
      <c r="AS64" s="539">
        <v>38</v>
      </c>
    </row>
    <row r="65" spans="1:45" ht="22.5" hidden="1" customHeight="1">
      <c r="A65" s="556" t="s">
        <v>81</v>
      </c>
      <c r="B65" s="556">
        <v>0</v>
      </c>
      <c r="C65" s="556">
        <v>0</v>
      </c>
      <c r="D65" s="556">
        <v>0</v>
      </c>
      <c r="E65" s="556">
        <v>0</v>
      </c>
      <c r="F65" s="556">
        <v>0</v>
      </c>
      <c r="G65" s="556">
        <v>0</v>
      </c>
      <c r="H65" s="556">
        <v>0</v>
      </c>
      <c r="I65" s="556">
        <v>0</v>
      </c>
      <c r="J65" s="556">
        <v>0</v>
      </c>
      <c r="K65" s="556">
        <v>0</v>
      </c>
      <c r="L65" s="668">
        <v>0</v>
      </c>
      <c r="M65" s="12">
        <v>0</v>
      </c>
      <c r="N65" s="12">
        <v>0</v>
      </c>
      <c r="O65" s="12">
        <v>0</v>
      </c>
      <c r="P65" s="301">
        <v>3</v>
      </c>
      <c r="Q65" s="822">
        <v>3</v>
      </c>
      <c r="R65" s="822">
        <v>3</v>
      </c>
      <c r="S65" s="554">
        <v>12</v>
      </c>
      <c r="T65" s="539">
        <v>31</v>
      </c>
      <c r="U65" s="539">
        <v>0</v>
      </c>
      <c r="V65" s="539">
        <v>0</v>
      </c>
      <c r="W65" s="539">
        <v>0</v>
      </c>
      <c r="X65" s="539">
        <v>0</v>
      </c>
      <c r="Y65" s="539">
        <v>0</v>
      </c>
      <c r="Z65" s="539">
        <v>0</v>
      </c>
      <c r="AA65" s="539">
        <v>0</v>
      </c>
      <c r="AB65" s="539">
        <v>0</v>
      </c>
      <c r="AC65" s="539">
        <v>0</v>
      </c>
      <c r="AD65" s="539">
        <v>0</v>
      </c>
      <c r="AE65" s="539">
        <v>24</v>
      </c>
      <c r="AF65" s="539">
        <v>0</v>
      </c>
      <c r="AG65" s="539">
        <v>0</v>
      </c>
      <c r="AH65" s="539">
        <v>11</v>
      </c>
      <c r="AI65" s="539">
        <v>3</v>
      </c>
      <c r="AJ65" s="539">
        <v>11</v>
      </c>
      <c r="AK65" s="539">
        <v>0</v>
      </c>
      <c r="AL65" s="539">
        <v>4</v>
      </c>
      <c r="AM65" s="539">
        <v>115</v>
      </c>
      <c r="AN65" s="578">
        <v>10</v>
      </c>
      <c r="AO65" s="578">
        <v>10</v>
      </c>
      <c r="AP65" s="578">
        <v>10</v>
      </c>
      <c r="AQ65" s="578">
        <v>10</v>
      </c>
      <c r="AR65" s="578">
        <v>10</v>
      </c>
      <c r="AS65" s="539">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6" width="3.7109375" style="1030" hidden="1" customWidth="1"/>
    <col min="17" max="18" width="3" style="1030" customWidth="1"/>
    <col min="19" max="19" width="12" style="1030" customWidth="1"/>
    <col min="20" max="20" width="31" style="1030" customWidth="1"/>
    <col min="21" max="21" width="0.140625" style="1030" customWidth="1"/>
    <col min="22" max="22" width="24.7109375" style="1030" hidden="1" customWidth="1"/>
    <col min="23" max="23" width="0.140625" style="1030" hidden="1" customWidth="1"/>
    <col min="24" max="25" width="24.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24.7109375" style="1030" customWidth="1"/>
    <col min="31" max="31" width="0.140625" style="1030" customWidth="1"/>
    <col min="32" max="33" width="24" style="1030" customWidth="1"/>
    <col min="34" max="34" width="11" style="1030" customWidth="1"/>
    <col min="35" max="35" width="3.7109375" style="1030" customWidth="1"/>
    <col min="36" max="36" width="11" style="1030" customWidth="1"/>
    <col min="37" max="37" width="8.5703125" style="1030" hidden="1" customWidth="1"/>
    <col min="38" max="38" width="4" style="1030" customWidth="1"/>
    <col min="39" max="39" width="115" style="1030" customWidth="1"/>
    <col min="40" max="44" width="10" style="1030" customWidth="1"/>
    <col min="45" max="45" width="8.42578125" style="1030" hidden="1" customWidth="1"/>
  </cols>
  <sheetData>
    <row r="1" spans="5:45" ht="22.5" hidden="1" customHeight="1">
      <c r="AS1" s="539" t="s">
        <v>14</v>
      </c>
    </row>
    <row r="2" spans="5:45" ht="21" hidden="1" customHeight="1">
      <c r="E2" s="1192">
        <v>1</v>
      </c>
      <c r="R2" s="311"/>
      <c r="S2" s="833" t="e">
        <f>INDEX(PT_DIFFERENTIATION_NUM_NTAR,MATCH(A2,PT_DIFFERENTIATION_NTAR_ID,0))</f>
        <v>#N/A</v>
      </c>
      <c r="T2" s="796" t="s">
        <v>133</v>
      </c>
      <c r="U2" s="834"/>
      <c r="V2" s="1187"/>
      <c r="W2" s="1188"/>
      <c r="X2" s="1188"/>
      <c r="Y2" s="1188"/>
      <c r="Z2" s="1188"/>
      <c r="AA2" s="1188"/>
      <c r="AB2" s="1188"/>
      <c r="AC2" s="1189"/>
      <c r="AD2" s="1187" t="e">
        <f>INDEX(PT_DIFFERENTIATION_NTAR,MATCH(A2,PT_DIFFERENTIATION_NTAR_ID,0))</f>
        <v>#N/A</v>
      </c>
      <c r="AE2" s="1188"/>
      <c r="AF2" s="1188"/>
      <c r="AG2" s="1188"/>
      <c r="AH2" s="1188"/>
      <c r="AI2" s="1188"/>
      <c r="AJ2" s="1188"/>
      <c r="AK2" s="1188"/>
      <c r="AL2" s="1189"/>
      <c r="AM2" s="836" t="s">
        <v>404</v>
      </c>
      <c r="AP2" s="583" t="str">
        <f t="shared" ref="AP2:AP15" si="0">IF(T2="","",T2)</f>
        <v>Наименование тарифа</v>
      </c>
      <c r="AS2" s="539">
        <v>0</v>
      </c>
    </row>
    <row r="3" spans="5:45" ht="21"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8"/>
      <c r="AC3" s="1189"/>
      <c r="AD3" s="1187" t="e">
        <f>INDEX(PT_DIFFERENTIATION_TER,MATCH(B3,PT_DIFFERENTIATION_TER_ID,0))</f>
        <v>#N/A</v>
      </c>
      <c r="AE3" s="1188"/>
      <c r="AF3" s="1188"/>
      <c r="AG3" s="1188"/>
      <c r="AH3" s="1188"/>
      <c r="AI3" s="1188"/>
      <c r="AJ3" s="1188"/>
      <c r="AK3" s="1188"/>
      <c r="AL3" s="1189"/>
      <c r="AM3" s="836" t="s">
        <v>406</v>
      </c>
      <c r="AP3" s="583" t="str">
        <f t="shared" si="0"/>
        <v>Территория действия тарифа</v>
      </c>
      <c r="AS3" s="539">
        <v>0</v>
      </c>
    </row>
    <row r="4" spans="5:45" ht="23.25" hidden="1" customHeight="1">
      <c r="E4" s="1193"/>
      <c r="F4" s="1193"/>
      <c r="G4" s="1192">
        <v>1</v>
      </c>
      <c r="Q4" s="837"/>
      <c r="R4" s="838"/>
      <c r="S4" s="833" t="e">
        <f>INDEX(PT_DIFFERENTIATION_NUM_CS,MATCH(C4,PT_DIFFERENTIATION_CS_ID,0))</f>
        <v>#N/A</v>
      </c>
      <c r="T4" s="840" t="s">
        <v>407</v>
      </c>
      <c r="U4" s="834"/>
      <c r="V4" s="1187"/>
      <c r="W4" s="1188"/>
      <c r="X4" s="1188"/>
      <c r="Y4" s="1188"/>
      <c r="Z4" s="1188"/>
      <c r="AA4" s="1188"/>
      <c r="AB4" s="1188"/>
      <c r="AC4" s="1189"/>
      <c r="AD4" s="1187" t="e">
        <f>INDEX(PT_DIFFERENTIATION_CS,MATCH(C4,PT_DIFFERENTIATION_CS_ID,0))</f>
        <v>#N/A</v>
      </c>
      <c r="AE4" s="1188"/>
      <c r="AF4" s="1188"/>
      <c r="AG4" s="1188"/>
      <c r="AH4" s="1188"/>
      <c r="AI4" s="1188"/>
      <c r="AJ4" s="1188"/>
      <c r="AK4" s="1188"/>
      <c r="AL4" s="1189"/>
      <c r="AM4" s="836" t="s">
        <v>408</v>
      </c>
      <c r="AP4" s="583" t="str">
        <f t="shared" si="0"/>
        <v xml:space="preserve">Наименование системы теплоснабжения </v>
      </c>
      <c r="AS4" s="539">
        <v>0</v>
      </c>
    </row>
    <row r="5" spans="5:45" ht="21" hidden="1" customHeight="1">
      <c r="E5" s="1193"/>
      <c r="F5" s="1193"/>
      <c r="G5" s="1193"/>
      <c r="H5" s="1192">
        <v>1</v>
      </c>
      <c r="Q5" s="837"/>
      <c r="R5" s="838"/>
      <c r="S5" s="833" t="e">
        <f>INDEX(PT_DIFFERENTIATION_NUM_IST_TE,MATCH(D5,PT_DIFFERENTIATION_IST_TE_ID,0))</f>
        <v>#N/A</v>
      </c>
      <c r="T5" s="841" t="s">
        <v>409</v>
      </c>
      <c r="U5" s="834"/>
      <c r="V5" s="1187"/>
      <c r="W5" s="1188"/>
      <c r="X5" s="1188"/>
      <c r="Y5" s="1188"/>
      <c r="Z5" s="1188"/>
      <c r="AA5" s="1188"/>
      <c r="AB5" s="1188"/>
      <c r="AC5" s="1189"/>
      <c r="AD5" s="1187" t="e">
        <f>INDEX(PT_DIFFERENTIATION_IST_TE,MATCH(D5,PT_DIFFERENTIATION_IST_TE_ID,0))</f>
        <v>#N/A</v>
      </c>
      <c r="AE5" s="1188"/>
      <c r="AF5" s="1188"/>
      <c r="AG5" s="1188"/>
      <c r="AH5" s="1188"/>
      <c r="AI5" s="1188"/>
      <c r="AJ5" s="1188"/>
      <c r="AK5" s="1188"/>
      <c r="AL5" s="1189"/>
      <c r="AM5" s="836" t="s">
        <v>410</v>
      </c>
      <c r="AP5" s="583" t="str">
        <f t="shared" si="0"/>
        <v xml:space="preserve">Источник тепловой энергии  </v>
      </c>
      <c r="AS5" s="539">
        <v>0</v>
      </c>
    </row>
    <row r="6" spans="5:45" ht="14.25" hidden="1" customHeight="1">
      <c r="E6" s="1193"/>
      <c r="F6" s="1193"/>
      <c r="G6" s="1193"/>
      <c r="H6" s="1193"/>
      <c r="I6" s="1194" t="e">
        <f>S5&amp;".1"</f>
        <v>#N/A</v>
      </c>
      <c r="L6" s="842" t="s">
        <v>411</v>
      </c>
      <c r="P6" s="1196">
        <v>1</v>
      </c>
      <c r="R6" s="843"/>
      <c r="S6" s="636"/>
      <c r="T6" s="860"/>
      <c r="U6" s="861"/>
      <c r="V6" s="1223"/>
      <c r="W6" s="1224"/>
      <c r="X6" s="1224"/>
      <c r="Y6" s="1224"/>
      <c r="Z6" s="1224"/>
      <c r="AA6" s="1224"/>
      <c r="AB6" s="1224"/>
      <c r="AC6" s="1225"/>
      <c r="AD6" s="1223"/>
      <c r="AE6" s="1224"/>
      <c r="AF6" s="1224"/>
      <c r="AG6" s="1224"/>
      <c r="AH6" s="1224"/>
      <c r="AI6" s="1224"/>
      <c r="AJ6" s="1224"/>
      <c r="AK6" s="1224"/>
      <c r="AL6" s="1225"/>
      <c r="AM6" s="863"/>
      <c r="AP6" s="583" t="str">
        <f t="shared" si="0"/>
        <v/>
      </c>
      <c r="AS6" s="539">
        <v>0</v>
      </c>
    </row>
    <row r="7" spans="5:45" ht="21" hidden="1" customHeight="1">
      <c r="E7" s="1193"/>
      <c r="F7" s="1193"/>
      <c r="G7" s="1193"/>
      <c r="H7" s="1193"/>
      <c r="I7" s="1195"/>
      <c r="J7" s="1194" t="e">
        <f>I6&amp;".1"</f>
        <v>#N/A</v>
      </c>
      <c r="L7" s="842" t="s">
        <v>414</v>
      </c>
      <c r="P7" s="1038"/>
      <c r="Q7" s="1196">
        <v>1</v>
      </c>
      <c r="R7" s="845"/>
      <c r="S7" s="833" t="e">
        <f>$J7</f>
        <v>#N/A</v>
      </c>
      <c r="T7" s="846" t="s">
        <v>415</v>
      </c>
      <c r="U7" s="834"/>
      <c r="V7" s="1181"/>
      <c r="W7" s="1182"/>
      <c r="X7" s="1182"/>
      <c r="Y7" s="1182"/>
      <c r="Z7" s="1182"/>
      <c r="AA7" s="1182"/>
      <c r="AB7" s="1182"/>
      <c r="AC7" s="1183"/>
      <c r="AD7" s="1181"/>
      <c r="AE7" s="1182"/>
      <c r="AF7" s="1182"/>
      <c r="AG7" s="1182"/>
      <c r="AH7" s="1182"/>
      <c r="AI7" s="1182"/>
      <c r="AJ7" s="1182"/>
      <c r="AK7" s="1182"/>
      <c r="AL7" s="1183"/>
      <c r="AM7" s="836" t="s">
        <v>416</v>
      </c>
      <c r="AP7" s="583" t="str">
        <f t="shared" si="0"/>
        <v>Группа потребителей</v>
      </c>
      <c r="AS7" s="539">
        <v>0</v>
      </c>
    </row>
    <row r="8" spans="5:45" ht="21" hidden="1" customHeight="1">
      <c r="E8" s="1193"/>
      <c r="F8" s="1193"/>
      <c r="G8" s="1193"/>
      <c r="H8" s="1193"/>
      <c r="I8" s="1195"/>
      <c r="J8" s="1195"/>
      <c r="K8" s="1194" t="e">
        <f>J7&amp;".1"</f>
        <v>#N/A</v>
      </c>
      <c r="L8" s="842" t="s">
        <v>417</v>
      </c>
      <c r="P8" s="1038"/>
      <c r="Q8" s="1038"/>
      <c r="R8" s="845">
        <v>1</v>
      </c>
      <c r="S8" s="833" t="e">
        <f>$K8</f>
        <v>#N/A</v>
      </c>
      <c r="T8" s="847"/>
      <c r="U8" s="834"/>
      <c r="V8" s="312"/>
      <c r="W8" s="313"/>
      <c r="X8" s="312"/>
      <c r="Y8" s="314"/>
      <c r="Z8" s="1197"/>
      <c r="AA8" s="1079" t="s">
        <v>61</v>
      </c>
      <c r="AB8" s="1197"/>
      <c r="AC8" s="1079" t="s">
        <v>61</v>
      </c>
      <c r="AD8" s="312"/>
      <c r="AE8" s="313"/>
      <c r="AF8" s="312"/>
      <c r="AG8" s="314"/>
      <c r="AH8" s="1197"/>
      <c r="AI8" s="1079" t="s">
        <v>61</v>
      </c>
      <c r="AJ8" s="1197"/>
      <c r="AK8" s="1079" t="s">
        <v>61</v>
      </c>
      <c r="AL8" s="313"/>
      <c r="AM8" s="1215" t="s">
        <v>418</v>
      </c>
      <c r="AN8" s="578" t="e">
        <f ca="1">STRCHECKDATE(V9:AL9)</f>
        <v>#NAME?</v>
      </c>
      <c r="AP8" s="583" t="str">
        <f t="shared" si="0"/>
        <v/>
      </c>
      <c r="AS8" s="539">
        <v>0</v>
      </c>
    </row>
    <row r="9" spans="5:45" ht="0.75" hidden="1" customHeight="1">
      <c r="E9" s="1193"/>
      <c r="F9" s="1193"/>
      <c r="G9" s="1193"/>
      <c r="H9" s="1193"/>
      <c r="I9" s="1195"/>
      <c r="J9" s="1195"/>
      <c r="K9" s="1194"/>
      <c r="P9" s="1038"/>
      <c r="Q9" s="1038"/>
      <c r="R9" s="845"/>
      <c r="S9" s="127"/>
      <c r="T9" s="834"/>
      <c r="U9" s="834"/>
      <c r="V9" s="313"/>
      <c r="W9" s="313"/>
      <c r="X9" s="313"/>
      <c r="Y9" s="315" t="str">
        <f>Z8&amp;"-"&amp;AB8</f>
        <v>-</v>
      </c>
      <c r="Z9" s="1198"/>
      <c r="AA9" s="1079"/>
      <c r="AB9" s="1198"/>
      <c r="AC9" s="1079"/>
      <c r="AD9" s="313"/>
      <c r="AE9" s="313"/>
      <c r="AF9" s="313"/>
      <c r="AG9" s="315" t="str">
        <f>AH8&amp;"-"&amp;AJ8</f>
        <v>-</v>
      </c>
      <c r="AH9" s="1198"/>
      <c r="AI9" s="1079"/>
      <c r="AJ9" s="1198"/>
      <c r="AK9" s="1079"/>
      <c r="AL9" s="313"/>
      <c r="AM9" s="1216"/>
      <c r="AP9" s="583" t="str">
        <f t="shared" si="0"/>
        <v/>
      </c>
      <c r="AS9" s="539">
        <v>0</v>
      </c>
    </row>
    <row r="10" spans="5:45" ht="15" hidden="1" customHeight="1">
      <c r="E10" s="1193"/>
      <c r="F10" s="1193"/>
      <c r="G10" s="1193"/>
      <c r="H10" s="1193"/>
      <c r="I10" s="1195"/>
      <c r="J10" s="1194"/>
      <c r="P10" s="1038"/>
      <c r="Q10" s="1038"/>
      <c r="R10" s="843"/>
      <c r="S10" s="316"/>
      <c r="T10" s="319" t="s">
        <v>419</v>
      </c>
      <c r="U10" s="52"/>
      <c r="V10" s="52"/>
      <c r="W10" s="52"/>
      <c r="X10" s="52"/>
      <c r="Y10" s="52"/>
      <c r="Z10" s="52"/>
      <c r="AA10" s="52"/>
      <c r="AB10" s="52"/>
      <c r="AC10" s="52"/>
      <c r="AD10" s="52"/>
      <c r="AE10" s="52"/>
      <c r="AF10" s="52"/>
      <c r="AG10" s="52"/>
      <c r="AH10" s="52"/>
      <c r="AI10" s="52"/>
      <c r="AJ10" s="52"/>
      <c r="AK10" s="52"/>
      <c r="AL10" s="318"/>
      <c r="AM10" s="1217"/>
      <c r="AP10" s="583" t="str">
        <f t="shared" si="0"/>
        <v>Добавить вид теплоносителя (параметры теплоносителя)</v>
      </c>
      <c r="AS10" s="539">
        <v>0</v>
      </c>
    </row>
    <row r="11" spans="5:45" ht="15" hidden="1" customHeight="1">
      <c r="E11" s="1193"/>
      <c r="F11" s="1193"/>
      <c r="G11" s="1193"/>
      <c r="H11" s="1193"/>
      <c r="I11" s="1194"/>
      <c r="P11" s="1038"/>
      <c r="R11" s="843"/>
      <c r="S11" s="316"/>
      <c r="T11" s="322" t="s">
        <v>420</v>
      </c>
      <c r="U11" s="52"/>
      <c r="V11" s="52"/>
      <c r="W11" s="52"/>
      <c r="X11" s="52"/>
      <c r="Y11" s="52"/>
      <c r="Z11" s="52"/>
      <c r="AA11" s="52"/>
      <c r="AB11" s="52"/>
      <c r="AC11" s="320"/>
      <c r="AD11" s="52"/>
      <c r="AE11" s="52"/>
      <c r="AF11" s="52"/>
      <c r="AG11" s="52"/>
      <c r="AH11" s="52"/>
      <c r="AI11" s="52"/>
      <c r="AJ11" s="52"/>
      <c r="AK11" s="320"/>
      <c r="AL11" s="52"/>
      <c r="AM11" s="321"/>
      <c r="AP11" s="583" t="str">
        <f t="shared" si="0"/>
        <v>Добавить группу потребителей</v>
      </c>
      <c r="AS11" s="539">
        <v>0</v>
      </c>
    </row>
    <row r="12" spans="5:45" ht="14.25" hidden="1" customHeight="1">
      <c r="E12" s="1193"/>
      <c r="F12" s="1193"/>
      <c r="G12" s="1193"/>
      <c r="H12" s="1192"/>
      <c r="R12" s="311"/>
      <c r="S12" s="335"/>
      <c r="T12" s="336"/>
      <c r="U12" s="337"/>
      <c r="V12" s="337"/>
      <c r="W12" s="337"/>
      <c r="X12" s="337"/>
      <c r="Y12" s="337"/>
      <c r="Z12" s="337"/>
      <c r="AA12" s="337"/>
      <c r="AB12" s="337"/>
      <c r="AC12" s="337"/>
      <c r="AD12" s="337"/>
      <c r="AE12" s="337"/>
      <c r="AF12" s="337"/>
      <c r="AG12" s="337"/>
      <c r="AH12" s="337"/>
      <c r="AI12" s="337"/>
      <c r="AJ12" s="337"/>
      <c r="AK12" s="337"/>
      <c r="AL12" s="337"/>
      <c r="AM12" s="338"/>
      <c r="AP12" s="583" t="str">
        <f t="shared" si="0"/>
        <v/>
      </c>
      <c r="AS12" s="539">
        <v>0</v>
      </c>
    </row>
    <row r="13" spans="5:45" ht="0.75" hidden="1" customHeight="1">
      <c r="E13" s="1193"/>
      <c r="F13" s="1193"/>
      <c r="G13" s="1192"/>
      <c r="S13" s="323"/>
      <c r="T13" s="324" t="s">
        <v>422</v>
      </c>
      <c r="U13" s="325"/>
      <c r="V13" s="325"/>
      <c r="W13" s="325"/>
      <c r="X13" s="325"/>
      <c r="Y13" s="325"/>
      <c r="Z13" s="325"/>
      <c r="AA13" s="325"/>
      <c r="AB13" s="325"/>
      <c r="AC13" s="325"/>
      <c r="AD13" s="325"/>
      <c r="AE13" s="325"/>
      <c r="AF13" s="325"/>
      <c r="AG13" s="325"/>
      <c r="AH13" s="325"/>
      <c r="AI13" s="325"/>
      <c r="AJ13" s="325"/>
      <c r="AK13" s="325"/>
      <c r="AL13" s="325"/>
      <c r="AM13" s="325"/>
      <c r="AP13" s="583" t="str">
        <f t="shared" si="0"/>
        <v>Добавить источник для дифференциации</v>
      </c>
      <c r="AS13" s="578">
        <v>0</v>
      </c>
    </row>
    <row r="14" spans="5:45" ht="0.75" hidden="1" customHeight="1">
      <c r="E14" s="1193"/>
      <c r="F14" s="1192"/>
      <c r="T14" s="326" t="s">
        <v>423</v>
      </c>
      <c r="AP14" s="583" t="str">
        <f t="shared" si="0"/>
        <v>Добавить централизованную систему для дифференциации</v>
      </c>
      <c r="AS14" s="578">
        <v>0</v>
      </c>
    </row>
    <row r="15" spans="5:45" ht="0.75" hidden="1" customHeight="1">
      <c r="E15" s="1192"/>
      <c r="T15" s="327" t="s">
        <v>424</v>
      </c>
      <c r="AP15" s="583" t="str">
        <f t="shared" si="0"/>
        <v>Добавить территорию для дифференциации</v>
      </c>
      <c r="AS15" s="578">
        <v>0</v>
      </c>
    </row>
    <row r="16" spans="5:45" ht="14.25" hidden="1" customHeight="1">
      <c r="AS16" s="539">
        <v>0</v>
      </c>
    </row>
    <row r="17" spans="15:45" ht="14.25" hidden="1" customHeight="1">
      <c r="AD17" s="276"/>
      <c r="AE17" s="276"/>
      <c r="AF17" s="276"/>
      <c r="AG17" s="328"/>
      <c r="AH17" s="1191"/>
      <c r="AI17" s="1190" t="s">
        <v>61</v>
      </c>
      <c r="AJ17" s="1191"/>
      <c r="AK17" s="1190" t="s">
        <v>61</v>
      </c>
      <c r="AS17" s="539">
        <v>0</v>
      </c>
    </row>
    <row r="18" spans="15:45" ht="14.25" hidden="1" customHeight="1">
      <c r="AD18" s="276"/>
      <c r="AE18" s="276"/>
      <c r="AF18" s="276"/>
      <c r="AG18" s="315" t="str">
        <f>AH17&amp;"-"&amp;AJ17</f>
        <v>-</v>
      </c>
      <c r="AH18" s="1190"/>
      <c r="AI18" s="1190"/>
      <c r="AJ18" s="1190"/>
      <c r="AK18" s="1190"/>
      <c r="AS18" s="539">
        <v>0</v>
      </c>
    </row>
    <row r="19" spans="15:45" ht="14.25" hidden="1" customHeight="1">
      <c r="AS19" s="539">
        <v>0</v>
      </c>
    </row>
    <row r="20" spans="15:45" ht="22.5" hidden="1" customHeight="1">
      <c r="O20" s="329" t="s">
        <v>425</v>
      </c>
      <c r="Z20" s="329"/>
      <c r="AB20" s="329"/>
      <c r="AH20" s="329"/>
      <c r="AJ20" s="329"/>
      <c r="AS20" s="556">
        <v>0</v>
      </c>
    </row>
    <row r="21" spans="15:45" ht="14.25" hidden="1" customHeight="1">
      <c r="AS21" s="556">
        <v>0</v>
      </c>
    </row>
    <row r="22" spans="15:45" ht="14.25" hidden="1" customHeight="1">
      <c r="O22" s="842" t="s">
        <v>426</v>
      </c>
      <c r="T22" s="556" t="s">
        <v>427</v>
      </c>
      <c r="AA22" s="599" t="s">
        <v>428</v>
      </c>
      <c r="AC22" s="599" t="s">
        <v>429</v>
      </c>
      <c r="AD22" s="556" t="s">
        <v>427</v>
      </c>
      <c r="AI22" s="599" t="s">
        <v>430</v>
      </c>
      <c r="AK22" s="599" t="s">
        <v>429</v>
      </c>
      <c r="AS22" s="556">
        <v>0</v>
      </c>
    </row>
    <row r="23" spans="15:45" ht="14.25" hidden="1" customHeight="1">
      <c r="AS23" s="539">
        <v>0</v>
      </c>
    </row>
    <row r="24" spans="15:45" ht="14.25" hidden="1" customHeight="1">
      <c r="AS24" s="539">
        <v>0</v>
      </c>
    </row>
    <row r="25" spans="15:45" ht="14.65" customHeight="1">
      <c r="Q25" s="757"/>
      <c r="R25" s="757"/>
      <c r="S25" s="848"/>
      <c r="T25" s="557"/>
      <c r="U25" s="557"/>
      <c r="AS25" s="539">
        <v>14</v>
      </c>
    </row>
    <row r="26" spans="15:45" ht="63" customHeight="1">
      <c r="Q26" s="757"/>
      <c r="R26" s="757"/>
      <c r="S26" s="1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74"/>
      <c r="U26" s="1174"/>
      <c r="V26" s="1174"/>
      <c r="W26" s="1174"/>
      <c r="X26" s="1174"/>
      <c r="Y26" s="1174"/>
      <c r="Z26" s="1174"/>
      <c r="AA26" s="1174"/>
      <c r="AB26" s="1174"/>
      <c r="AC26" s="1174"/>
      <c r="AD26" s="1174"/>
      <c r="AE26" s="1174"/>
      <c r="AF26" s="1174"/>
      <c r="AG26" s="1174"/>
      <c r="AH26" s="1174"/>
      <c r="AI26" s="1174"/>
      <c r="AJ26" s="1174"/>
      <c r="AS26" s="539">
        <v>60</v>
      </c>
    </row>
    <row r="27" spans="15:45" ht="14.65" customHeight="1">
      <c r="Q27" s="757"/>
      <c r="R27" s="757"/>
      <c r="S27" s="1148" t="str">
        <f>IF(org=0,"Не определено",org)</f>
        <v>АО "НИЖЕГОРОДСКИЙ ВОДОКАНАЛ"</v>
      </c>
      <c r="T27" s="1148"/>
      <c r="U27" s="1148"/>
      <c r="V27" s="1148"/>
      <c r="W27" s="1148"/>
      <c r="X27" s="1148"/>
      <c r="Y27" s="1148"/>
      <c r="Z27" s="1148"/>
      <c r="AA27" s="1148"/>
      <c r="AB27" s="1148"/>
      <c r="AC27" s="1148"/>
      <c r="AD27" s="1148"/>
      <c r="AE27" s="1148"/>
      <c r="AF27" s="1148"/>
      <c r="AG27" s="1148"/>
      <c r="AH27" s="1148"/>
      <c r="AI27" s="1148"/>
      <c r="AJ27" s="1148"/>
      <c r="AS27" s="539">
        <v>14</v>
      </c>
    </row>
    <row r="28" spans="15:45" ht="14.25" hidden="1" customHeight="1">
      <c r="Q28" s="757"/>
      <c r="R28" s="757"/>
      <c r="S28" s="848"/>
      <c r="T28" s="557"/>
      <c r="U28" s="557"/>
      <c r="V28" s="827"/>
      <c r="W28" s="827"/>
      <c r="X28" s="827"/>
      <c r="Y28" s="827"/>
      <c r="Z28" s="827"/>
      <c r="AA28" s="827"/>
      <c r="AB28" s="827"/>
      <c r="AC28" s="827"/>
      <c r="AD28" s="827"/>
      <c r="AE28" s="827"/>
      <c r="AF28" s="827"/>
      <c r="AG28" s="827"/>
      <c r="AH28" s="827"/>
      <c r="AI28" s="827"/>
      <c r="AJ28" s="827"/>
      <c r="AK28" s="827"/>
      <c r="AS28" s="539">
        <v>0</v>
      </c>
    </row>
    <row r="29" spans="15:45" ht="25.5" hidden="1" customHeight="1">
      <c r="S29" s="1184" t="s">
        <v>41</v>
      </c>
      <c r="T29" s="1184"/>
      <c r="U29" s="850"/>
      <c r="V29" s="1186" t="str">
        <f>IF(TITLE_NAME_OR_PR_CHANGE="",IF(TITLE_NAME_OR_PR="","",TITLE_NAME_OR_PR),TITLE_NAME_OR_PR_CHANGE)</f>
        <v/>
      </c>
      <c r="W29" s="1186"/>
      <c r="X29" s="1186"/>
      <c r="Y29" s="1186"/>
      <c r="Z29" s="1186"/>
      <c r="AA29" s="1186"/>
      <c r="AB29" s="1186"/>
      <c r="AD29" s="1186" t="str">
        <f>IF(TITLE_NAME_OR_PR_CHANGE="",IF(TITLE_NAME_OR_PR="","",TITLE_NAME_OR_PR),TITLE_NAME_OR_PR_CHANGE)</f>
        <v/>
      </c>
      <c r="AE29" s="1186"/>
      <c r="AF29" s="1186"/>
      <c r="AG29" s="1186"/>
      <c r="AH29" s="1186"/>
      <c r="AI29" s="1186"/>
      <c r="AJ29" s="1186"/>
      <c r="AS29" s="593">
        <v>0</v>
      </c>
    </row>
    <row r="30" spans="15:45" ht="18.75" hidden="1" customHeight="1">
      <c r="S30" s="1184" t="s">
        <v>431</v>
      </c>
      <c r="T30" s="1184"/>
      <c r="U30" s="850"/>
      <c r="V30" s="1185" t="str">
        <f>IF(TITLE_DATE_PR_CHANGE="",IF(TITLE_DATE_PR="","",TITLE_DATE_PR),TITLE_DATE_PR_CHANGE)</f>
        <v/>
      </c>
      <c r="W30" s="1185"/>
      <c r="X30" s="1185"/>
      <c r="Y30" s="1185"/>
      <c r="Z30" s="1185"/>
      <c r="AA30" s="1185"/>
      <c r="AB30" s="1185"/>
      <c r="AD30" s="1185" t="str">
        <f>IF(TITLE_DATE_PR_CHANGE="",IF(TITLE_DATE_PR="","",TITLE_DATE_PR),TITLE_DATE_PR_CHANGE)</f>
        <v/>
      </c>
      <c r="AE30" s="1185"/>
      <c r="AF30" s="1185"/>
      <c r="AG30" s="1185"/>
      <c r="AH30" s="1185"/>
      <c r="AI30" s="1185"/>
      <c r="AJ30" s="1185"/>
      <c r="AS30" s="593">
        <v>0</v>
      </c>
    </row>
    <row r="31" spans="15:45" ht="18.75" hidden="1" customHeight="1">
      <c r="S31" s="1184" t="s">
        <v>432</v>
      </c>
      <c r="T31" s="1184"/>
      <c r="U31" s="850"/>
      <c r="V31" s="1186" t="str">
        <f>IF(TITLE_NUMBER_PR_CHANGE="",IF(TITLE_NUMBER_PR="","",TITLE_NUMBER_PR),TITLE_NUMBER_PR_CHANGE)</f>
        <v/>
      </c>
      <c r="W31" s="1186"/>
      <c r="X31" s="1186"/>
      <c r="Y31" s="1186"/>
      <c r="Z31" s="1186"/>
      <c r="AA31" s="1186"/>
      <c r="AB31" s="1186"/>
      <c r="AD31" s="1186" t="str">
        <f>IF(TITLE_NUMBER_PR_CHANGE="",IF(TITLE_NUMBER_PR="","",TITLE_NUMBER_PR),TITLE_NUMBER_PR_CHANGE)</f>
        <v/>
      </c>
      <c r="AE31" s="1186"/>
      <c r="AF31" s="1186"/>
      <c r="AG31" s="1186"/>
      <c r="AH31" s="1186"/>
      <c r="AI31" s="1186"/>
      <c r="AJ31" s="1186"/>
      <c r="AS31" s="593">
        <v>0</v>
      </c>
    </row>
    <row r="32" spans="15:45" ht="18.75" hidden="1" customHeight="1">
      <c r="S32" s="1184" t="s">
        <v>42</v>
      </c>
      <c r="T32" s="1184"/>
      <c r="U32" s="850"/>
      <c r="V32" s="1186" t="str">
        <f>IF(TITLE_IST_PUB_CHANGE="",IF(TITLE_IST_PUB="","",TITLE_IST_PUB),TITLE_IST_PUB_CHANGE)</f>
        <v/>
      </c>
      <c r="W32" s="1186"/>
      <c r="X32" s="1186"/>
      <c r="Y32" s="1186"/>
      <c r="Z32" s="1186"/>
      <c r="AA32" s="1186"/>
      <c r="AB32" s="1186"/>
      <c r="AD32" s="1186" t="str">
        <f>IF(TITLE_IST_PUB_CHANGE="",IF(TITLE_IST_PUB="","",TITLE_IST_PUB),TITLE_IST_PUB_CHANGE)</f>
        <v/>
      </c>
      <c r="AE32" s="1186"/>
      <c r="AF32" s="1186"/>
      <c r="AG32" s="1186"/>
      <c r="AH32" s="1186"/>
      <c r="AI32" s="1186"/>
      <c r="AJ32" s="1186"/>
      <c r="AS32" s="593">
        <v>0</v>
      </c>
    </row>
    <row r="33" spans="1:45" ht="14.25" hidden="1" customHeight="1">
      <c r="Q33" s="757"/>
      <c r="R33" s="757"/>
      <c r="S33" s="848"/>
      <c r="T33" s="557"/>
      <c r="U33" s="557"/>
      <c r="V33" s="827"/>
      <c r="W33" s="827"/>
      <c r="X33" s="827"/>
      <c r="Y33" s="827"/>
      <c r="Z33" s="827"/>
      <c r="AA33" s="827"/>
      <c r="AB33" s="827"/>
      <c r="AC33" s="827"/>
      <c r="AD33" s="827"/>
      <c r="AE33" s="827"/>
      <c r="AF33" s="827"/>
      <c r="AG33" s="827"/>
      <c r="AH33" s="827"/>
      <c r="AI33" s="827"/>
      <c r="AJ33" s="827"/>
      <c r="AK33" s="827"/>
      <c r="AS33" s="539">
        <v>0</v>
      </c>
    </row>
    <row r="34" spans="1:45" ht="18.75" hidden="1" customHeight="1">
      <c r="S34" s="1184" t="s">
        <v>433</v>
      </c>
      <c r="T34" s="1184"/>
      <c r="U34" s="850"/>
      <c r="V34" s="1185" t="str">
        <f>IF(TITLE_DATE_PR_CHANGE="",IF(TITLE_DATE_PR="","",TITLE_DATE_PR),TITLE_DATE_PR_CHANGE)</f>
        <v/>
      </c>
      <c r="W34" s="1185"/>
      <c r="X34" s="1185"/>
      <c r="Y34" s="1185"/>
      <c r="Z34" s="1185"/>
      <c r="AA34" s="1185"/>
      <c r="AB34" s="1185"/>
      <c r="AD34" s="1185" t="str">
        <f>IF(TITLE_DATE_PR_CHANGE="",IF(TITLE_DATE_PR="","",TITLE_DATE_PR),TITLE_DATE_PR_CHANGE)</f>
        <v/>
      </c>
      <c r="AE34" s="1185"/>
      <c r="AF34" s="1185"/>
      <c r="AG34" s="1185"/>
      <c r="AH34" s="1185"/>
      <c r="AI34" s="1185"/>
      <c r="AJ34" s="1185"/>
      <c r="AS34" s="593">
        <v>0</v>
      </c>
    </row>
    <row r="35" spans="1:45" ht="18.75" hidden="1" customHeight="1">
      <c r="S35" s="1184" t="s">
        <v>434</v>
      </c>
      <c r="T35" s="1184"/>
      <c r="U35" s="850"/>
      <c r="V35" s="1186" t="str">
        <f>IF(TITLE_NUMBER_PR_CHANGE="",IF(TITLE_NUMBER_PR="","",TITLE_NUMBER_PR),TITLE_NUMBER_PR_CHANGE)</f>
        <v/>
      </c>
      <c r="W35" s="1186"/>
      <c r="X35" s="1186"/>
      <c r="Y35" s="1186"/>
      <c r="Z35" s="1186"/>
      <c r="AA35" s="1186"/>
      <c r="AB35" s="1186"/>
      <c r="AD35" s="1186" t="str">
        <f>IF(TITLE_NUMBER_PR_CHANGE="",IF(TITLE_NUMBER_PR="","",TITLE_NUMBER_PR),TITLE_NUMBER_PR_CHANGE)</f>
        <v/>
      </c>
      <c r="AE35" s="1186"/>
      <c r="AF35" s="1186"/>
      <c r="AG35" s="1186"/>
      <c r="AH35" s="1186"/>
      <c r="AI35" s="1186"/>
      <c r="AJ35" s="1186"/>
      <c r="AS35" s="593">
        <v>0</v>
      </c>
    </row>
    <row r="36" spans="1:45" ht="0" hidden="1" customHeight="1">
      <c r="AC36" s="578" t="s">
        <v>435</v>
      </c>
      <c r="AK36" s="578" t="s">
        <v>435</v>
      </c>
      <c r="AS36" s="593">
        <v>0</v>
      </c>
    </row>
    <row r="37" spans="1:45" ht="14.65" customHeight="1">
      <c r="Q37" s="757"/>
      <c r="R37" s="757"/>
      <c r="S37" s="848"/>
      <c r="T37" s="557"/>
      <c r="U37" s="851"/>
      <c r="V37" s="1204"/>
      <c r="W37" s="1204"/>
      <c r="X37" s="1204"/>
      <c r="Y37" s="1204"/>
      <c r="Z37" s="1204"/>
      <c r="AA37" s="1204"/>
      <c r="AB37" s="1204"/>
      <c r="AC37" s="1204"/>
      <c r="AD37" s="1204"/>
      <c r="AE37" s="1204"/>
      <c r="AF37" s="1204"/>
      <c r="AG37" s="1204"/>
      <c r="AH37" s="1204"/>
      <c r="AI37" s="1204"/>
      <c r="AJ37" s="1204"/>
      <c r="AK37" s="1204"/>
      <c r="AS37" s="539">
        <v>14</v>
      </c>
    </row>
    <row r="38" spans="1:45" ht="14.65" customHeight="1">
      <c r="Q38" s="757"/>
      <c r="R38" s="757"/>
      <c r="S38" s="1070" t="s">
        <v>308</v>
      </c>
      <c r="T38" s="1070"/>
      <c r="U38" s="1070"/>
      <c r="V38" s="1070"/>
      <c r="W38" s="1070"/>
      <c r="X38" s="1070"/>
      <c r="Y38" s="1070"/>
      <c r="Z38" s="1070"/>
      <c r="AA38" s="1070"/>
      <c r="AB38" s="1070"/>
      <c r="AC38" s="1070"/>
      <c r="AD38" s="1070"/>
      <c r="AE38" s="1070"/>
      <c r="AF38" s="1070"/>
      <c r="AG38" s="1070"/>
      <c r="AH38" s="1070"/>
      <c r="AI38" s="1070"/>
      <c r="AJ38" s="1070"/>
      <c r="AK38" s="1070"/>
      <c r="AL38" s="1070"/>
      <c r="AM38" s="1070" t="s">
        <v>309</v>
      </c>
      <c r="AS38" s="539">
        <v>14</v>
      </c>
    </row>
    <row r="39" spans="1:45" ht="14.65" customHeight="1">
      <c r="Q39" s="757"/>
      <c r="R39" s="757"/>
      <c r="S39" s="1205" t="s">
        <v>87</v>
      </c>
      <c r="T39" s="1155" t="s">
        <v>436</v>
      </c>
      <c r="U39" s="818"/>
      <c r="V39" s="1206" t="s">
        <v>437</v>
      </c>
      <c r="W39" s="1207"/>
      <c r="X39" s="1207"/>
      <c r="Y39" s="1207"/>
      <c r="Z39" s="1207"/>
      <c r="AA39" s="1207"/>
      <c r="AB39" s="1208"/>
      <c r="AC39" s="1209" t="s">
        <v>438</v>
      </c>
      <c r="AD39" s="1206" t="s">
        <v>437</v>
      </c>
      <c r="AE39" s="1207"/>
      <c r="AF39" s="1207"/>
      <c r="AG39" s="1207"/>
      <c r="AH39" s="1207"/>
      <c r="AI39" s="1207"/>
      <c r="AJ39" s="1208"/>
      <c r="AK39" s="1209" t="s">
        <v>439</v>
      </c>
      <c r="AL39" s="1212" t="s">
        <v>440</v>
      </c>
      <c r="AM39" s="1070"/>
      <c r="AS39" s="539">
        <v>14</v>
      </c>
    </row>
    <row r="40" spans="1:45" ht="35.65" customHeight="1">
      <c r="Q40" s="757"/>
      <c r="R40" s="757"/>
      <c r="S40" s="1205"/>
      <c r="T40" s="1155"/>
      <c r="U40" s="823"/>
      <c r="V40" s="1128" t="s">
        <v>441</v>
      </c>
      <c r="W40" s="1201"/>
      <c r="X40" s="1051" t="s">
        <v>443</v>
      </c>
      <c r="Y40" s="1050"/>
      <c r="Z40" s="1051" t="s">
        <v>444</v>
      </c>
      <c r="AA40" s="1056"/>
      <c r="AB40" s="1050"/>
      <c r="AC40" s="1210"/>
      <c r="AD40" s="1128" t="s">
        <v>458</v>
      </c>
      <c r="AE40" s="1201"/>
      <c r="AF40" s="1051" t="s">
        <v>443</v>
      </c>
      <c r="AG40" s="1050"/>
      <c r="AH40" s="1051" t="s">
        <v>444</v>
      </c>
      <c r="AI40" s="1056"/>
      <c r="AJ40" s="1050"/>
      <c r="AK40" s="1210"/>
      <c r="AL40" s="1213"/>
      <c r="AM40" s="1070"/>
      <c r="AS40" s="539">
        <v>34</v>
      </c>
    </row>
    <row r="41" spans="1:45" ht="35.65" customHeight="1">
      <c r="B41" s="599" t="s">
        <v>145</v>
      </c>
      <c r="C41" s="599" t="s">
        <v>146</v>
      </c>
      <c r="D41" s="599" t="s">
        <v>147</v>
      </c>
      <c r="E41" s="842" t="s">
        <v>445</v>
      </c>
      <c r="F41" s="842" t="s">
        <v>446</v>
      </c>
      <c r="G41" s="842" t="s">
        <v>447</v>
      </c>
      <c r="H41" s="842" t="s">
        <v>448</v>
      </c>
      <c r="I41" s="842" t="s">
        <v>449</v>
      </c>
      <c r="J41" s="842" t="s">
        <v>450</v>
      </c>
      <c r="K41" s="842" t="s">
        <v>451</v>
      </c>
      <c r="L41" s="842" t="s">
        <v>426</v>
      </c>
      <c r="Q41" s="757"/>
      <c r="R41" s="757"/>
      <c r="S41" s="1205"/>
      <c r="T41" s="1155"/>
      <c r="U41" s="853"/>
      <c r="V41" s="1179"/>
      <c r="W41" s="1202"/>
      <c r="X41" s="603" t="s">
        <v>452</v>
      </c>
      <c r="Y41" s="603" t="s">
        <v>453</v>
      </c>
      <c r="Z41" s="603" t="s">
        <v>454</v>
      </c>
      <c r="AA41" s="1160" t="s">
        <v>455</v>
      </c>
      <c r="AB41" s="1173"/>
      <c r="AC41" s="1211"/>
      <c r="AD41" s="1179"/>
      <c r="AE41" s="1202"/>
      <c r="AF41" s="603" t="s">
        <v>452</v>
      </c>
      <c r="AG41" s="603" t="s">
        <v>453</v>
      </c>
      <c r="AH41" s="603" t="s">
        <v>454</v>
      </c>
      <c r="AI41" s="1160" t="s">
        <v>455</v>
      </c>
      <c r="AJ41" s="1173"/>
      <c r="AK41" s="1211"/>
      <c r="AL41" s="1214"/>
      <c r="AM41" s="1070"/>
      <c r="AS41" s="539">
        <v>34</v>
      </c>
    </row>
    <row r="42" spans="1:45" ht="11.25" hidden="1" customHeight="1">
      <c r="Q42" s="854"/>
      <c r="R42" s="855">
        <v>1</v>
      </c>
      <c r="S42" s="330" t="s">
        <v>114</v>
      </c>
      <c r="T42" s="331" t="s">
        <v>102</v>
      </c>
      <c r="U42" s="856" t="str">
        <f ca="1">OFFSET(U42,0,-1)</f>
        <v>2</v>
      </c>
      <c r="V42" s="857">
        <f ca="1">OFFSET(V42,0,-1)+1</f>
        <v>3</v>
      </c>
      <c r="W42" s="857"/>
      <c r="X42" s="857">
        <f ca="1">OFFSET(X42,0,-1)+1</f>
        <v>1</v>
      </c>
      <c r="Y42" s="857">
        <f ca="1">OFFSET(Y42,0,-1)+1</f>
        <v>2</v>
      </c>
      <c r="Z42" s="857">
        <f ca="1">OFFSET(Z42,0,-1)+1</f>
        <v>3</v>
      </c>
      <c r="AA42" s="1203">
        <f ca="1">OFFSET(AA42,0,-1)+1</f>
        <v>4</v>
      </c>
      <c r="AB42" s="1203"/>
      <c r="AC42" s="857">
        <f ca="1">OFFSET(AC42,0,-2)+1</f>
        <v>5</v>
      </c>
      <c r="AD42" s="857">
        <f ca="1">OFFSET(AD42,0,-1)+1</f>
        <v>6</v>
      </c>
      <c r="AE42" s="857"/>
      <c r="AF42" s="857">
        <f ca="1">OFFSET(AF42,0,-1)+1</f>
        <v>1</v>
      </c>
      <c r="AG42" s="857">
        <f ca="1">OFFSET(AG42,0,-1)+1</f>
        <v>2</v>
      </c>
      <c r="AH42" s="857">
        <f ca="1">OFFSET(AH42,0,-1)+1</f>
        <v>3</v>
      </c>
      <c r="AI42" s="1203">
        <f ca="1">OFFSET(AI42,0,-1)+1</f>
        <v>4</v>
      </c>
      <c r="AJ42" s="1203"/>
      <c r="AK42" s="857">
        <f ca="1">OFFSET(AK42,0,-2)+1</f>
        <v>5</v>
      </c>
      <c r="AL42" s="856">
        <f ca="1">OFFSET(AL42,0,-1)</f>
        <v>5</v>
      </c>
      <c r="AM42" s="857">
        <f ca="1">OFFSET(AM42,0,-1)+1</f>
        <v>6</v>
      </c>
      <c r="AS42" s="682">
        <v>0</v>
      </c>
    </row>
    <row r="43" spans="1:45" ht="21.95" customHeight="1">
      <c r="A43" s="858" t="s">
        <v>178</v>
      </c>
      <c r="E43" s="1192">
        <v>1</v>
      </c>
      <c r="R43" s="311"/>
      <c r="S43" s="833">
        <f>INDEX(PT_DIFFERENTIATION_NUM_NTAR,MATCH(A43,PT_DIFFERENTIATION_NTAR_ID,0))</f>
        <v>0</v>
      </c>
      <c r="T43" s="796" t="s">
        <v>133</v>
      </c>
      <c r="U43" s="834"/>
      <c r="V43" s="1187"/>
      <c r="W43" s="1188"/>
      <c r="X43" s="1188"/>
      <c r="Y43" s="1188"/>
      <c r="Z43" s="1188"/>
      <c r="AA43" s="1188"/>
      <c r="AB43" s="1188"/>
      <c r="AC43" s="1189"/>
      <c r="AD43" s="1187" t="str">
        <f>INDEX(PT_DIFFERENTIATION_NTAR,MATCH(A43,PT_DIFFERENTIATION_NTAR_ID,0))</f>
        <v/>
      </c>
      <c r="AE43" s="1188"/>
      <c r="AF43" s="1188"/>
      <c r="AG43" s="1188"/>
      <c r="AH43" s="1188"/>
      <c r="AI43" s="1188"/>
      <c r="AJ43" s="1188"/>
      <c r="AK43" s="1188"/>
      <c r="AL43" s="1189"/>
      <c r="AM43" s="83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3" t="str">
        <f t="shared" ref="AP43:AP57" si="1">IF(T43="","",T43)</f>
        <v>Наименование тарифа</v>
      </c>
      <c r="AS43" s="539">
        <v>21</v>
      </c>
    </row>
    <row r="44" spans="1:45" ht="21.95" customHeight="1">
      <c r="A44" s="858" t="s">
        <v>178</v>
      </c>
      <c r="B44" s="858" t="s">
        <v>179</v>
      </c>
      <c r="E44" s="1193"/>
      <c r="F44" s="1192">
        <v>1</v>
      </c>
      <c r="Q44" s="837"/>
      <c r="R44" s="838"/>
      <c r="S44" s="833" t="str">
        <f>INDEX(PT_DIFFERENTIATION_NUM_TER,MATCH(B44,PT_DIFFERENTIATION_TER_ID,0))</f>
        <v>.</v>
      </c>
      <c r="T44" s="839" t="s">
        <v>405</v>
      </c>
      <c r="U44" s="834"/>
      <c r="V44" s="1187"/>
      <c r="W44" s="1188"/>
      <c r="X44" s="1188"/>
      <c r="Y44" s="1188"/>
      <c r="Z44" s="1188"/>
      <c r="AA44" s="1188"/>
      <c r="AB44" s="1188"/>
      <c r="AC44" s="1189"/>
      <c r="AD44" s="1187" t="str">
        <f>INDEX(PT_DIFFERENTIATION_TER,MATCH(B44,PT_DIFFERENTIATION_TER_ID,0))</f>
        <v/>
      </c>
      <c r="AE44" s="1188"/>
      <c r="AF44" s="1188"/>
      <c r="AG44" s="1188"/>
      <c r="AH44" s="1188"/>
      <c r="AI44" s="1188"/>
      <c r="AJ44" s="1188"/>
      <c r="AK44" s="1188"/>
      <c r="AL44" s="1189"/>
      <c r="AM44" s="836" t="s">
        <v>406</v>
      </c>
      <c r="AP44" s="583" t="str">
        <f t="shared" si="1"/>
        <v>Территория действия тарифа</v>
      </c>
      <c r="AS44" s="539">
        <v>21</v>
      </c>
    </row>
    <row r="45" spans="1:45" ht="24" customHeight="1">
      <c r="A45" s="858" t="s">
        <v>178</v>
      </c>
      <c r="B45" s="858" t="s">
        <v>179</v>
      </c>
      <c r="C45" s="858" t="s">
        <v>180</v>
      </c>
      <c r="E45" s="1193"/>
      <c r="F45" s="1193"/>
      <c r="G45" s="1192">
        <v>1</v>
      </c>
      <c r="Q45" s="837"/>
      <c r="R45" s="838"/>
      <c r="S45" s="833" t="str">
        <f>INDEX(PT_DIFFERENTIATION_NUM_CS,MATCH(C45,PT_DIFFERENTIATION_CS_ID,0))</f>
        <v>..</v>
      </c>
      <c r="T45" s="840" t="s">
        <v>407</v>
      </c>
      <c r="U45" s="834"/>
      <c r="V45" s="1187"/>
      <c r="W45" s="1188"/>
      <c r="X45" s="1188"/>
      <c r="Y45" s="1188"/>
      <c r="Z45" s="1188"/>
      <c r="AA45" s="1188"/>
      <c r="AB45" s="1188"/>
      <c r="AC45" s="1189"/>
      <c r="AD45" s="1187" t="str">
        <f>INDEX(PT_DIFFERENTIATION_CS,MATCH(C45,PT_DIFFERENTIATION_CS_ID,0))</f>
        <v/>
      </c>
      <c r="AE45" s="1188"/>
      <c r="AF45" s="1188"/>
      <c r="AG45" s="1188"/>
      <c r="AH45" s="1188"/>
      <c r="AI45" s="1188"/>
      <c r="AJ45" s="1188"/>
      <c r="AK45" s="1188"/>
      <c r="AL45" s="1189"/>
      <c r="AM45" s="836" t="s">
        <v>408</v>
      </c>
      <c r="AP45" s="583" t="str">
        <f t="shared" si="1"/>
        <v xml:space="preserve">Наименование системы теплоснабжения </v>
      </c>
      <c r="AS45" s="539">
        <v>23</v>
      </c>
    </row>
    <row r="46" spans="1:45" ht="21.95" customHeight="1">
      <c r="A46" s="858" t="s">
        <v>178</v>
      </c>
      <c r="B46" s="858" t="s">
        <v>179</v>
      </c>
      <c r="C46" s="858" t="s">
        <v>180</v>
      </c>
      <c r="D46" s="858" t="s">
        <v>181</v>
      </c>
      <c r="E46" s="1193"/>
      <c r="F46" s="1193"/>
      <c r="G46" s="1193"/>
      <c r="H46" s="1192">
        <v>1</v>
      </c>
      <c r="Q46" s="837"/>
      <c r="R46" s="838"/>
      <c r="S46" s="833" t="str">
        <f>INDEX(PT_DIFFERENTIATION_NUM_IST_TE,MATCH(D46,PT_DIFFERENTIATION_IST_TE_ID,0))</f>
        <v>...</v>
      </c>
      <c r="T46" s="841" t="s">
        <v>409</v>
      </c>
      <c r="U46" s="834"/>
      <c r="V46" s="1187"/>
      <c r="W46" s="1188"/>
      <c r="X46" s="1188"/>
      <c r="Y46" s="1188"/>
      <c r="Z46" s="1188"/>
      <c r="AA46" s="1188"/>
      <c r="AB46" s="1188"/>
      <c r="AC46" s="1189"/>
      <c r="AD46" s="1187" t="str">
        <f>INDEX(PT_DIFFERENTIATION_IST_TE,MATCH(D46,PT_DIFFERENTIATION_IST_TE_ID,0))</f>
        <v/>
      </c>
      <c r="AE46" s="1188"/>
      <c r="AF46" s="1188"/>
      <c r="AG46" s="1188"/>
      <c r="AH46" s="1188"/>
      <c r="AI46" s="1188"/>
      <c r="AJ46" s="1188"/>
      <c r="AK46" s="1188"/>
      <c r="AL46" s="1189"/>
      <c r="AM46" s="836" t="s">
        <v>410</v>
      </c>
      <c r="AP46" s="583" t="str">
        <f t="shared" si="1"/>
        <v xml:space="preserve">Источник тепловой энергии  </v>
      </c>
      <c r="AS46" s="539">
        <v>21</v>
      </c>
    </row>
    <row r="47" spans="1:45" ht="0" hidden="1" customHeight="1">
      <c r="A47" s="575" t="s">
        <v>178</v>
      </c>
      <c r="B47" s="575" t="s">
        <v>179</v>
      </c>
      <c r="C47" s="575" t="s">
        <v>180</v>
      </c>
      <c r="D47" s="575" t="s">
        <v>181</v>
      </c>
      <c r="E47" s="1193"/>
      <c r="F47" s="1193"/>
      <c r="G47" s="1193"/>
      <c r="H47" s="1193"/>
      <c r="I47" s="1194" t="str">
        <f>S46&amp;".1"</f>
        <v>....1</v>
      </c>
      <c r="L47" s="864" t="s">
        <v>411</v>
      </c>
      <c r="P47" s="1196">
        <v>1</v>
      </c>
      <c r="R47" s="843"/>
      <c r="S47" s="636"/>
      <c r="T47" s="860"/>
      <c r="U47" s="861"/>
      <c r="V47" s="1223"/>
      <c r="W47" s="1224"/>
      <c r="X47" s="1224"/>
      <c r="Y47" s="1224"/>
      <c r="Z47" s="1224"/>
      <c r="AA47" s="1224"/>
      <c r="AB47" s="1224"/>
      <c r="AC47" s="1225"/>
      <c r="AD47" s="1223"/>
      <c r="AE47" s="1224"/>
      <c r="AF47" s="1224"/>
      <c r="AG47" s="1224"/>
      <c r="AH47" s="1224"/>
      <c r="AI47" s="1224"/>
      <c r="AJ47" s="1224"/>
      <c r="AK47" s="1224"/>
      <c r="AL47" s="1225"/>
      <c r="AM47" s="863"/>
      <c r="AP47" s="583" t="str">
        <f t="shared" si="1"/>
        <v/>
      </c>
      <c r="AS47" s="578">
        <v>0</v>
      </c>
    </row>
    <row r="48" spans="1:45" ht="21.95" customHeight="1">
      <c r="A48" s="858" t="s">
        <v>178</v>
      </c>
      <c r="B48" s="858" t="s">
        <v>179</v>
      </c>
      <c r="C48" s="858" t="s">
        <v>180</v>
      </c>
      <c r="D48" s="858" t="s">
        <v>181</v>
      </c>
      <c r="E48" s="1193"/>
      <c r="F48" s="1193"/>
      <c r="G48" s="1193"/>
      <c r="H48" s="1193"/>
      <c r="I48" s="1195"/>
      <c r="J48" s="1194" t="str">
        <f>S46&amp;".1"</f>
        <v>....1</v>
      </c>
      <c r="L48" s="842" t="s">
        <v>414</v>
      </c>
      <c r="P48" s="1038"/>
      <c r="Q48" s="1196">
        <v>1</v>
      </c>
      <c r="R48" s="845"/>
      <c r="S48" s="833" t="str">
        <f>$J48</f>
        <v>....1</v>
      </c>
      <c r="T48" s="846" t="s">
        <v>415</v>
      </c>
      <c r="U48" s="834"/>
      <c r="V48" s="1181"/>
      <c r="W48" s="1182"/>
      <c r="X48" s="1182"/>
      <c r="Y48" s="1182"/>
      <c r="Z48" s="1182"/>
      <c r="AA48" s="1182"/>
      <c r="AB48" s="1182"/>
      <c r="AC48" s="1183"/>
      <c r="AD48" s="1181"/>
      <c r="AE48" s="1182"/>
      <c r="AF48" s="1182"/>
      <c r="AG48" s="1182"/>
      <c r="AH48" s="1182"/>
      <c r="AI48" s="1182"/>
      <c r="AJ48" s="1182"/>
      <c r="AK48" s="1182"/>
      <c r="AL48" s="1183"/>
      <c r="AM48" s="836" t="s">
        <v>416</v>
      </c>
      <c r="AP48" s="583" t="str">
        <f t="shared" si="1"/>
        <v>Группа потребителей</v>
      </c>
      <c r="AS48" s="539">
        <v>21</v>
      </c>
    </row>
    <row r="49" spans="1:45" ht="21.95" customHeight="1">
      <c r="A49" s="858" t="s">
        <v>178</v>
      </c>
      <c r="B49" s="858" t="s">
        <v>179</v>
      </c>
      <c r="C49" s="858" t="s">
        <v>180</v>
      </c>
      <c r="D49" s="858" t="s">
        <v>181</v>
      </c>
      <c r="E49" s="1193"/>
      <c r="F49" s="1193"/>
      <c r="G49" s="1193"/>
      <c r="H49" s="1193"/>
      <c r="I49" s="1195"/>
      <c r="J49" s="1195"/>
      <c r="K49" s="1194" t="str">
        <f>J48&amp;".1"</f>
        <v>....1.1</v>
      </c>
      <c r="L49" s="842" t="s">
        <v>417</v>
      </c>
      <c r="P49" s="1038"/>
      <c r="Q49" s="1038"/>
      <c r="R49" s="845">
        <v>1</v>
      </c>
      <c r="S49" s="833" t="str">
        <f>$K49</f>
        <v>....1.1</v>
      </c>
      <c r="T49" s="847"/>
      <c r="U49" s="834"/>
      <c r="V49" s="312"/>
      <c r="W49" s="313"/>
      <c r="X49" s="312"/>
      <c r="Y49" s="314"/>
      <c r="Z49" s="1197"/>
      <c r="AA49" s="1079" t="s">
        <v>61</v>
      </c>
      <c r="AB49" s="1197"/>
      <c r="AC49" s="1079" t="s">
        <v>61</v>
      </c>
      <c r="AD49" s="312"/>
      <c r="AE49" s="313"/>
      <c r="AF49" s="312"/>
      <c r="AG49" s="314"/>
      <c r="AH49" s="1197"/>
      <c r="AI49" s="1079" t="s">
        <v>61</v>
      </c>
      <c r="AJ49" s="1199"/>
      <c r="AK49" s="1079" t="s">
        <v>61</v>
      </c>
      <c r="AL49" s="332"/>
      <c r="AM49" s="1215" t="s">
        <v>459</v>
      </c>
      <c r="AN49" s="578" t="e">
        <f ca="1">STRCHECKDATE(V50:AL50)</f>
        <v>#NAME?</v>
      </c>
      <c r="AP49" s="583" t="str">
        <f t="shared" si="1"/>
        <v/>
      </c>
      <c r="AS49" s="539">
        <v>21</v>
      </c>
    </row>
    <row r="50" spans="1:45" ht="1.1499999999999999" customHeight="1">
      <c r="A50" s="858" t="s">
        <v>178</v>
      </c>
      <c r="B50" s="858" t="s">
        <v>179</v>
      </c>
      <c r="C50" s="858" t="s">
        <v>180</v>
      </c>
      <c r="D50" s="858" t="s">
        <v>181</v>
      </c>
      <c r="E50" s="1193"/>
      <c r="F50" s="1193"/>
      <c r="G50" s="1193"/>
      <c r="H50" s="1193"/>
      <c r="I50" s="1195"/>
      <c r="J50" s="1195"/>
      <c r="K50" s="1194"/>
      <c r="P50" s="1038"/>
      <c r="Q50" s="1038"/>
      <c r="R50" s="845"/>
      <c r="S50" s="127"/>
      <c r="T50" s="834"/>
      <c r="U50" s="834"/>
      <c r="V50" s="313"/>
      <c r="W50" s="313"/>
      <c r="X50" s="313"/>
      <c r="Y50" s="315" t="str">
        <f>Z49&amp;"-"&amp;AB49</f>
        <v>-</v>
      </c>
      <c r="Z50" s="1198"/>
      <c r="AA50" s="1079"/>
      <c r="AB50" s="1198"/>
      <c r="AC50" s="1079"/>
      <c r="AD50" s="313"/>
      <c r="AE50" s="313"/>
      <c r="AF50" s="313"/>
      <c r="AG50" s="315" t="str">
        <f>AH49&amp;"-"&amp;AJ49</f>
        <v>-</v>
      </c>
      <c r="AH50" s="1198"/>
      <c r="AI50" s="1079"/>
      <c r="AJ50" s="1200"/>
      <c r="AK50" s="1079"/>
      <c r="AL50" s="333"/>
      <c r="AM50" s="1216"/>
      <c r="AP50" s="583" t="str">
        <f t="shared" si="1"/>
        <v/>
      </c>
      <c r="AS50" s="539">
        <v>1</v>
      </c>
    </row>
    <row r="51" spans="1:45" ht="11.45" customHeight="1">
      <c r="A51" s="858" t="s">
        <v>178</v>
      </c>
      <c r="B51" s="858" t="s">
        <v>179</v>
      </c>
      <c r="C51" s="858" t="s">
        <v>180</v>
      </c>
      <c r="D51" s="858" t="s">
        <v>181</v>
      </c>
      <c r="E51" s="1193"/>
      <c r="F51" s="1193"/>
      <c r="G51" s="1193"/>
      <c r="H51" s="1193"/>
      <c r="I51" s="1195"/>
      <c r="J51" s="1194"/>
      <c r="P51" s="1038"/>
      <c r="Q51" s="1038"/>
      <c r="R51" s="843"/>
      <c r="S51" s="316"/>
      <c r="T51" s="319" t="s">
        <v>419</v>
      </c>
      <c r="U51" s="52"/>
      <c r="V51" s="52"/>
      <c r="W51" s="52"/>
      <c r="X51" s="52"/>
      <c r="Y51" s="52"/>
      <c r="Z51" s="52"/>
      <c r="AA51" s="52"/>
      <c r="AB51" s="52"/>
      <c r="AC51" s="52"/>
      <c r="AD51" s="52"/>
      <c r="AE51" s="52"/>
      <c r="AF51" s="52"/>
      <c r="AG51" s="52"/>
      <c r="AH51" s="52"/>
      <c r="AI51" s="52"/>
      <c r="AJ51" s="52"/>
      <c r="AK51" s="52"/>
      <c r="AL51" s="318"/>
      <c r="AM51" s="1217"/>
      <c r="AP51" s="583" t="str">
        <f t="shared" si="1"/>
        <v>Добавить вид теплоносителя (параметры теплоносителя)</v>
      </c>
      <c r="AS51" s="539">
        <v>11</v>
      </c>
    </row>
    <row r="52" spans="1:45" ht="11.45" customHeight="1">
      <c r="A52" s="858" t="s">
        <v>178</v>
      </c>
      <c r="B52" s="858" t="s">
        <v>179</v>
      </c>
      <c r="C52" s="858" t="s">
        <v>180</v>
      </c>
      <c r="D52" s="858" t="s">
        <v>181</v>
      </c>
      <c r="E52" s="1193"/>
      <c r="F52" s="1193"/>
      <c r="G52" s="1193"/>
      <c r="H52" s="1193"/>
      <c r="I52" s="1194"/>
      <c r="P52" s="1038"/>
      <c r="R52" s="843"/>
      <c r="S52" s="316"/>
      <c r="T52" s="322" t="s">
        <v>420</v>
      </c>
      <c r="U52" s="52"/>
      <c r="V52" s="52"/>
      <c r="W52" s="52"/>
      <c r="X52" s="52"/>
      <c r="Y52" s="52"/>
      <c r="Z52" s="52"/>
      <c r="AA52" s="52"/>
      <c r="AB52" s="52"/>
      <c r="AC52" s="320"/>
      <c r="AD52" s="52"/>
      <c r="AE52" s="52"/>
      <c r="AF52" s="52"/>
      <c r="AG52" s="52"/>
      <c r="AH52" s="52"/>
      <c r="AI52" s="52"/>
      <c r="AJ52" s="52"/>
      <c r="AK52" s="320"/>
      <c r="AL52" s="52"/>
      <c r="AM52" s="321"/>
      <c r="AP52" s="583" t="str">
        <f t="shared" si="1"/>
        <v>Добавить группу потребителей</v>
      </c>
      <c r="AS52" s="539">
        <v>11</v>
      </c>
    </row>
    <row r="53" spans="1:45" ht="0" hidden="1" customHeight="1">
      <c r="A53" s="858" t="s">
        <v>178</v>
      </c>
      <c r="B53" s="858" t="s">
        <v>179</v>
      </c>
      <c r="C53" s="858" t="s">
        <v>180</v>
      </c>
      <c r="D53" s="858" t="s">
        <v>181</v>
      </c>
      <c r="E53" s="1193"/>
      <c r="F53" s="1193"/>
      <c r="G53" s="1193"/>
      <c r="H53" s="1192"/>
      <c r="R53" s="311"/>
      <c r="S53" s="335"/>
      <c r="T53" s="336"/>
      <c r="U53" s="337"/>
      <c r="V53" s="337"/>
      <c r="W53" s="337"/>
      <c r="X53" s="337"/>
      <c r="Y53" s="337"/>
      <c r="Z53" s="337"/>
      <c r="AA53" s="337"/>
      <c r="AB53" s="337"/>
      <c r="AC53" s="337"/>
      <c r="AD53" s="337"/>
      <c r="AE53" s="337"/>
      <c r="AF53" s="337"/>
      <c r="AG53" s="337"/>
      <c r="AH53" s="337"/>
      <c r="AI53" s="337"/>
      <c r="AJ53" s="337"/>
      <c r="AK53" s="337"/>
      <c r="AL53" s="337"/>
      <c r="AM53" s="338"/>
      <c r="AP53" s="583" t="str">
        <f t="shared" si="1"/>
        <v/>
      </c>
      <c r="AS53" s="539">
        <v>0</v>
      </c>
    </row>
    <row r="54" spans="1:45" ht="1.1499999999999999" customHeight="1">
      <c r="A54" s="575" t="s">
        <v>178</v>
      </c>
      <c r="B54" s="575" t="s">
        <v>179</v>
      </c>
      <c r="C54" s="575" t="s">
        <v>180</v>
      </c>
      <c r="E54" s="1193"/>
      <c r="F54" s="1193"/>
      <c r="G54" s="1192"/>
      <c r="T54" s="327" t="s">
        <v>422</v>
      </c>
      <c r="AP54" s="583" t="str">
        <f t="shared" si="1"/>
        <v>Добавить источник для дифференциации</v>
      </c>
      <c r="AS54" s="578">
        <v>1</v>
      </c>
    </row>
    <row r="55" spans="1:45" ht="1.1499999999999999" customHeight="1">
      <c r="A55" s="575" t="s">
        <v>178</v>
      </c>
      <c r="B55" s="575" t="s">
        <v>179</v>
      </c>
      <c r="E55" s="1193"/>
      <c r="F55" s="1192"/>
      <c r="T55" s="327" t="s">
        <v>423</v>
      </c>
      <c r="AP55" s="583" t="str">
        <f t="shared" si="1"/>
        <v>Добавить централизованную систему для дифференциации</v>
      </c>
      <c r="AS55" s="578">
        <v>1</v>
      </c>
    </row>
    <row r="56" spans="1:45" ht="1.1499999999999999" customHeight="1">
      <c r="A56" s="575" t="s">
        <v>178</v>
      </c>
      <c r="E56" s="1192"/>
      <c r="T56" s="327" t="s">
        <v>424</v>
      </c>
      <c r="AP56" s="583" t="str">
        <f t="shared" si="1"/>
        <v>Добавить территорию для дифференциации</v>
      </c>
      <c r="AS56" s="578">
        <v>1</v>
      </c>
    </row>
    <row r="57" spans="1:45" ht="1.1499999999999999" customHeight="1">
      <c r="T57" s="327" t="s">
        <v>456</v>
      </c>
      <c r="AP57" s="583" t="str">
        <f t="shared" si="1"/>
        <v>Добавить наименование тарифа</v>
      </c>
      <c r="AS57" s="578">
        <v>1</v>
      </c>
    </row>
    <row r="58" spans="1:45" ht="11.45" customHeight="1">
      <c r="AS58" s="539">
        <v>11</v>
      </c>
    </row>
    <row r="59" spans="1:45" ht="19.899999999999999" customHeight="1">
      <c r="T59" s="1038"/>
      <c r="U59" s="1038"/>
      <c r="V59" s="1038"/>
      <c r="W59" s="1038"/>
      <c r="X59" s="1038"/>
      <c r="Y59" s="1038"/>
      <c r="Z59" s="1038"/>
      <c r="AA59" s="1038"/>
      <c r="AB59" s="1038"/>
      <c r="AC59" s="1038"/>
      <c r="AD59" s="1038"/>
      <c r="AE59" s="1038"/>
      <c r="AF59" s="1038"/>
      <c r="AG59" s="1038"/>
      <c r="AH59" s="1038"/>
      <c r="AI59" s="1038"/>
      <c r="AJ59" s="1038"/>
      <c r="AK59" s="1038"/>
      <c r="AL59" s="1038"/>
      <c r="AM59" s="1038"/>
      <c r="AS59" s="539">
        <v>19</v>
      </c>
    </row>
    <row r="60" spans="1:45" ht="29.25" customHeight="1">
      <c r="T60" s="1038"/>
      <c r="U60" s="1038"/>
      <c r="V60" s="1038"/>
      <c r="W60" s="1038"/>
      <c r="X60" s="1038"/>
      <c r="Y60" s="1038"/>
      <c r="Z60" s="1038"/>
      <c r="AA60" s="1038"/>
      <c r="AB60" s="1038"/>
      <c r="AC60" s="1038"/>
      <c r="AD60" s="1038"/>
      <c r="AE60" s="1038"/>
      <c r="AF60" s="1038"/>
      <c r="AG60" s="1038"/>
      <c r="AH60" s="1038"/>
      <c r="AI60" s="1038"/>
      <c r="AJ60" s="1038"/>
      <c r="AK60" s="1038"/>
      <c r="AL60" s="1038"/>
      <c r="AM60" s="1038"/>
      <c r="AS60" s="539">
        <v>28</v>
      </c>
    </row>
    <row r="61" spans="1:45" ht="42" customHeight="1">
      <c r="T61" s="1038"/>
      <c r="U61" s="1038"/>
      <c r="V61" s="1038"/>
      <c r="W61" s="1038"/>
      <c r="X61" s="1038"/>
      <c r="Y61" s="1038"/>
      <c r="Z61" s="1038"/>
      <c r="AA61" s="1038"/>
      <c r="AB61" s="1038"/>
      <c r="AC61" s="1038"/>
      <c r="AD61" s="1038"/>
      <c r="AE61" s="1038"/>
      <c r="AF61" s="1038"/>
      <c r="AG61" s="1038"/>
      <c r="AH61" s="1038"/>
      <c r="AI61" s="1038"/>
      <c r="AJ61" s="1038"/>
      <c r="AK61" s="1038"/>
      <c r="AL61" s="1038"/>
      <c r="AM61" s="1038"/>
      <c r="AS61" s="539">
        <v>40</v>
      </c>
    </row>
    <row r="62" spans="1:45" ht="14.65" customHeight="1">
      <c r="AS62" s="539">
        <v>14</v>
      </c>
    </row>
    <row r="63" spans="1:45" ht="21" customHeight="1">
      <c r="T63" s="1038"/>
      <c r="U63" s="1038"/>
      <c r="V63" s="1038"/>
      <c r="W63" s="1038"/>
      <c r="X63" s="1038"/>
      <c r="Y63" s="1038"/>
      <c r="Z63" s="1038"/>
      <c r="AA63" s="1038"/>
      <c r="AB63" s="1038"/>
      <c r="AC63" s="1038"/>
      <c r="AD63" s="1038"/>
      <c r="AE63" s="1038"/>
      <c r="AF63" s="1038"/>
      <c r="AG63" s="1038"/>
      <c r="AH63" s="1038"/>
      <c r="AI63" s="1038"/>
      <c r="AJ63" s="1038"/>
      <c r="AK63" s="1038"/>
      <c r="AL63" s="1038"/>
      <c r="AM63" s="1038"/>
      <c r="AS63" s="539">
        <v>20</v>
      </c>
    </row>
    <row r="64" spans="1:45" ht="29.25" customHeight="1">
      <c r="T64" s="1038"/>
      <c r="U64" s="1038"/>
      <c r="V64" s="1038"/>
      <c r="W64" s="1038"/>
      <c r="X64" s="1038"/>
      <c r="Y64" s="1038"/>
      <c r="Z64" s="1038"/>
      <c r="AA64" s="1038"/>
      <c r="AB64" s="1038"/>
      <c r="AC64" s="1038"/>
      <c r="AD64" s="1038"/>
      <c r="AE64" s="1038"/>
      <c r="AF64" s="1038"/>
      <c r="AG64" s="1038"/>
      <c r="AH64" s="1038"/>
      <c r="AI64" s="1038"/>
      <c r="AJ64" s="1038"/>
      <c r="AK64" s="1038"/>
      <c r="AL64" s="1038"/>
      <c r="AM64" s="1038"/>
      <c r="AS64" s="539">
        <v>28</v>
      </c>
    </row>
    <row r="65" spans="1:45" ht="35.65" customHeight="1">
      <c r="T65" s="1038"/>
      <c r="U65" s="1038"/>
      <c r="V65" s="1038"/>
      <c r="W65" s="1038"/>
      <c r="X65" s="1038"/>
      <c r="Y65" s="1038"/>
      <c r="Z65" s="1038"/>
      <c r="AA65" s="1038"/>
      <c r="AB65" s="1038"/>
      <c r="AC65" s="1038"/>
      <c r="AD65" s="1038"/>
      <c r="AE65" s="1038"/>
      <c r="AF65" s="1038"/>
      <c r="AG65" s="1038"/>
      <c r="AH65" s="1038"/>
      <c r="AI65" s="1038"/>
      <c r="AJ65" s="1038"/>
      <c r="AK65" s="1038"/>
      <c r="AL65" s="1038"/>
      <c r="AM65" s="1038"/>
      <c r="AS65" s="539">
        <v>34</v>
      </c>
    </row>
    <row r="66" spans="1:45" ht="22.5" hidden="1" customHeight="1">
      <c r="A66" s="556" t="s">
        <v>81</v>
      </c>
      <c r="B66" s="556">
        <v>0</v>
      </c>
      <c r="C66" s="556">
        <v>0</v>
      </c>
      <c r="D66" s="556">
        <v>0</v>
      </c>
      <c r="E66" s="556">
        <v>0</v>
      </c>
      <c r="F66" s="556">
        <v>0</v>
      </c>
      <c r="G66" s="556">
        <v>0</v>
      </c>
      <c r="H66" s="556">
        <v>0</v>
      </c>
      <c r="I66" s="556">
        <v>0</v>
      </c>
      <c r="J66" s="556">
        <v>0</v>
      </c>
      <c r="K66" s="556">
        <v>0</v>
      </c>
      <c r="L66" s="668">
        <v>0</v>
      </c>
      <c r="M66" s="12">
        <v>0</v>
      </c>
      <c r="N66" s="12">
        <v>0</v>
      </c>
      <c r="O66" s="12">
        <v>0</v>
      </c>
      <c r="P66" s="301">
        <v>0</v>
      </c>
      <c r="Q66" s="822">
        <v>3</v>
      </c>
      <c r="R66" s="822">
        <v>3</v>
      </c>
      <c r="S66" s="554">
        <v>12</v>
      </c>
      <c r="T66" s="539">
        <v>31</v>
      </c>
      <c r="U66" s="539">
        <v>0</v>
      </c>
      <c r="V66" s="539">
        <v>0</v>
      </c>
      <c r="W66" s="539">
        <v>0</v>
      </c>
      <c r="X66" s="539">
        <v>0</v>
      </c>
      <c r="Y66" s="539">
        <v>0</v>
      </c>
      <c r="Z66" s="539">
        <v>0</v>
      </c>
      <c r="AA66" s="539">
        <v>0</v>
      </c>
      <c r="AB66" s="539">
        <v>0</v>
      </c>
      <c r="AC66" s="539">
        <v>0</v>
      </c>
      <c r="AD66" s="539">
        <v>24</v>
      </c>
      <c r="AE66" s="539">
        <v>0</v>
      </c>
      <c r="AF66" s="539">
        <v>24</v>
      </c>
      <c r="AG66" s="539">
        <v>24</v>
      </c>
      <c r="AH66" s="539">
        <v>11</v>
      </c>
      <c r="AI66" s="539">
        <v>3</v>
      </c>
      <c r="AJ66" s="539">
        <v>11</v>
      </c>
      <c r="AK66" s="539">
        <v>0</v>
      </c>
      <c r="AL66" s="539">
        <v>4</v>
      </c>
      <c r="AM66" s="539">
        <v>115</v>
      </c>
      <c r="AN66" s="578">
        <v>10</v>
      </c>
      <c r="AO66" s="578">
        <v>10</v>
      </c>
      <c r="AP66" s="578">
        <v>10</v>
      </c>
      <c r="AQ66" s="578">
        <v>10</v>
      </c>
      <c r="AR66" s="578">
        <v>10</v>
      </c>
      <c r="AS66" s="539">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6" width="3.7109375" style="1030" hidden="1" customWidth="1"/>
    <col min="17" max="18" width="3" style="1030" customWidth="1"/>
    <col min="19" max="19" width="12" style="1030" customWidth="1"/>
    <col min="20" max="20" width="31" style="1030" customWidth="1"/>
    <col min="21" max="21" width="0.140625" style="1030" customWidth="1"/>
    <col min="22" max="22" width="24.7109375" style="1030" hidden="1" customWidth="1"/>
    <col min="23" max="23" width="0.140625" style="1030" hidden="1" customWidth="1"/>
    <col min="24" max="25" width="24.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24.7109375" style="1030" customWidth="1"/>
    <col min="31" max="31" width="0.140625" style="1030" customWidth="1"/>
    <col min="32" max="33" width="24" style="1030" customWidth="1"/>
    <col min="34" max="34" width="11" style="1030" customWidth="1"/>
    <col min="35" max="35" width="3.7109375" style="1030" customWidth="1"/>
    <col min="36" max="36" width="11" style="1030" customWidth="1"/>
    <col min="37" max="37" width="8.5703125" style="1030" hidden="1" customWidth="1"/>
    <col min="38" max="38" width="4" style="1030" customWidth="1"/>
    <col min="39" max="39" width="115" style="1030" customWidth="1"/>
    <col min="40" max="44" width="10" style="1030" customWidth="1"/>
    <col min="45" max="45" width="10.5703125" style="1030" hidden="1"/>
  </cols>
  <sheetData>
    <row r="1" spans="5:45" ht="22.5" hidden="1" customHeight="1">
      <c r="AS1" s="539" t="s">
        <v>14</v>
      </c>
    </row>
    <row r="2" spans="5:45" ht="21" hidden="1" customHeight="1">
      <c r="E2" s="1192">
        <v>1</v>
      </c>
      <c r="R2" s="311"/>
      <c r="S2" s="833" t="e">
        <f>INDEX(PT_DIFFERENTIATION_NUM_NTAR,MATCH(A2,PT_DIFFERENTIATION_NTAR_ID,0))</f>
        <v>#N/A</v>
      </c>
      <c r="T2" s="796" t="s">
        <v>133</v>
      </c>
      <c r="U2" s="834"/>
      <c r="V2" s="1187"/>
      <c r="W2" s="1188"/>
      <c r="X2" s="1188"/>
      <c r="Y2" s="1188"/>
      <c r="Z2" s="1188"/>
      <c r="AA2" s="1188"/>
      <c r="AB2" s="1188"/>
      <c r="AC2" s="1189"/>
      <c r="AD2" s="1187" t="e">
        <f>INDEX(PT_DIFFERENTIATION_NTAR,MATCH(A2,PT_DIFFERENTIATION_NTAR_ID,0))</f>
        <v>#N/A</v>
      </c>
      <c r="AE2" s="1188"/>
      <c r="AF2" s="1188"/>
      <c r="AG2" s="1188"/>
      <c r="AH2" s="1188"/>
      <c r="AI2" s="1188"/>
      <c r="AJ2" s="1188"/>
      <c r="AK2" s="1188"/>
      <c r="AL2" s="1189"/>
      <c r="AM2" s="836" t="s">
        <v>404</v>
      </c>
      <c r="AP2" s="583" t="str">
        <f t="shared" ref="AP2:AP15" si="0">IF(T2="","",T2)</f>
        <v>Наименование тарифа</v>
      </c>
      <c r="AS2" s="539">
        <v>0</v>
      </c>
    </row>
    <row r="3" spans="5:45" ht="21"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8"/>
      <c r="AC3" s="1189"/>
      <c r="AD3" s="1187" t="e">
        <f>INDEX(PT_DIFFERENTIATION_TER,MATCH(B3,PT_DIFFERENTIATION_TER_ID,0))</f>
        <v>#N/A</v>
      </c>
      <c r="AE3" s="1188"/>
      <c r="AF3" s="1188"/>
      <c r="AG3" s="1188"/>
      <c r="AH3" s="1188"/>
      <c r="AI3" s="1188"/>
      <c r="AJ3" s="1188"/>
      <c r="AK3" s="1188"/>
      <c r="AL3" s="1189"/>
      <c r="AM3" s="836" t="s">
        <v>406</v>
      </c>
      <c r="AP3" s="583" t="str">
        <f t="shared" si="0"/>
        <v>Территория действия тарифа</v>
      </c>
      <c r="AS3" s="539">
        <v>0</v>
      </c>
    </row>
    <row r="4" spans="5:45" ht="23.25" hidden="1" customHeight="1">
      <c r="E4" s="1193"/>
      <c r="F4" s="1193"/>
      <c r="G4" s="1192">
        <v>1</v>
      </c>
      <c r="Q4" s="837"/>
      <c r="R4" s="838"/>
      <c r="S4" s="865" t="e">
        <f>INDEX(PT_DIFFERENTIATION_NUM_CS,MATCH(C4,PT_DIFFERENTIATION_CS_ID,0))</f>
        <v>#N/A</v>
      </c>
      <c r="T4" s="866" t="s">
        <v>407</v>
      </c>
      <c r="U4" s="867"/>
      <c r="V4" s="1228"/>
      <c r="W4" s="1229"/>
      <c r="X4" s="1229"/>
      <c r="Y4" s="1229"/>
      <c r="Z4" s="1229"/>
      <c r="AA4" s="1229"/>
      <c r="AB4" s="1229"/>
      <c r="AC4" s="1230"/>
      <c r="AD4" s="1228" t="e">
        <f>INDEX(PT_DIFFERENTIATION_CS,MATCH(C4,PT_DIFFERENTIATION_CS_ID,0))</f>
        <v>#N/A</v>
      </c>
      <c r="AE4" s="1229"/>
      <c r="AF4" s="1229"/>
      <c r="AG4" s="1229"/>
      <c r="AH4" s="1229"/>
      <c r="AI4" s="1229"/>
      <c r="AJ4" s="1229"/>
      <c r="AK4" s="1229"/>
      <c r="AL4" s="1230"/>
      <c r="AM4" s="836" t="s">
        <v>408</v>
      </c>
      <c r="AP4" s="583" t="str">
        <f t="shared" si="0"/>
        <v xml:space="preserve">Наименование системы теплоснабжения </v>
      </c>
      <c r="AS4" s="539">
        <v>0</v>
      </c>
    </row>
    <row r="5" spans="5:45" ht="21" hidden="1" customHeight="1">
      <c r="E5" s="1193"/>
      <c r="F5" s="1193"/>
      <c r="G5" s="1193"/>
      <c r="H5" s="1192">
        <v>1</v>
      </c>
      <c r="Q5" s="837"/>
      <c r="S5" s="833" t="e">
        <f>INDEX(PT_DIFFERENTIATION_NUM_IST_TE,MATCH(D5,PT_DIFFERENTIATION_IST_TE_ID,0))</f>
        <v>#N/A</v>
      </c>
      <c r="T5" s="841" t="s">
        <v>409</v>
      </c>
      <c r="U5" s="834"/>
      <c r="V5" s="1231"/>
      <c r="W5" s="1231"/>
      <c r="X5" s="1231"/>
      <c r="Y5" s="1231"/>
      <c r="Z5" s="1231"/>
      <c r="AA5" s="1231"/>
      <c r="AB5" s="1231"/>
      <c r="AC5" s="1231"/>
      <c r="AD5" s="1231" t="e">
        <f>INDEX(PT_DIFFERENTIATION_IST_TE,MATCH(D5,PT_DIFFERENTIATION_IST_TE_ID,0))</f>
        <v>#N/A</v>
      </c>
      <c r="AE5" s="1231"/>
      <c r="AF5" s="1231"/>
      <c r="AG5" s="1231"/>
      <c r="AH5" s="1231"/>
      <c r="AI5" s="1231"/>
      <c r="AJ5" s="1231"/>
      <c r="AK5" s="1231"/>
      <c r="AL5" s="1231"/>
      <c r="AM5" s="869" t="s">
        <v>410</v>
      </c>
      <c r="AP5" s="583" t="str">
        <f t="shared" si="0"/>
        <v xml:space="preserve">Источник тепловой энергии  </v>
      </c>
      <c r="AS5" s="539">
        <v>0</v>
      </c>
    </row>
    <row r="6" spans="5:45" ht="0.75" hidden="1" customHeight="1">
      <c r="E6" s="1193"/>
      <c r="F6" s="1193"/>
      <c r="G6" s="1193"/>
      <c r="H6" s="1193"/>
      <c r="I6" s="1194" t="e">
        <f>S5&amp;".1"</f>
        <v>#N/A</v>
      </c>
      <c r="L6" s="842" t="s">
        <v>411</v>
      </c>
      <c r="P6" s="1196">
        <v>1</v>
      </c>
      <c r="S6" s="636"/>
      <c r="T6" s="860"/>
      <c r="U6" s="861"/>
      <c r="V6" s="1232"/>
      <c r="W6" s="1232"/>
      <c r="X6" s="1232"/>
      <c r="Y6" s="1232"/>
      <c r="Z6" s="1232"/>
      <c r="AA6" s="1232"/>
      <c r="AB6" s="1232"/>
      <c r="AC6" s="1232"/>
      <c r="AD6" s="1232"/>
      <c r="AE6" s="1232"/>
      <c r="AF6" s="1232"/>
      <c r="AG6" s="1232"/>
      <c r="AH6" s="1232"/>
      <c r="AI6" s="1232"/>
      <c r="AJ6" s="1232"/>
      <c r="AK6" s="1232"/>
      <c r="AL6" s="1232"/>
      <c r="AM6" s="870"/>
      <c r="AP6" s="583" t="str">
        <f t="shared" si="0"/>
        <v/>
      </c>
      <c r="AS6" s="539">
        <v>0</v>
      </c>
    </row>
    <row r="7" spans="5:45" ht="84" hidden="1" customHeight="1">
      <c r="E7" s="1193"/>
      <c r="F7" s="1193"/>
      <c r="G7" s="1193"/>
      <c r="H7" s="1193"/>
      <c r="I7" s="1195"/>
      <c r="J7" s="1194" t="e">
        <f>I6&amp;".1"</f>
        <v>#N/A</v>
      </c>
      <c r="L7" s="842" t="s">
        <v>414</v>
      </c>
      <c r="P7" s="1038"/>
      <c r="Q7" s="1196">
        <v>1</v>
      </c>
      <c r="S7" s="833" t="e">
        <f>$J7</f>
        <v>#N/A</v>
      </c>
      <c r="T7" s="846" t="s">
        <v>415</v>
      </c>
      <c r="U7" s="834"/>
      <c r="V7" s="1226"/>
      <c r="W7" s="1226"/>
      <c r="X7" s="1226"/>
      <c r="Y7" s="1226"/>
      <c r="Z7" s="1226"/>
      <c r="AA7" s="1226"/>
      <c r="AB7" s="1226"/>
      <c r="AC7" s="1226"/>
      <c r="AD7" s="1226"/>
      <c r="AE7" s="1226"/>
      <c r="AF7" s="1226"/>
      <c r="AG7" s="1226"/>
      <c r="AH7" s="1226"/>
      <c r="AI7" s="1226"/>
      <c r="AJ7" s="1226"/>
      <c r="AK7" s="1226"/>
      <c r="AL7" s="1226"/>
      <c r="AM7" s="869" t="s">
        <v>416</v>
      </c>
      <c r="AP7" s="583" t="str">
        <f t="shared" si="0"/>
        <v>Группа потребителей</v>
      </c>
      <c r="AS7" s="539">
        <v>0</v>
      </c>
    </row>
    <row r="8" spans="5:45" ht="11.25" hidden="1" customHeight="1">
      <c r="E8" s="1193"/>
      <c r="F8" s="1193"/>
      <c r="G8" s="1193"/>
      <c r="H8" s="1193"/>
      <c r="I8" s="1195"/>
      <c r="J8" s="1195"/>
      <c r="K8" s="1194" t="e">
        <f>J7&amp;".1"</f>
        <v>#N/A</v>
      </c>
      <c r="L8" s="842" t="s">
        <v>417</v>
      </c>
      <c r="P8" s="1038"/>
      <c r="Q8" s="1038"/>
      <c r="R8" s="845">
        <v>1</v>
      </c>
      <c r="S8" s="871" t="e">
        <f>$K8</f>
        <v>#N/A</v>
      </c>
      <c r="T8" s="872"/>
      <c r="U8" s="873"/>
      <c r="V8" s="339"/>
      <c r="W8" s="333"/>
      <c r="X8" s="339"/>
      <c r="Y8" s="340"/>
      <c r="Z8" s="1227"/>
      <c r="AA8" s="1085" t="s">
        <v>61</v>
      </c>
      <c r="AB8" s="1227"/>
      <c r="AC8" s="1085" t="s">
        <v>61</v>
      </c>
      <c r="AD8" s="339"/>
      <c r="AE8" s="333"/>
      <c r="AF8" s="339"/>
      <c r="AG8" s="340"/>
      <c r="AH8" s="1227"/>
      <c r="AI8" s="1085" t="s">
        <v>61</v>
      </c>
      <c r="AJ8" s="1227"/>
      <c r="AK8" s="1085" t="s">
        <v>61</v>
      </c>
      <c r="AL8" s="333"/>
      <c r="AM8" s="1215" t="s">
        <v>418</v>
      </c>
      <c r="AN8" s="578" t="e">
        <f ca="1">STRCHECKDATE(V9:AL9)</f>
        <v>#NAME?</v>
      </c>
      <c r="AP8" s="583" t="str">
        <f t="shared" si="0"/>
        <v/>
      </c>
      <c r="AS8" s="539">
        <v>0</v>
      </c>
    </row>
    <row r="9" spans="5:45" ht="0.75" hidden="1" customHeight="1">
      <c r="E9" s="1193"/>
      <c r="F9" s="1193"/>
      <c r="G9" s="1193"/>
      <c r="H9" s="1193"/>
      <c r="I9" s="1195"/>
      <c r="J9" s="1195"/>
      <c r="K9" s="1194"/>
      <c r="P9" s="1038"/>
      <c r="Q9" s="1038"/>
      <c r="R9" s="845"/>
      <c r="S9" s="127"/>
      <c r="T9" s="834"/>
      <c r="U9" s="834"/>
      <c r="V9" s="313"/>
      <c r="W9" s="313"/>
      <c r="X9" s="313"/>
      <c r="Y9" s="315" t="str">
        <f>Z8&amp;"-"&amp;AB8</f>
        <v>-</v>
      </c>
      <c r="Z9" s="1198"/>
      <c r="AA9" s="1079"/>
      <c r="AB9" s="1198"/>
      <c r="AC9" s="1079"/>
      <c r="AD9" s="313"/>
      <c r="AE9" s="313"/>
      <c r="AF9" s="313"/>
      <c r="AG9" s="315" t="str">
        <f>AH8&amp;"-"&amp;AJ8</f>
        <v>-</v>
      </c>
      <c r="AH9" s="1198"/>
      <c r="AI9" s="1079"/>
      <c r="AJ9" s="1198"/>
      <c r="AK9" s="1079"/>
      <c r="AL9" s="313"/>
      <c r="AM9" s="1216"/>
      <c r="AP9" s="583" t="str">
        <f t="shared" si="0"/>
        <v/>
      </c>
      <c r="AS9" s="539">
        <v>0</v>
      </c>
    </row>
    <row r="10" spans="5:45" ht="11.25" hidden="1" customHeight="1">
      <c r="E10" s="1193"/>
      <c r="F10" s="1193"/>
      <c r="G10" s="1193"/>
      <c r="H10" s="1193"/>
      <c r="I10" s="1195"/>
      <c r="J10" s="1194"/>
      <c r="P10" s="1038"/>
      <c r="Q10" s="1038"/>
      <c r="R10" s="843"/>
      <c r="S10" s="316"/>
      <c r="T10" s="319" t="s">
        <v>419</v>
      </c>
      <c r="U10" s="52"/>
      <c r="V10" s="52"/>
      <c r="W10" s="52"/>
      <c r="X10" s="52"/>
      <c r="Y10" s="52"/>
      <c r="Z10" s="52"/>
      <c r="AA10" s="52"/>
      <c r="AB10" s="52"/>
      <c r="AC10" s="52"/>
      <c r="AD10" s="52"/>
      <c r="AE10" s="52"/>
      <c r="AF10" s="52"/>
      <c r="AG10" s="52"/>
      <c r="AH10" s="52"/>
      <c r="AI10" s="52"/>
      <c r="AJ10" s="52"/>
      <c r="AK10" s="52"/>
      <c r="AL10" s="318"/>
      <c r="AM10" s="1217"/>
      <c r="AP10" s="583" t="str">
        <f t="shared" si="0"/>
        <v>Добавить вид теплоносителя (параметры теплоносителя)</v>
      </c>
      <c r="AS10" s="539">
        <v>0</v>
      </c>
    </row>
    <row r="11" spans="5:45" ht="11.25" hidden="1" customHeight="1">
      <c r="E11" s="1193"/>
      <c r="F11" s="1193"/>
      <c r="G11" s="1193"/>
      <c r="H11" s="1193"/>
      <c r="I11" s="1194"/>
      <c r="P11" s="1038"/>
      <c r="R11" s="843"/>
      <c r="S11" s="316"/>
      <c r="T11" s="322" t="s">
        <v>420</v>
      </c>
      <c r="U11" s="52"/>
      <c r="V11" s="52"/>
      <c r="W11" s="52"/>
      <c r="X11" s="52"/>
      <c r="Y11" s="52"/>
      <c r="Z11" s="52"/>
      <c r="AA11" s="52"/>
      <c r="AB11" s="52"/>
      <c r="AC11" s="320"/>
      <c r="AD11" s="52"/>
      <c r="AE11" s="52"/>
      <c r="AF11" s="52"/>
      <c r="AG11" s="52"/>
      <c r="AH11" s="52"/>
      <c r="AI11" s="52"/>
      <c r="AJ11" s="52"/>
      <c r="AK11" s="320"/>
      <c r="AL11" s="52"/>
      <c r="AM11" s="321"/>
      <c r="AP11" s="583" t="str">
        <f t="shared" si="0"/>
        <v>Добавить группу потребителей</v>
      </c>
      <c r="AS11" s="539">
        <v>0</v>
      </c>
    </row>
    <row r="12" spans="5:45" ht="0.75" hidden="1" customHeight="1">
      <c r="E12" s="1193"/>
      <c r="F12" s="1193"/>
      <c r="G12" s="1193"/>
      <c r="H12" s="1192"/>
      <c r="R12" s="311"/>
      <c r="S12" s="335"/>
      <c r="T12" s="336"/>
      <c r="U12" s="337"/>
      <c r="V12" s="337"/>
      <c r="W12" s="337"/>
      <c r="X12" s="337"/>
      <c r="Y12" s="337"/>
      <c r="Z12" s="337"/>
      <c r="AA12" s="337"/>
      <c r="AB12" s="337"/>
      <c r="AC12" s="337"/>
      <c r="AD12" s="337"/>
      <c r="AE12" s="337"/>
      <c r="AF12" s="337"/>
      <c r="AG12" s="337"/>
      <c r="AH12" s="337"/>
      <c r="AI12" s="337"/>
      <c r="AJ12" s="337"/>
      <c r="AK12" s="337"/>
      <c r="AL12" s="337"/>
      <c r="AM12" s="338"/>
      <c r="AP12" s="583" t="str">
        <f t="shared" si="0"/>
        <v/>
      </c>
      <c r="AS12" s="539">
        <v>0</v>
      </c>
    </row>
    <row r="13" spans="5:45" ht="0.75" hidden="1" customHeight="1">
      <c r="E13" s="1193"/>
      <c r="F13" s="1193"/>
      <c r="G13" s="1192"/>
      <c r="S13" s="323"/>
      <c r="T13" s="324" t="s">
        <v>422</v>
      </c>
      <c r="U13" s="325"/>
      <c r="V13" s="325"/>
      <c r="W13" s="325"/>
      <c r="X13" s="325"/>
      <c r="Y13" s="325"/>
      <c r="Z13" s="325"/>
      <c r="AA13" s="325"/>
      <c r="AB13" s="325"/>
      <c r="AC13" s="325"/>
      <c r="AD13" s="325"/>
      <c r="AE13" s="325"/>
      <c r="AF13" s="325"/>
      <c r="AG13" s="325"/>
      <c r="AH13" s="325"/>
      <c r="AI13" s="325"/>
      <c r="AJ13" s="325"/>
      <c r="AK13" s="325"/>
      <c r="AL13" s="325"/>
      <c r="AM13" s="325"/>
      <c r="AP13" s="583" t="str">
        <f t="shared" si="0"/>
        <v>Добавить источник для дифференциации</v>
      </c>
      <c r="AS13" s="578">
        <v>0</v>
      </c>
    </row>
    <row r="14" spans="5:45" ht="0.75" hidden="1" customHeight="1">
      <c r="E14" s="1193"/>
      <c r="F14" s="1192"/>
      <c r="T14" s="326" t="s">
        <v>423</v>
      </c>
      <c r="AP14" s="583" t="str">
        <f t="shared" si="0"/>
        <v>Добавить централизованную систему для дифференциации</v>
      </c>
      <c r="AS14" s="578">
        <v>0</v>
      </c>
    </row>
    <row r="15" spans="5:45" ht="0.75" hidden="1" customHeight="1">
      <c r="E15" s="1192"/>
      <c r="T15" s="327" t="s">
        <v>424</v>
      </c>
      <c r="AP15" s="583" t="str">
        <f t="shared" si="0"/>
        <v>Добавить территорию для дифференциации</v>
      </c>
      <c r="AS15" s="578">
        <v>0</v>
      </c>
    </row>
    <row r="16" spans="5:45" ht="14.25" hidden="1" customHeight="1">
      <c r="AS16" s="539">
        <v>0</v>
      </c>
    </row>
    <row r="17" spans="15:45" ht="14.25" hidden="1" customHeight="1">
      <c r="AD17" s="276"/>
      <c r="AE17" s="276"/>
      <c r="AF17" s="276"/>
      <c r="AG17" s="328"/>
      <c r="AH17" s="1191"/>
      <c r="AI17" s="1190" t="s">
        <v>61</v>
      </c>
      <c r="AJ17" s="1191"/>
      <c r="AK17" s="1190" t="s">
        <v>61</v>
      </c>
      <c r="AS17" s="539">
        <v>0</v>
      </c>
    </row>
    <row r="18" spans="15:45" ht="14.25" hidden="1" customHeight="1">
      <c r="AD18" s="276"/>
      <c r="AE18" s="276"/>
      <c r="AF18" s="276"/>
      <c r="AG18" s="315" t="str">
        <f>AH17&amp;"-"&amp;AJ17</f>
        <v>-</v>
      </c>
      <c r="AH18" s="1190"/>
      <c r="AI18" s="1190"/>
      <c r="AJ18" s="1190"/>
      <c r="AK18" s="1190"/>
      <c r="AS18" s="539">
        <v>0</v>
      </c>
    </row>
    <row r="19" spans="15:45" ht="14.25" hidden="1" customHeight="1">
      <c r="AS19" s="539">
        <v>0</v>
      </c>
    </row>
    <row r="20" spans="15:45" ht="22.5" hidden="1" customHeight="1">
      <c r="O20" s="329" t="s">
        <v>425</v>
      </c>
      <c r="Z20" s="329"/>
      <c r="AB20" s="329"/>
      <c r="AH20" s="329"/>
      <c r="AJ20" s="329"/>
      <c r="AS20" s="556">
        <v>0</v>
      </c>
    </row>
    <row r="21" spans="15:45" ht="14.25" hidden="1" customHeight="1">
      <c r="AS21" s="556">
        <v>0</v>
      </c>
    </row>
    <row r="22" spans="15:45" ht="14.25" hidden="1" customHeight="1">
      <c r="O22" s="842" t="s">
        <v>426</v>
      </c>
      <c r="T22" s="556" t="s">
        <v>427</v>
      </c>
      <c r="AA22" s="599" t="s">
        <v>428</v>
      </c>
      <c r="AC22" s="599" t="s">
        <v>429</v>
      </c>
      <c r="AD22" s="556" t="s">
        <v>427</v>
      </c>
      <c r="AI22" s="599" t="s">
        <v>430</v>
      </c>
      <c r="AK22" s="599" t="s">
        <v>429</v>
      </c>
      <c r="AS22" s="556">
        <v>0</v>
      </c>
    </row>
    <row r="23" spans="15:45" ht="14.25" hidden="1" customHeight="1">
      <c r="AS23" s="539">
        <v>0</v>
      </c>
    </row>
    <row r="24" spans="15:45" ht="14.25" hidden="1" customHeight="1">
      <c r="AS24" s="539">
        <v>0</v>
      </c>
    </row>
    <row r="25" spans="15:45" ht="14.65" customHeight="1">
      <c r="Q25" s="757"/>
      <c r="R25" s="757"/>
      <c r="S25" s="848"/>
      <c r="T25" s="557"/>
      <c r="U25" s="557"/>
      <c r="AS25" s="539">
        <v>14</v>
      </c>
    </row>
    <row r="26" spans="15:45" ht="54.75" customHeight="1">
      <c r="Q26" s="757"/>
      <c r="R26" s="757"/>
      <c r="S26" s="11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27"/>
      <c r="U26" s="1127"/>
      <c r="V26" s="1127"/>
      <c r="W26" s="1127"/>
      <c r="X26" s="1127"/>
      <c r="Y26" s="1127"/>
      <c r="Z26" s="1127"/>
      <c r="AA26" s="1127"/>
      <c r="AB26" s="1127"/>
      <c r="AC26" s="1127"/>
      <c r="AD26" s="1127"/>
      <c r="AE26" s="1127"/>
      <c r="AF26" s="1127"/>
      <c r="AG26" s="1127"/>
      <c r="AH26" s="1127"/>
      <c r="AI26" s="1127"/>
      <c r="AJ26" s="1127"/>
      <c r="AS26" s="539">
        <v>52</v>
      </c>
    </row>
    <row r="27" spans="15:45" ht="14.65" customHeight="1">
      <c r="Q27" s="757"/>
      <c r="R27" s="757"/>
      <c r="S27" s="1148" t="str">
        <f>IF(org=0,"Не определено",org)</f>
        <v>АО "НИЖЕГОРОДСКИЙ ВОДОКАНАЛ"</v>
      </c>
      <c r="T27" s="1148"/>
      <c r="U27" s="1148"/>
      <c r="V27" s="1148"/>
      <c r="W27" s="1148"/>
      <c r="X27" s="1148"/>
      <c r="Y27" s="1148"/>
      <c r="Z27" s="1148"/>
      <c r="AA27" s="1148"/>
      <c r="AB27" s="1148"/>
      <c r="AC27" s="1148"/>
      <c r="AD27" s="1148"/>
      <c r="AE27" s="1148"/>
      <c r="AF27" s="1148"/>
      <c r="AG27" s="1148"/>
      <c r="AH27" s="1148"/>
      <c r="AI27" s="1148"/>
      <c r="AJ27" s="1148"/>
      <c r="AS27" s="539">
        <v>14</v>
      </c>
    </row>
    <row r="28" spans="15:45" ht="14.25" hidden="1" customHeight="1">
      <c r="Q28" s="757"/>
      <c r="R28" s="757"/>
      <c r="S28" s="848"/>
      <c r="T28" s="557"/>
      <c r="U28" s="557"/>
      <c r="V28" s="827"/>
      <c r="W28" s="827"/>
      <c r="X28" s="827"/>
      <c r="Y28" s="827"/>
      <c r="Z28" s="827"/>
      <c r="AA28" s="827"/>
      <c r="AB28" s="827"/>
      <c r="AC28" s="827"/>
      <c r="AD28" s="827"/>
      <c r="AE28" s="827"/>
      <c r="AF28" s="827"/>
      <c r="AG28" s="827"/>
      <c r="AH28" s="827"/>
      <c r="AI28" s="827"/>
      <c r="AJ28" s="827"/>
      <c r="AK28" s="827"/>
      <c r="AS28" s="539">
        <v>0</v>
      </c>
    </row>
    <row r="29" spans="15:45" ht="25.5" hidden="1" customHeight="1">
      <c r="S29" s="1184" t="s">
        <v>41</v>
      </c>
      <c r="T29" s="1184"/>
      <c r="U29" s="850"/>
      <c r="V29" s="1186" t="str">
        <f>IF(TITLE_NAME_OR_PR_CHANGE="",IF(TITLE_NAME_OR_PR="","",TITLE_NAME_OR_PR),TITLE_NAME_OR_PR_CHANGE)</f>
        <v/>
      </c>
      <c r="W29" s="1186"/>
      <c r="X29" s="1186"/>
      <c r="Y29" s="1186"/>
      <c r="Z29" s="1186"/>
      <c r="AA29" s="1186"/>
      <c r="AB29" s="1186"/>
      <c r="AD29" s="1186" t="str">
        <f>IF(TITLE_NAME_OR_PR_CHANGE="",IF(TITLE_NAME_OR_PR="","",TITLE_NAME_OR_PR),TITLE_NAME_OR_PR_CHANGE)</f>
        <v/>
      </c>
      <c r="AE29" s="1186"/>
      <c r="AF29" s="1186"/>
      <c r="AG29" s="1186"/>
      <c r="AH29" s="1186"/>
      <c r="AI29" s="1186"/>
      <c r="AJ29" s="1186"/>
      <c r="AS29" s="593">
        <v>0</v>
      </c>
    </row>
    <row r="30" spans="15:45" ht="18.75" hidden="1" customHeight="1">
      <c r="S30" s="1184" t="s">
        <v>431</v>
      </c>
      <c r="T30" s="1184"/>
      <c r="U30" s="850"/>
      <c r="V30" s="1185" t="str">
        <f>IF(TITLE_DATE_PR_CHANGE="",IF(TITLE_DATE_PR="","",TITLE_DATE_PR),TITLE_DATE_PR_CHANGE)</f>
        <v/>
      </c>
      <c r="W30" s="1185"/>
      <c r="X30" s="1185"/>
      <c r="Y30" s="1185"/>
      <c r="Z30" s="1185"/>
      <c r="AA30" s="1185"/>
      <c r="AB30" s="1185"/>
      <c r="AD30" s="1185" t="str">
        <f>IF(TITLE_DATE_PR_CHANGE="",IF(TITLE_DATE_PR="","",TITLE_DATE_PR),TITLE_DATE_PR_CHANGE)</f>
        <v/>
      </c>
      <c r="AE30" s="1185"/>
      <c r="AF30" s="1185"/>
      <c r="AG30" s="1185"/>
      <c r="AH30" s="1185"/>
      <c r="AI30" s="1185"/>
      <c r="AJ30" s="1185"/>
      <c r="AS30" s="593">
        <v>0</v>
      </c>
    </row>
    <row r="31" spans="15:45" ht="18.75" hidden="1" customHeight="1">
      <c r="S31" s="1184" t="s">
        <v>432</v>
      </c>
      <c r="T31" s="1184"/>
      <c r="U31" s="850"/>
      <c r="V31" s="1186" t="str">
        <f>IF(TITLE_NUMBER_PR_CHANGE="",IF(TITLE_NUMBER_PR="","",TITLE_NUMBER_PR),TITLE_NUMBER_PR_CHANGE)</f>
        <v/>
      </c>
      <c r="W31" s="1186"/>
      <c r="X31" s="1186"/>
      <c r="Y31" s="1186"/>
      <c r="Z31" s="1186"/>
      <c r="AA31" s="1186"/>
      <c r="AB31" s="1186"/>
      <c r="AD31" s="1186" t="str">
        <f>IF(TITLE_NUMBER_PR_CHANGE="",IF(TITLE_NUMBER_PR="","",TITLE_NUMBER_PR),TITLE_NUMBER_PR_CHANGE)</f>
        <v/>
      </c>
      <c r="AE31" s="1186"/>
      <c r="AF31" s="1186"/>
      <c r="AG31" s="1186"/>
      <c r="AH31" s="1186"/>
      <c r="AI31" s="1186"/>
      <c r="AJ31" s="1186"/>
      <c r="AS31" s="593">
        <v>0</v>
      </c>
    </row>
    <row r="32" spans="15:45" ht="18.75" hidden="1" customHeight="1">
      <c r="S32" s="1184" t="s">
        <v>42</v>
      </c>
      <c r="T32" s="1184"/>
      <c r="U32" s="850"/>
      <c r="V32" s="1186" t="str">
        <f>IF(TITLE_IST_PUB_CHANGE="",IF(TITLE_IST_PUB="","",TITLE_IST_PUB),TITLE_IST_PUB_CHANGE)</f>
        <v/>
      </c>
      <c r="W32" s="1186"/>
      <c r="X32" s="1186"/>
      <c r="Y32" s="1186"/>
      <c r="Z32" s="1186"/>
      <c r="AA32" s="1186"/>
      <c r="AB32" s="1186"/>
      <c r="AD32" s="1186" t="str">
        <f>IF(TITLE_IST_PUB_CHANGE="",IF(TITLE_IST_PUB="","",TITLE_IST_PUB),TITLE_IST_PUB_CHANGE)</f>
        <v/>
      </c>
      <c r="AE32" s="1186"/>
      <c r="AF32" s="1186"/>
      <c r="AG32" s="1186"/>
      <c r="AH32" s="1186"/>
      <c r="AI32" s="1186"/>
      <c r="AJ32" s="1186"/>
      <c r="AS32" s="593">
        <v>0</v>
      </c>
    </row>
    <row r="33" spans="1:45" ht="14.25" hidden="1" customHeight="1">
      <c r="Q33" s="757"/>
      <c r="R33" s="757"/>
      <c r="S33" s="848"/>
      <c r="T33" s="557"/>
      <c r="U33" s="557"/>
      <c r="V33" s="827"/>
      <c r="W33" s="827"/>
      <c r="X33" s="827"/>
      <c r="Y33" s="827"/>
      <c r="Z33" s="827"/>
      <c r="AA33" s="827"/>
      <c r="AB33" s="827"/>
      <c r="AC33" s="827"/>
      <c r="AD33" s="827"/>
      <c r="AE33" s="827"/>
      <c r="AF33" s="827"/>
      <c r="AG33" s="827"/>
      <c r="AH33" s="827"/>
      <c r="AI33" s="827"/>
      <c r="AJ33" s="827"/>
      <c r="AK33" s="827"/>
      <c r="AS33" s="539">
        <v>0</v>
      </c>
    </row>
    <row r="34" spans="1:45" ht="18.75" hidden="1" customHeight="1">
      <c r="S34" s="1184" t="s">
        <v>433</v>
      </c>
      <c r="T34" s="1184"/>
      <c r="U34" s="850"/>
      <c r="V34" s="1185" t="str">
        <f>IF(TITLE_DATE_PR_CHANGE="",IF(TITLE_DATE_PR="","",TITLE_DATE_PR),TITLE_DATE_PR_CHANGE)</f>
        <v/>
      </c>
      <c r="W34" s="1185"/>
      <c r="X34" s="1185"/>
      <c r="Y34" s="1185"/>
      <c r="Z34" s="1185"/>
      <c r="AA34" s="1185"/>
      <c r="AB34" s="1185"/>
      <c r="AD34" s="1185" t="str">
        <f>IF(TITLE_DATE_PR_CHANGE="",IF(TITLE_DATE_PR="","",TITLE_DATE_PR),TITLE_DATE_PR_CHANGE)</f>
        <v/>
      </c>
      <c r="AE34" s="1185"/>
      <c r="AF34" s="1185"/>
      <c r="AG34" s="1185"/>
      <c r="AH34" s="1185"/>
      <c r="AI34" s="1185"/>
      <c r="AJ34" s="1185"/>
      <c r="AS34" s="593">
        <v>0</v>
      </c>
    </row>
    <row r="35" spans="1:45" ht="18.75" hidden="1" customHeight="1">
      <c r="S35" s="1184" t="s">
        <v>434</v>
      </c>
      <c r="T35" s="1184"/>
      <c r="U35" s="850"/>
      <c r="V35" s="1186" t="str">
        <f>IF(TITLE_NUMBER_PR_CHANGE="",IF(TITLE_NUMBER_PR="","",TITLE_NUMBER_PR),TITLE_NUMBER_PR_CHANGE)</f>
        <v/>
      </c>
      <c r="W35" s="1186"/>
      <c r="X35" s="1186"/>
      <c r="Y35" s="1186"/>
      <c r="Z35" s="1186"/>
      <c r="AA35" s="1186"/>
      <c r="AB35" s="1186"/>
      <c r="AD35" s="1186" t="str">
        <f>IF(TITLE_NUMBER_PR_CHANGE="",IF(TITLE_NUMBER_PR="","",TITLE_NUMBER_PR),TITLE_NUMBER_PR_CHANGE)</f>
        <v/>
      </c>
      <c r="AE35" s="1186"/>
      <c r="AF35" s="1186"/>
      <c r="AG35" s="1186"/>
      <c r="AH35" s="1186"/>
      <c r="AI35" s="1186"/>
      <c r="AJ35" s="1186"/>
      <c r="AS35" s="593">
        <v>0</v>
      </c>
    </row>
    <row r="36" spans="1:45" ht="0" hidden="1" customHeight="1">
      <c r="AC36" s="578" t="s">
        <v>435</v>
      </c>
      <c r="AK36" s="578" t="s">
        <v>435</v>
      </c>
      <c r="AS36" s="593">
        <v>0</v>
      </c>
    </row>
    <row r="37" spans="1:45" ht="14.65" customHeight="1">
      <c r="Q37" s="757"/>
      <c r="R37" s="757"/>
      <c r="S37" s="848"/>
      <c r="T37" s="557"/>
      <c r="U37" s="851"/>
      <c r="V37" s="1204"/>
      <c r="W37" s="1204"/>
      <c r="X37" s="1204"/>
      <c r="Y37" s="1204"/>
      <c r="Z37" s="1204"/>
      <c r="AA37" s="1204"/>
      <c r="AB37" s="1204"/>
      <c r="AC37" s="1204"/>
      <c r="AD37" s="1204"/>
      <c r="AE37" s="1204"/>
      <c r="AF37" s="1204"/>
      <c r="AG37" s="1204"/>
      <c r="AH37" s="1204"/>
      <c r="AI37" s="1204"/>
      <c r="AJ37" s="1204"/>
      <c r="AK37" s="1204"/>
      <c r="AS37" s="539">
        <v>14</v>
      </c>
    </row>
    <row r="38" spans="1:45" ht="14.65" customHeight="1">
      <c r="Q38" s="757"/>
      <c r="R38" s="757"/>
      <c r="S38" s="1070" t="s">
        <v>308</v>
      </c>
      <c r="T38" s="1070"/>
      <c r="U38" s="1070"/>
      <c r="V38" s="1070"/>
      <c r="W38" s="1070"/>
      <c r="X38" s="1070"/>
      <c r="Y38" s="1070"/>
      <c r="Z38" s="1070"/>
      <c r="AA38" s="1070"/>
      <c r="AB38" s="1070"/>
      <c r="AC38" s="1070"/>
      <c r="AD38" s="1070"/>
      <c r="AE38" s="1070"/>
      <c r="AF38" s="1070"/>
      <c r="AG38" s="1070"/>
      <c r="AH38" s="1070"/>
      <c r="AI38" s="1070"/>
      <c r="AJ38" s="1070"/>
      <c r="AK38" s="1070"/>
      <c r="AL38" s="1070"/>
      <c r="AM38" s="1070" t="s">
        <v>309</v>
      </c>
      <c r="AS38" s="539">
        <v>14</v>
      </c>
    </row>
    <row r="39" spans="1:45" ht="14.65" customHeight="1">
      <c r="Q39" s="757"/>
      <c r="R39" s="757"/>
      <c r="S39" s="1205" t="s">
        <v>87</v>
      </c>
      <c r="T39" s="1155" t="s">
        <v>436</v>
      </c>
      <c r="U39" s="818"/>
      <c r="V39" s="1206" t="s">
        <v>437</v>
      </c>
      <c r="W39" s="1207"/>
      <c r="X39" s="1207"/>
      <c r="Y39" s="1207"/>
      <c r="Z39" s="1207"/>
      <c r="AA39" s="1207"/>
      <c r="AB39" s="1208"/>
      <c r="AC39" s="1209" t="s">
        <v>438</v>
      </c>
      <c r="AD39" s="1206" t="s">
        <v>437</v>
      </c>
      <c r="AE39" s="1207"/>
      <c r="AF39" s="1207"/>
      <c r="AG39" s="1207"/>
      <c r="AH39" s="1207"/>
      <c r="AI39" s="1207"/>
      <c r="AJ39" s="1208"/>
      <c r="AK39" s="1209" t="s">
        <v>439</v>
      </c>
      <c r="AL39" s="1212" t="s">
        <v>440</v>
      </c>
      <c r="AM39" s="1070"/>
      <c r="AS39" s="539">
        <v>14</v>
      </c>
    </row>
    <row r="40" spans="1:45" ht="35.65" customHeight="1">
      <c r="Q40" s="757"/>
      <c r="R40" s="757"/>
      <c r="S40" s="1205"/>
      <c r="T40" s="1155"/>
      <c r="U40" s="823"/>
      <c r="V40" s="1128" t="s">
        <v>441</v>
      </c>
      <c r="W40" s="1201"/>
      <c r="X40" s="1051" t="s">
        <v>443</v>
      </c>
      <c r="Y40" s="1050"/>
      <c r="Z40" s="1051" t="s">
        <v>444</v>
      </c>
      <c r="AA40" s="1056"/>
      <c r="AB40" s="1050"/>
      <c r="AC40" s="1210"/>
      <c r="AD40" s="1128" t="s">
        <v>458</v>
      </c>
      <c r="AE40" s="1201"/>
      <c r="AF40" s="1051" t="s">
        <v>443</v>
      </c>
      <c r="AG40" s="1050"/>
      <c r="AH40" s="1051" t="s">
        <v>444</v>
      </c>
      <c r="AI40" s="1056"/>
      <c r="AJ40" s="1050"/>
      <c r="AK40" s="1210"/>
      <c r="AL40" s="1213"/>
      <c r="AM40" s="1070"/>
      <c r="AS40" s="539">
        <v>34</v>
      </c>
    </row>
    <row r="41" spans="1:45" ht="35.65" customHeight="1">
      <c r="B41" s="599" t="s">
        <v>145</v>
      </c>
      <c r="C41" s="599" t="s">
        <v>146</v>
      </c>
      <c r="D41" s="599" t="s">
        <v>147</v>
      </c>
      <c r="E41" s="842" t="s">
        <v>445</v>
      </c>
      <c r="F41" s="842" t="s">
        <v>446</v>
      </c>
      <c r="G41" s="842" t="s">
        <v>447</v>
      </c>
      <c r="H41" s="842" t="s">
        <v>448</v>
      </c>
      <c r="I41" s="842" t="s">
        <v>449</v>
      </c>
      <c r="J41" s="842" t="s">
        <v>450</v>
      </c>
      <c r="K41" s="842" t="s">
        <v>451</v>
      </c>
      <c r="L41" s="842" t="s">
        <v>426</v>
      </c>
      <c r="Q41" s="757"/>
      <c r="R41" s="757"/>
      <c r="S41" s="1205"/>
      <c r="T41" s="1155"/>
      <c r="U41" s="853"/>
      <c r="V41" s="1179"/>
      <c r="W41" s="1202"/>
      <c r="X41" s="603" t="s">
        <v>452</v>
      </c>
      <c r="Y41" s="603" t="s">
        <v>453</v>
      </c>
      <c r="Z41" s="603" t="s">
        <v>454</v>
      </c>
      <c r="AA41" s="1160" t="s">
        <v>455</v>
      </c>
      <c r="AB41" s="1173"/>
      <c r="AC41" s="1211"/>
      <c r="AD41" s="1179"/>
      <c r="AE41" s="1202"/>
      <c r="AF41" s="603" t="s">
        <v>452</v>
      </c>
      <c r="AG41" s="603" t="s">
        <v>453</v>
      </c>
      <c r="AH41" s="603" t="s">
        <v>454</v>
      </c>
      <c r="AI41" s="1160" t="s">
        <v>455</v>
      </c>
      <c r="AJ41" s="1173"/>
      <c r="AK41" s="1211"/>
      <c r="AL41" s="1214"/>
      <c r="AM41" s="1070"/>
      <c r="AS41" s="539">
        <v>34</v>
      </c>
    </row>
    <row r="42" spans="1:45" ht="11.25" hidden="1" customHeight="1">
      <c r="Q42" s="854"/>
      <c r="R42" s="855">
        <v>1</v>
      </c>
      <c r="S42" s="330" t="s">
        <v>114</v>
      </c>
      <c r="T42" s="331" t="s">
        <v>102</v>
      </c>
      <c r="U42" s="856" t="str">
        <f ca="1">OFFSET(U42,0,-1)</f>
        <v>2</v>
      </c>
      <c r="V42" s="857">
        <f ca="1">OFFSET(V42,0,-1)+1</f>
        <v>3</v>
      </c>
      <c r="W42" s="857"/>
      <c r="X42" s="857">
        <f ca="1">OFFSET(X42,0,-1)+1</f>
        <v>1</v>
      </c>
      <c r="Y42" s="857">
        <f ca="1">OFFSET(Y42,0,-1)+1</f>
        <v>2</v>
      </c>
      <c r="Z42" s="857">
        <f ca="1">OFFSET(Z42,0,-1)+1</f>
        <v>3</v>
      </c>
      <c r="AA42" s="1203">
        <f ca="1">OFFSET(AA42,0,-1)+1</f>
        <v>4</v>
      </c>
      <c r="AB42" s="1203"/>
      <c r="AC42" s="857">
        <f ca="1">OFFSET(AC42,0,-2)+1</f>
        <v>5</v>
      </c>
      <c r="AD42" s="857">
        <f ca="1">OFFSET(AD42,0,-1)+1</f>
        <v>6</v>
      </c>
      <c r="AE42" s="857"/>
      <c r="AF42" s="857">
        <f ca="1">OFFSET(AF42,0,-1)+1</f>
        <v>1</v>
      </c>
      <c r="AG42" s="857">
        <f ca="1">OFFSET(AG42,0,-1)+1</f>
        <v>2</v>
      </c>
      <c r="AH42" s="857">
        <f ca="1">OFFSET(AH42,0,-1)+1</f>
        <v>3</v>
      </c>
      <c r="AI42" s="1203">
        <f ca="1">OFFSET(AI42,0,-1)+1</f>
        <v>4</v>
      </c>
      <c r="AJ42" s="1203"/>
      <c r="AK42" s="857">
        <f ca="1">OFFSET(AK42,0,-2)+1</f>
        <v>5</v>
      </c>
      <c r="AL42" s="856">
        <f ca="1">OFFSET(AL42,0,-1)</f>
        <v>5</v>
      </c>
      <c r="AM42" s="857">
        <f ca="1">OFFSET(AM42,0,-1)+1</f>
        <v>6</v>
      </c>
      <c r="AS42" s="682">
        <v>0</v>
      </c>
    </row>
    <row r="43" spans="1:45" ht="21.95" customHeight="1">
      <c r="A43" s="858" t="s">
        <v>190</v>
      </c>
      <c r="E43" s="1192">
        <v>1</v>
      </c>
      <c r="R43" s="311"/>
      <c r="S43" s="833">
        <f>INDEX(PT_DIFFERENTIATION_NUM_NTAR,MATCH(A43,PT_DIFFERENTIATION_NTAR_ID,0))</f>
        <v>0</v>
      </c>
      <c r="T43" s="796" t="s">
        <v>133</v>
      </c>
      <c r="U43" s="834"/>
      <c r="V43" s="1187"/>
      <c r="W43" s="1188"/>
      <c r="X43" s="1188"/>
      <c r="Y43" s="1188"/>
      <c r="Z43" s="1188"/>
      <c r="AA43" s="1188"/>
      <c r="AB43" s="1188"/>
      <c r="AC43" s="1189"/>
      <c r="AD43" s="1187" t="str">
        <f>INDEX(PT_DIFFERENTIATION_NTAR,MATCH(A43,PT_DIFFERENTIATION_NTAR_ID,0))</f>
        <v/>
      </c>
      <c r="AE43" s="1188"/>
      <c r="AF43" s="1188"/>
      <c r="AG43" s="1188"/>
      <c r="AH43" s="1188"/>
      <c r="AI43" s="1188"/>
      <c r="AJ43" s="1188"/>
      <c r="AK43" s="1188"/>
      <c r="AL43" s="1189"/>
      <c r="AM43" s="83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3" t="str">
        <f t="shared" ref="AP43:AP57" si="1">IF(T43="","",T43)</f>
        <v>Наименование тарифа</v>
      </c>
      <c r="AS43" s="539">
        <v>21</v>
      </c>
    </row>
    <row r="44" spans="1:45" ht="21.95" customHeight="1">
      <c r="A44" s="858" t="s">
        <v>190</v>
      </c>
      <c r="B44" s="858" t="s">
        <v>191</v>
      </c>
      <c r="E44" s="1193"/>
      <c r="F44" s="1192">
        <v>1</v>
      </c>
      <c r="Q44" s="837"/>
      <c r="R44" s="838"/>
      <c r="S44" s="833" t="str">
        <f>INDEX(PT_DIFFERENTIATION_NUM_TER,MATCH(B44,PT_DIFFERENTIATION_TER_ID,0))</f>
        <v>.</v>
      </c>
      <c r="T44" s="839" t="s">
        <v>405</v>
      </c>
      <c r="U44" s="834"/>
      <c r="V44" s="1187"/>
      <c r="W44" s="1188"/>
      <c r="X44" s="1188"/>
      <c r="Y44" s="1188"/>
      <c r="Z44" s="1188"/>
      <c r="AA44" s="1188"/>
      <c r="AB44" s="1188"/>
      <c r="AC44" s="1189"/>
      <c r="AD44" s="1187" t="str">
        <f>INDEX(PT_DIFFERENTIATION_TER,MATCH(B44,PT_DIFFERENTIATION_TER_ID,0))</f>
        <v/>
      </c>
      <c r="AE44" s="1188"/>
      <c r="AF44" s="1188"/>
      <c r="AG44" s="1188"/>
      <c r="AH44" s="1188"/>
      <c r="AI44" s="1188"/>
      <c r="AJ44" s="1188"/>
      <c r="AK44" s="1188"/>
      <c r="AL44" s="1189"/>
      <c r="AM44" s="836" t="s">
        <v>406</v>
      </c>
      <c r="AP44" s="583" t="str">
        <f t="shared" si="1"/>
        <v>Территория действия тарифа</v>
      </c>
      <c r="AS44" s="539">
        <v>21</v>
      </c>
    </row>
    <row r="45" spans="1:45" ht="24" customHeight="1">
      <c r="A45" s="858" t="s">
        <v>190</v>
      </c>
      <c r="B45" s="858" t="s">
        <v>191</v>
      </c>
      <c r="C45" s="858" t="s">
        <v>192</v>
      </c>
      <c r="E45" s="1193"/>
      <c r="F45" s="1193"/>
      <c r="G45" s="1192">
        <v>1</v>
      </c>
      <c r="Q45" s="837"/>
      <c r="R45" s="838"/>
      <c r="S45" s="833" t="str">
        <f>INDEX(PT_DIFFERENTIATION_NUM_CS,MATCH(C45,PT_DIFFERENTIATION_CS_ID,0))</f>
        <v>..</v>
      </c>
      <c r="T45" s="840" t="s">
        <v>407</v>
      </c>
      <c r="U45" s="834"/>
      <c r="V45" s="1187"/>
      <c r="W45" s="1188"/>
      <c r="X45" s="1188"/>
      <c r="Y45" s="1188"/>
      <c r="Z45" s="1188"/>
      <c r="AA45" s="1188"/>
      <c r="AB45" s="1188"/>
      <c r="AC45" s="1189"/>
      <c r="AD45" s="1187" t="str">
        <f>INDEX(PT_DIFFERENTIATION_CS,MATCH(C45,PT_DIFFERENTIATION_CS_ID,0))</f>
        <v/>
      </c>
      <c r="AE45" s="1188"/>
      <c r="AF45" s="1188"/>
      <c r="AG45" s="1188"/>
      <c r="AH45" s="1188"/>
      <c r="AI45" s="1188"/>
      <c r="AJ45" s="1188"/>
      <c r="AK45" s="1188"/>
      <c r="AL45" s="1189"/>
      <c r="AM45" s="836" t="s">
        <v>408</v>
      </c>
      <c r="AP45" s="583" t="str">
        <f t="shared" si="1"/>
        <v xml:space="preserve">Наименование системы теплоснабжения </v>
      </c>
      <c r="AS45" s="539">
        <v>23</v>
      </c>
    </row>
    <row r="46" spans="1:45" ht="21.95" customHeight="1">
      <c r="A46" s="858" t="s">
        <v>190</v>
      </c>
      <c r="B46" s="858" t="s">
        <v>191</v>
      </c>
      <c r="C46" s="858" t="s">
        <v>192</v>
      </c>
      <c r="D46" s="858" t="s">
        <v>193</v>
      </c>
      <c r="E46" s="1193"/>
      <c r="F46" s="1193"/>
      <c r="G46" s="1193"/>
      <c r="H46" s="1192">
        <v>1</v>
      </c>
      <c r="Q46" s="837"/>
      <c r="R46" s="838"/>
      <c r="S46" s="833" t="str">
        <f>INDEX(PT_DIFFERENTIATION_NUM_IST_TE,MATCH(D46,PT_DIFFERENTIATION_IST_TE_ID,0))</f>
        <v>...</v>
      </c>
      <c r="T46" s="841" t="s">
        <v>409</v>
      </c>
      <c r="U46" s="834"/>
      <c r="V46" s="1187"/>
      <c r="W46" s="1188"/>
      <c r="X46" s="1188"/>
      <c r="Y46" s="1188"/>
      <c r="Z46" s="1188"/>
      <c r="AA46" s="1188"/>
      <c r="AB46" s="1188"/>
      <c r="AC46" s="1189"/>
      <c r="AD46" s="1187" t="str">
        <f>INDEX(PT_DIFFERENTIATION_IST_TE,MATCH(D46,PT_DIFFERENTIATION_IST_TE_ID,0))</f>
        <v/>
      </c>
      <c r="AE46" s="1188"/>
      <c r="AF46" s="1188"/>
      <c r="AG46" s="1188"/>
      <c r="AH46" s="1188"/>
      <c r="AI46" s="1188"/>
      <c r="AJ46" s="1188"/>
      <c r="AK46" s="1188"/>
      <c r="AL46" s="1189"/>
      <c r="AM46" s="836" t="s">
        <v>410</v>
      </c>
      <c r="AP46" s="583" t="str">
        <f t="shared" si="1"/>
        <v xml:space="preserve">Источник тепловой энергии  </v>
      </c>
      <c r="AS46" s="539">
        <v>21</v>
      </c>
    </row>
    <row r="47" spans="1:45" ht="0" hidden="1" customHeight="1">
      <c r="A47" s="575" t="s">
        <v>190</v>
      </c>
      <c r="B47" s="575" t="s">
        <v>191</v>
      </c>
      <c r="C47" s="575" t="s">
        <v>192</v>
      </c>
      <c r="D47" s="575" t="s">
        <v>193</v>
      </c>
      <c r="E47" s="1193"/>
      <c r="F47" s="1193"/>
      <c r="G47" s="1193"/>
      <c r="H47" s="1193"/>
      <c r="I47" s="1194" t="str">
        <f>S46&amp;".1"</f>
        <v>....1</v>
      </c>
      <c r="L47" s="864" t="s">
        <v>411</v>
      </c>
      <c r="P47" s="1196">
        <v>1</v>
      </c>
      <c r="R47" s="843"/>
      <c r="S47" s="636"/>
      <c r="T47" s="860"/>
      <c r="U47" s="861"/>
      <c r="V47" s="1223"/>
      <c r="W47" s="1224"/>
      <c r="X47" s="1224"/>
      <c r="Y47" s="1224"/>
      <c r="Z47" s="1224"/>
      <c r="AA47" s="1224"/>
      <c r="AB47" s="1224"/>
      <c r="AC47" s="1225"/>
      <c r="AD47" s="1223"/>
      <c r="AE47" s="1224"/>
      <c r="AF47" s="1224"/>
      <c r="AG47" s="1224"/>
      <c r="AH47" s="1224"/>
      <c r="AI47" s="1224"/>
      <c r="AJ47" s="1224"/>
      <c r="AK47" s="1224"/>
      <c r="AL47" s="1225"/>
      <c r="AM47" s="863"/>
      <c r="AP47" s="583" t="str">
        <f t="shared" si="1"/>
        <v/>
      </c>
      <c r="AS47" s="578">
        <v>0</v>
      </c>
    </row>
    <row r="48" spans="1:45" ht="21.95" customHeight="1">
      <c r="A48" s="858" t="s">
        <v>190</v>
      </c>
      <c r="B48" s="858" t="s">
        <v>191</v>
      </c>
      <c r="C48" s="858" t="s">
        <v>192</v>
      </c>
      <c r="D48" s="858" t="s">
        <v>193</v>
      </c>
      <c r="E48" s="1193"/>
      <c r="F48" s="1193"/>
      <c r="G48" s="1193"/>
      <c r="H48" s="1193"/>
      <c r="I48" s="1195"/>
      <c r="J48" s="1194" t="str">
        <f>S46&amp;".1"</f>
        <v>....1</v>
      </c>
      <c r="L48" s="842" t="s">
        <v>414</v>
      </c>
      <c r="P48" s="1038"/>
      <c r="Q48" s="1196">
        <v>1</v>
      </c>
      <c r="R48" s="845"/>
      <c r="S48" s="833" t="str">
        <f>$J48</f>
        <v>....1</v>
      </c>
      <c r="T48" s="846" t="s">
        <v>415</v>
      </c>
      <c r="U48" s="834"/>
      <c r="V48" s="1181"/>
      <c r="W48" s="1182"/>
      <c r="X48" s="1182"/>
      <c r="Y48" s="1182"/>
      <c r="Z48" s="1182"/>
      <c r="AA48" s="1182"/>
      <c r="AB48" s="1182"/>
      <c r="AC48" s="1183"/>
      <c r="AD48" s="1181"/>
      <c r="AE48" s="1182"/>
      <c r="AF48" s="1182"/>
      <c r="AG48" s="1182"/>
      <c r="AH48" s="1182"/>
      <c r="AI48" s="1182"/>
      <c r="AJ48" s="1182"/>
      <c r="AK48" s="1182"/>
      <c r="AL48" s="1183"/>
      <c r="AM48" s="836" t="s">
        <v>416</v>
      </c>
      <c r="AP48" s="583" t="str">
        <f t="shared" si="1"/>
        <v>Группа потребителей</v>
      </c>
      <c r="AS48" s="539">
        <v>21</v>
      </c>
    </row>
    <row r="49" spans="1:45" ht="21.95" customHeight="1">
      <c r="A49" s="858" t="s">
        <v>190</v>
      </c>
      <c r="B49" s="858" t="s">
        <v>191</v>
      </c>
      <c r="C49" s="858" t="s">
        <v>192</v>
      </c>
      <c r="D49" s="858" t="s">
        <v>193</v>
      </c>
      <c r="E49" s="1193"/>
      <c r="F49" s="1193"/>
      <c r="G49" s="1193"/>
      <c r="H49" s="1193"/>
      <c r="I49" s="1195"/>
      <c r="J49" s="1195"/>
      <c r="K49" s="1194" t="str">
        <f>J48&amp;".1"</f>
        <v>....1.1</v>
      </c>
      <c r="L49" s="842" t="s">
        <v>417</v>
      </c>
      <c r="P49" s="1038"/>
      <c r="Q49" s="1038"/>
      <c r="R49" s="845">
        <v>1</v>
      </c>
      <c r="S49" s="833" t="str">
        <f>$K49</f>
        <v>....1.1</v>
      </c>
      <c r="T49" s="847"/>
      <c r="U49" s="834"/>
      <c r="V49" s="312"/>
      <c r="W49" s="313"/>
      <c r="X49" s="312"/>
      <c r="Y49" s="314"/>
      <c r="Z49" s="1197"/>
      <c r="AA49" s="1079" t="s">
        <v>61</v>
      </c>
      <c r="AB49" s="1197"/>
      <c r="AC49" s="1079" t="s">
        <v>61</v>
      </c>
      <c r="AD49" s="312"/>
      <c r="AE49" s="313"/>
      <c r="AF49" s="312"/>
      <c r="AG49" s="314"/>
      <c r="AH49" s="1197"/>
      <c r="AI49" s="1079" t="s">
        <v>61</v>
      </c>
      <c r="AJ49" s="1199"/>
      <c r="AK49" s="1079" t="s">
        <v>61</v>
      </c>
      <c r="AL49" s="332"/>
      <c r="AM49" s="1215" t="s">
        <v>459</v>
      </c>
      <c r="AN49" s="578" t="e">
        <f ca="1">STRCHECKDATE(V50:AL50)</f>
        <v>#NAME?</v>
      </c>
      <c r="AP49" s="583" t="str">
        <f t="shared" si="1"/>
        <v/>
      </c>
      <c r="AS49" s="539">
        <v>21</v>
      </c>
    </row>
    <row r="50" spans="1:45" ht="1.1499999999999999" customHeight="1">
      <c r="A50" s="858" t="s">
        <v>190</v>
      </c>
      <c r="B50" s="858" t="s">
        <v>191</v>
      </c>
      <c r="C50" s="858" t="s">
        <v>192</v>
      </c>
      <c r="D50" s="858" t="s">
        <v>193</v>
      </c>
      <c r="E50" s="1193"/>
      <c r="F50" s="1193"/>
      <c r="G50" s="1193"/>
      <c r="H50" s="1193"/>
      <c r="I50" s="1195"/>
      <c r="J50" s="1195"/>
      <c r="K50" s="1194"/>
      <c r="P50" s="1038"/>
      <c r="Q50" s="1038"/>
      <c r="R50" s="845"/>
      <c r="S50" s="127"/>
      <c r="T50" s="834"/>
      <c r="U50" s="834"/>
      <c r="V50" s="313"/>
      <c r="W50" s="313"/>
      <c r="X50" s="313"/>
      <c r="Y50" s="315" t="str">
        <f>Z49&amp;"-"&amp;AB49</f>
        <v>-</v>
      </c>
      <c r="Z50" s="1198"/>
      <c r="AA50" s="1079"/>
      <c r="AB50" s="1198"/>
      <c r="AC50" s="1079"/>
      <c r="AD50" s="313"/>
      <c r="AE50" s="313"/>
      <c r="AF50" s="313"/>
      <c r="AG50" s="315" t="str">
        <f>AH49&amp;"-"&amp;AJ49</f>
        <v>-</v>
      </c>
      <c r="AH50" s="1198"/>
      <c r="AI50" s="1079"/>
      <c r="AJ50" s="1200"/>
      <c r="AK50" s="1079"/>
      <c r="AL50" s="333"/>
      <c r="AM50" s="1216"/>
      <c r="AP50" s="583" t="str">
        <f t="shared" si="1"/>
        <v/>
      </c>
      <c r="AS50" s="539">
        <v>1</v>
      </c>
    </row>
    <row r="51" spans="1:45" ht="11.45" customHeight="1">
      <c r="A51" s="858" t="s">
        <v>190</v>
      </c>
      <c r="B51" s="858" t="s">
        <v>191</v>
      </c>
      <c r="C51" s="858" t="s">
        <v>192</v>
      </c>
      <c r="D51" s="858" t="s">
        <v>193</v>
      </c>
      <c r="E51" s="1193"/>
      <c r="F51" s="1193"/>
      <c r="G51" s="1193"/>
      <c r="H51" s="1193"/>
      <c r="I51" s="1195"/>
      <c r="J51" s="1194"/>
      <c r="P51" s="1038"/>
      <c r="Q51" s="1038"/>
      <c r="R51" s="843"/>
      <c r="S51" s="316"/>
      <c r="T51" s="319" t="s">
        <v>419</v>
      </c>
      <c r="U51" s="52"/>
      <c r="V51" s="52"/>
      <c r="W51" s="52"/>
      <c r="X51" s="52"/>
      <c r="Y51" s="52"/>
      <c r="Z51" s="52"/>
      <c r="AA51" s="52"/>
      <c r="AB51" s="52"/>
      <c r="AC51" s="52"/>
      <c r="AD51" s="52"/>
      <c r="AE51" s="52"/>
      <c r="AF51" s="52"/>
      <c r="AG51" s="52"/>
      <c r="AH51" s="52"/>
      <c r="AI51" s="52"/>
      <c r="AJ51" s="52"/>
      <c r="AK51" s="52"/>
      <c r="AL51" s="318"/>
      <c r="AM51" s="1217"/>
      <c r="AP51" s="583" t="str">
        <f t="shared" si="1"/>
        <v>Добавить вид теплоносителя (параметры теплоносителя)</v>
      </c>
      <c r="AS51" s="539">
        <v>11</v>
      </c>
    </row>
    <row r="52" spans="1:45" ht="11.45" customHeight="1">
      <c r="A52" s="858" t="s">
        <v>190</v>
      </c>
      <c r="B52" s="858" t="s">
        <v>191</v>
      </c>
      <c r="C52" s="858" t="s">
        <v>192</v>
      </c>
      <c r="D52" s="858" t="s">
        <v>193</v>
      </c>
      <c r="E52" s="1193"/>
      <c r="F52" s="1193"/>
      <c r="G52" s="1193"/>
      <c r="H52" s="1193"/>
      <c r="I52" s="1194"/>
      <c r="P52" s="1038"/>
      <c r="R52" s="843"/>
      <c r="S52" s="316"/>
      <c r="T52" s="322" t="s">
        <v>420</v>
      </c>
      <c r="U52" s="52"/>
      <c r="V52" s="52"/>
      <c r="W52" s="52"/>
      <c r="X52" s="52"/>
      <c r="Y52" s="52"/>
      <c r="Z52" s="52"/>
      <c r="AA52" s="52"/>
      <c r="AB52" s="52"/>
      <c r="AC52" s="320"/>
      <c r="AD52" s="52"/>
      <c r="AE52" s="52"/>
      <c r="AF52" s="52"/>
      <c r="AG52" s="52"/>
      <c r="AH52" s="52"/>
      <c r="AI52" s="52"/>
      <c r="AJ52" s="52"/>
      <c r="AK52" s="320"/>
      <c r="AL52" s="52"/>
      <c r="AM52" s="321"/>
      <c r="AP52" s="583" t="str">
        <f t="shared" si="1"/>
        <v>Добавить группу потребителей</v>
      </c>
      <c r="AS52" s="539">
        <v>11</v>
      </c>
    </row>
    <row r="53" spans="1:45" ht="0" hidden="1" customHeight="1">
      <c r="A53" s="858" t="s">
        <v>190</v>
      </c>
      <c r="B53" s="858" t="s">
        <v>191</v>
      </c>
      <c r="C53" s="858" t="s">
        <v>192</v>
      </c>
      <c r="D53" s="858" t="s">
        <v>193</v>
      </c>
      <c r="E53" s="1193"/>
      <c r="F53" s="1193"/>
      <c r="G53" s="1193"/>
      <c r="H53" s="1192"/>
      <c r="R53" s="311"/>
      <c r="S53" s="335"/>
      <c r="T53" s="336"/>
      <c r="U53" s="337"/>
      <c r="V53" s="337"/>
      <c r="W53" s="337"/>
      <c r="X53" s="337"/>
      <c r="Y53" s="337"/>
      <c r="Z53" s="337"/>
      <c r="AA53" s="337"/>
      <c r="AB53" s="337"/>
      <c r="AC53" s="337"/>
      <c r="AD53" s="337"/>
      <c r="AE53" s="337"/>
      <c r="AF53" s="337"/>
      <c r="AG53" s="337"/>
      <c r="AH53" s="337"/>
      <c r="AI53" s="337"/>
      <c r="AJ53" s="337"/>
      <c r="AK53" s="337"/>
      <c r="AL53" s="337"/>
      <c r="AM53" s="338"/>
      <c r="AP53" s="583" t="str">
        <f t="shared" si="1"/>
        <v/>
      </c>
      <c r="AS53" s="539">
        <v>0</v>
      </c>
    </row>
    <row r="54" spans="1:45" ht="1.1499999999999999" customHeight="1">
      <c r="A54" s="575" t="s">
        <v>190</v>
      </c>
      <c r="B54" s="575" t="s">
        <v>191</v>
      </c>
      <c r="C54" s="575" t="s">
        <v>192</v>
      </c>
      <c r="E54" s="1193"/>
      <c r="F54" s="1193"/>
      <c r="G54" s="1192"/>
      <c r="T54" s="327" t="s">
        <v>422</v>
      </c>
      <c r="AP54" s="583" t="str">
        <f t="shared" si="1"/>
        <v>Добавить источник для дифференциации</v>
      </c>
      <c r="AS54" s="578">
        <v>1</v>
      </c>
    </row>
    <row r="55" spans="1:45" ht="1.1499999999999999" customHeight="1">
      <c r="A55" s="575" t="s">
        <v>190</v>
      </c>
      <c r="B55" s="575" t="s">
        <v>191</v>
      </c>
      <c r="E55" s="1193"/>
      <c r="F55" s="1192"/>
      <c r="T55" s="327" t="s">
        <v>423</v>
      </c>
      <c r="AP55" s="583" t="str">
        <f t="shared" si="1"/>
        <v>Добавить централизованную систему для дифференциации</v>
      </c>
      <c r="AS55" s="578">
        <v>1</v>
      </c>
    </row>
    <row r="56" spans="1:45" ht="1.1499999999999999" customHeight="1">
      <c r="A56" s="575" t="s">
        <v>190</v>
      </c>
      <c r="E56" s="1192"/>
      <c r="T56" s="327" t="s">
        <v>424</v>
      </c>
      <c r="AP56" s="583" t="str">
        <f t="shared" si="1"/>
        <v>Добавить территорию для дифференциации</v>
      </c>
      <c r="AS56" s="578">
        <v>1</v>
      </c>
    </row>
    <row r="57" spans="1:45" ht="1.1499999999999999" customHeight="1">
      <c r="T57" s="327" t="s">
        <v>456</v>
      </c>
      <c r="AP57" s="583" t="str">
        <f t="shared" si="1"/>
        <v>Добавить наименование тарифа</v>
      </c>
      <c r="AS57" s="578">
        <v>1</v>
      </c>
    </row>
    <row r="58" spans="1:45" ht="11.45" customHeight="1">
      <c r="AS58" s="539">
        <v>11</v>
      </c>
    </row>
    <row r="59" spans="1:45" ht="23.25" customHeight="1">
      <c r="T59" s="1038"/>
      <c r="U59" s="1038"/>
      <c r="V59" s="1038"/>
      <c r="W59" s="1038"/>
      <c r="X59" s="1038"/>
      <c r="Y59" s="1038"/>
      <c r="Z59" s="1038"/>
      <c r="AA59" s="1038"/>
      <c r="AB59" s="1038"/>
      <c r="AC59" s="1038"/>
      <c r="AD59" s="1038"/>
      <c r="AE59" s="1038"/>
      <c r="AF59" s="1038"/>
      <c r="AG59" s="1038"/>
      <c r="AH59" s="1038"/>
      <c r="AI59" s="1038"/>
      <c r="AJ59" s="1038"/>
      <c r="AK59" s="1038"/>
      <c r="AL59" s="1038"/>
      <c r="AM59" s="1038"/>
      <c r="AS59" s="539">
        <v>22</v>
      </c>
    </row>
    <row r="60" spans="1:45" ht="30.4" customHeight="1">
      <c r="T60" s="1038"/>
      <c r="U60" s="1038"/>
      <c r="V60" s="1038"/>
      <c r="W60" s="1038"/>
      <c r="X60" s="1038"/>
      <c r="Y60" s="1038"/>
      <c r="Z60" s="1038"/>
      <c r="AA60" s="1038"/>
      <c r="AB60" s="1038"/>
      <c r="AC60" s="1038"/>
      <c r="AD60" s="1038"/>
      <c r="AE60" s="1038"/>
      <c r="AF60" s="1038"/>
      <c r="AG60" s="1038"/>
      <c r="AH60" s="1038"/>
      <c r="AI60" s="1038"/>
      <c r="AJ60" s="1038"/>
      <c r="AK60" s="1038"/>
      <c r="AL60" s="1038"/>
      <c r="AM60" s="1038"/>
      <c r="AS60" s="539">
        <v>29</v>
      </c>
    </row>
    <row r="61" spans="1:45" ht="42" customHeight="1">
      <c r="T61" s="1038"/>
      <c r="U61" s="1038"/>
      <c r="V61" s="1038"/>
      <c r="W61" s="1038"/>
      <c r="X61" s="1038"/>
      <c r="Y61" s="1038"/>
      <c r="Z61" s="1038"/>
      <c r="AA61" s="1038"/>
      <c r="AB61" s="1038"/>
      <c r="AC61" s="1038"/>
      <c r="AD61" s="1038"/>
      <c r="AE61" s="1038"/>
      <c r="AF61" s="1038"/>
      <c r="AG61" s="1038"/>
      <c r="AH61" s="1038"/>
      <c r="AI61" s="1038"/>
      <c r="AJ61" s="1038"/>
      <c r="AK61" s="1038"/>
      <c r="AL61" s="1038"/>
      <c r="AM61" s="1038"/>
      <c r="AS61" s="539">
        <v>40</v>
      </c>
    </row>
    <row r="62" spans="1:45" ht="14.65" customHeight="1">
      <c r="AS62" s="539">
        <v>14</v>
      </c>
    </row>
    <row r="63" spans="1:45" ht="21" customHeight="1">
      <c r="T63" s="1038"/>
      <c r="U63" s="1038"/>
      <c r="V63" s="1038"/>
      <c r="W63" s="1038"/>
      <c r="X63" s="1038"/>
      <c r="Y63" s="1038"/>
      <c r="Z63" s="1038"/>
      <c r="AA63" s="1038"/>
      <c r="AB63" s="1038"/>
      <c r="AC63" s="1038"/>
      <c r="AD63" s="1038"/>
      <c r="AE63" s="1038"/>
      <c r="AF63" s="1038"/>
      <c r="AG63" s="1038"/>
      <c r="AH63" s="1038"/>
      <c r="AI63" s="1038"/>
      <c r="AJ63" s="1038"/>
      <c r="AK63" s="1038"/>
      <c r="AL63" s="1038"/>
      <c r="AM63" s="1038"/>
      <c r="AS63" s="539">
        <v>20</v>
      </c>
    </row>
    <row r="64" spans="1:45" ht="29.25" customHeight="1">
      <c r="T64" s="1038"/>
      <c r="U64" s="1038"/>
      <c r="V64" s="1038"/>
      <c r="W64" s="1038"/>
      <c r="X64" s="1038"/>
      <c r="Y64" s="1038"/>
      <c r="Z64" s="1038"/>
      <c r="AA64" s="1038"/>
      <c r="AB64" s="1038"/>
      <c r="AC64" s="1038"/>
      <c r="AD64" s="1038"/>
      <c r="AE64" s="1038"/>
      <c r="AF64" s="1038"/>
      <c r="AG64" s="1038"/>
      <c r="AH64" s="1038"/>
      <c r="AI64" s="1038"/>
      <c r="AJ64" s="1038"/>
      <c r="AK64" s="1038"/>
      <c r="AL64" s="1038"/>
      <c r="AM64" s="1038"/>
      <c r="AS64" s="539">
        <v>28</v>
      </c>
    </row>
    <row r="65" spans="1:45" ht="35.65" customHeight="1">
      <c r="T65" s="1038"/>
      <c r="U65" s="1038"/>
      <c r="V65" s="1038"/>
      <c r="W65" s="1038"/>
      <c r="X65" s="1038"/>
      <c r="Y65" s="1038"/>
      <c r="Z65" s="1038"/>
      <c r="AA65" s="1038"/>
      <c r="AB65" s="1038"/>
      <c r="AC65" s="1038"/>
      <c r="AD65" s="1038"/>
      <c r="AE65" s="1038"/>
      <c r="AF65" s="1038"/>
      <c r="AG65" s="1038"/>
      <c r="AH65" s="1038"/>
      <c r="AI65" s="1038"/>
      <c r="AJ65" s="1038"/>
      <c r="AK65" s="1038"/>
      <c r="AL65" s="1038"/>
      <c r="AM65" s="1038"/>
      <c r="AS65" s="539">
        <v>34</v>
      </c>
    </row>
    <row r="66" spans="1:45" ht="22.5" hidden="1" customHeight="1">
      <c r="A66" s="556" t="s">
        <v>81</v>
      </c>
      <c r="B66" s="556">
        <v>0</v>
      </c>
      <c r="C66" s="556">
        <v>0</v>
      </c>
      <c r="D66" s="556">
        <v>0</v>
      </c>
      <c r="E66" s="556">
        <v>0</v>
      </c>
      <c r="F66" s="556">
        <v>0</v>
      </c>
      <c r="G66" s="556">
        <v>0</v>
      </c>
      <c r="H66" s="556">
        <v>0</v>
      </c>
      <c r="I66" s="556">
        <v>0</v>
      </c>
      <c r="J66" s="556">
        <v>0</v>
      </c>
      <c r="K66" s="556">
        <v>0</v>
      </c>
      <c r="L66" s="668">
        <v>0</v>
      </c>
      <c r="M66" s="12">
        <v>0</v>
      </c>
      <c r="N66" s="12">
        <v>0</v>
      </c>
      <c r="O66" s="12">
        <v>0</v>
      </c>
      <c r="P66" s="301">
        <v>0</v>
      </c>
      <c r="Q66" s="822">
        <v>3</v>
      </c>
      <c r="R66" s="822">
        <v>3</v>
      </c>
      <c r="S66" s="554">
        <v>12</v>
      </c>
      <c r="T66" s="539">
        <v>31</v>
      </c>
      <c r="U66" s="539">
        <v>0</v>
      </c>
      <c r="V66" s="539">
        <v>0</v>
      </c>
      <c r="W66" s="539">
        <v>0</v>
      </c>
      <c r="X66" s="539">
        <v>0</v>
      </c>
      <c r="Y66" s="539">
        <v>0</v>
      </c>
      <c r="Z66" s="539">
        <v>0</v>
      </c>
      <c r="AA66" s="539">
        <v>0</v>
      </c>
      <c r="AB66" s="539">
        <v>0</v>
      </c>
      <c r="AC66" s="539">
        <v>0</v>
      </c>
      <c r="AD66" s="539">
        <v>24</v>
      </c>
      <c r="AE66" s="539">
        <v>0</v>
      </c>
      <c r="AF66" s="539">
        <v>24</v>
      </c>
      <c r="AG66" s="539">
        <v>24</v>
      </c>
      <c r="AH66" s="539">
        <v>11</v>
      </c>
      <c r="AI66" s="539">
        <v>3</v>
      </c>
      <c r="AJ66" s="539">
        <v>11</v>
      </c>
      <c r="AK66" s="539">
        <v>0</v>
      </c>
      <c r="AL66" s="539">
        <v>4</v>
      </c>
      <c r="AM66" s="539">
        <v>115</v>
      </c>
      <c r="AN66" s="578">
        <v>10</v>
      </c>
      <c r="AO66" s="578">
        <v>10</v>
      </c>
      <c r="AP66" s="578">
        <v>10</v>
      </c>
      <c r="AQ66" s="578">
        <v>10</v>
      </c>
      <c r="AR66" s="578">
        <v>10</v>
      </c>
      <c r="AS66" s="539">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6" width="3.7109375" style="1030" hidden="1" customWidth="1"/>
    <col min="17" max="18" width="3" style="1030" customWidth="1"/>
    <col min="19" max="19" width="12" style="1030" customWidth="1"/>
    <col min="20" max="20" width="31" style="1030" customWidth="1"/>
    <col min="21" max="21" width="0.140625" style="1030" customWidth="1"/>
    <col min="22" max="22" width="24.7109375" style="1030" hidden="1" customWidth="1"/>
    <col min="23" max="23" width="0.140625" style="1030" hidden="1" customWidth="1"/>
    <col min="24" max="25" width="24.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24.7109375" style="1030" customWidth="1"/>
    <col min="31" max="31" width="0.140625" style="1030" customWidth="1"/>
    <col min="32" max="33" width="24" style="1030" customWidth="1"/>
    <col min="34" max="34" width="11" style="1030" customWidth="1"/>
    <col min="35" max="35" width="3.7109375" style="1030" customWidth="1"/>
    <col min="36" max="36" width="11" style="1030" customWidth="1"/>
    <col min="37" max="37" width="8.5703125" style="1030" hidden="1" customWidth="1"/>
    <col min="38" max="38" width="4" style="1030" customWidth="1"/>
    <col min="39" max="39" width="115" style="1030" customWidth="1"/>
    <col min="40" max="44" width="10" style="1030" customWidth="1"/>
    <col min="45" max="45" width="10.5703125" style="1030" hidden="1"/>
  </cols>
  <sheetData>
    <row r="1" spans="5:45" ht="22.5" hidden="1" customHeight="1">
      <c r="AS1" s="539" t="s">
        <v>14</v>
      </c>
    </row>
    <row r="2" spans="5:45" ht="21" hidden="1" customHeight="1">
      <c r="E2" s="1192">
        <v>1</v>
      </c>
      <c r="R2" s="311"/>
      <c r="S2" s="833" t="e">
        <f>INDEX(PT_DIFFERENTIATION_NUM_NTAR,MATCH(A2,PT_DIFFERENTIATION_NTAR_ID,0))</f>
        <v>#N/A</v>
      </c>
      <c r="T2" s="796" t="s">
        <v>133</v>
      </c>
      <c r="U2" s="834"/>
      <c r="V2" s="1187"/>
      <c r="W2" s="1188"/>
      <c r="X2" s="1188"/>
      <c r="Y2" s="1188"/>
      <c r="Z2" s="1188"/>
      <c r="AA2" s="1188"/>
      <c r="AB2" s="1188"/>
      <c r="AC2" s="1189"/>
      <c r="AD2" s="1187" t="e">
        <f>INDEX(PT_DIFFERENTIATION_NTAR,MATCH(A2,PT_DIFFERENTIATION_NTAR_ID,0))</f>
        <v>#N/A</v>
      </c>
      <c r="AE2" s="1188"/>
      <c r="AF2" s="1188"/>
      <c r="AG2" s="1188"/>
      <c r="AH2" s="1188"/>
      <c r="AI2" s="1188"/>
      <c r="AJ2" s="1188"/>
      <c r="AK2" s="1188"/>
      <c r="AL2" s="1189"/>
      <c r="AM2" s="836" t="s">
        <v>404</v>
      </c>
      <c r="AP2" s="583" t="str">
        <f t="shared" ref="AP2:AP15" si="0">IF(T2="","",T2)</f>
        <v>Наименование тарифа</v>
      </c>
      <c r="AS2" s="539">
        <v>0</v>
      </c>
    </row>
    <row r="3" spans="5:45" ht="21"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8"/>
      <c r="AC3" s="1189"/>
      <c r="AD3" s="1187" t="e">
        <f>INDEX(PT_DIFFERENTIATION_TER,MATCH(B3,PT_DIFFERENTIATION_TER_ID,0))</f>
        <v>#N/A</v>
      </c>
      <c r="AE3" s="1188"/>
      <c r="AF3" s="1188"/>
      <c r="AG3" s="1188"/>
      <c r="AH3" s="1188"/>
      <c r="AI3" s="1188"/>
      <c r="AJ3" s="1188"/>
      <c r="AK3" s="1188"/>
      <c r="AL3" s="1189"/>
      <c r="AM3" s="836" t="s">
        <v>406</v>
      </c>
      <c r="AP3" s="583" t="str">
        <f t="shared" si="0"/>
        <v>Территория действия тарифа</v>
      </c>
      <c r="AS3" s="539">
        <v>0</v>
      </c>
    </row>
    <row r="4" spans="5:45" ht="23.25" hidden="1" customHeight="1">
      <c r="E4" s="1193"/>
      <c r="F4" s="1193"/>
      <c r="G4" s="1192">
        <v>1</v>
      </c>
      <c r="Q4" s="837"/>
      <c r="R4" s="838"/>
      <c r="S4" s="833" t="e">
        <f>INDEX(PT_DIFFERENTIATION_NUM_CS,MATCH(C4,PT_DIFFERENTIATION_CS_ID,0))</f>
        <v>#N/A</v>
      </c>
      <c r="T4" s="840" t="s">
        <v>407</v>
      </c>
      <c r="U4" s="834"/>
      <c r="V4" s="1187"/>
      <c r="W4" s="1188"/>
      <c r="X4" s="1188"/>
      <c r="Y4" s="1188"/>
      <c r="Z4" s="1188"/>
      <c r="AA4" s="1188"/>
      <c r="AB4" s="1188"/>
      <c r="AC4" s="1189"/>
      <c r="AD4" s="1187" t="e">
        <f>INDEX(PT_DIFFERENTIATION_CS,MATCH(C4,PT_DIFFERENTIATION_CS_ID,0))</f>
        <v>#N/A</v>
      </c>
      <c r="AE4" s="1188"/>
      <c r="AF4" s="1188"/>
      <c r="AG4" s="1188"/>
      <c r="AH4" s="1188"/>
      <c r="AI4" s="1188"/>
      <c r="AJ4" s="1188"/>
      <c r="AK4" s="1188"/>
      <c r="AL4" s="1189"/>
      <c r="AM4" s="836" t="s">
        <v>408</v>
      </c>
      <c r="AP4" s="583" t="str">
        <f t="shared" si="0"/>
        <v xml:space="preserve">Наименование системы теплоснабжения </v>
      </c>
      <c r="AS4" s="539">
        <v>0</v>
      </c>
    </row>
    <row r="5" spans="5:45" ht="21" hidden="1" customHeight="1">
      <c r="E5" s="1193"/>
      <c r="F5" s="1193"/>
      <c r="G5" s="1193"/>
      <c r="H5" s="1192">
        <v>1</v>
      </c>
      <c r="Q5" s="837"/>
      <c r="R5" s="838"/>
      <c r="S5" s="833" t="e">
        <f>INDEX(PT_DIFFERENTIATION_NUM_IST_TE,MATCH(D5,PT_DIFFERENTIATION_IST_TE_ID,0))</f>
        <v>#N/A</v>
      </c>
      <c r="T5" s="841" t="s">
        <v>409</v>
      </c>
      <c r="U5" s="834"/>
      <c r="V5" s="1187"/>
      <c r="W5" s="1188"/>
      <c r="X5" s="1188"/>
      <c r="Y5" s="1188"/>
      <c r="Z5" s="1188"/>
      <c r="AA5" s="1188"/>
      <c r="AB5" s="1188"/>
      <c r="AC5" s="1189"/>
      <c r="AD5" s="1187" t="e">
        <f>INDEX(PT_DIFFERENTIATION_IST_TE,MATCH(D5,PT_DIFFERENTIATION_IST_TE_ID,0))</f>
        <v>#N/A</v>
      </c>
      <c r="AE5" s="1188"/>
      <c r="AF5" s="1188"/>
      <c r="AG5" s="1188"/>
      <c r="AH5" s="1188"/>
      <c r="AI5" s="1188"/>
      <c r="AJ5" s="1188"/>
      <c r="AK5" s="1188"/>
      <c r="AL5" s="1189"/>
      <c r="AM5" s="836" t="s">
        <v>410</v>
      </c>
      <c r="AP5" s="583" t="str">
        <f t="shared" si="0"/>
        <v xml:space="preserve">Источник тепловой энергии  </v>
      </c>
      <c r="AS5" s="539">
        <v>0</v>
      </c>
    </row>
    <row r="6" spans="5:45" ht="14.25" hidden="1" customHeight="1">
      <c r="E6" s="1193"/>
      <c r="F6" s="1193"/>
      <c r="G6" s="1193"/>
      <c r="H6" s="1193"/>
      <c r="I6" s="1194" t="e">
        <f>S5&amp;".1"</f>
        <v>#N/A</v>
      </c>
      <c r="L6" s="842" t="s">
        <v>411</v>
      </c>
      <c r="P6" s="1196">
        <v>1</v>
      </c>
      <c r="R6" s="843"/>
      <c r="S6" s="636"/>
      <c r="T6" s="860"/>
      <c r="U6" s="861"/>
      <c r="V6" s="1223"/>
      <c r="W6" s="1224"/>
      <c r="X6" s="1224"/>
      <c r="Y6" s="1224"/>
      <c r="Z6" s="1224"/>
      <c r="AA6" s="1224"/>
      <c r="AB6" s="1224"/>
      <c r="AC6" s="1225"/>
      <c r="AD6" s="1223"/>
      <c r="AE6" s="1224"/>
      <c r="AF6" s="1224"/>
      <c r="AG6" s="1224"/>
      <c r="AH6" s="1224"/>
      <c r="AI6" s="1224"/>
      <c r="AJ6" s="1224"/>
      <c r="AK6" s="1224"/>
      <c r="AL6" s="1225"/>
      <c r="AM6" s="863"/>
      <c r="AP6" s="583" t="str">
        <f t="shared" si="0"/>
        <v/>
      </c>
      <c r="AS6" s="539">
        <v>0</v>
      </c>
    </row>
    <row r="7" spans="5:45" ht="21" hidden="1" customHeight="1">
      <c r="E7" s="1193"/>
      <c r="F7" s="1193"/>
      <c r="G7" s="1193"/>
      <c r="H7" s="1193"/>
      <c r="I7" s="1195"/>
      <c r="J7" s="1194" t="e">
        <f>I6&amp;".1"</f>
        <v>#N/A</v>
      </c>
      <c r="L7" s="842" t="s">
        <v>414</v>
      </c>
      <c r="P7" s="1038"/>
      <c r="Q7" s="1196">
        <v>1</v>
      </c>
      <c r="R7" s="845"/>
      <c r="S7" s="833" t="e">
        <f>$J7</f>
        <v>#N/A</v>
      </c>
      <c r="T7" s="846" t="s">
        <v>415</v>
      </c>
      <c r="U7" s="834"/>
      <c r="V7" s="1181"/>
      <c r="W7" s="1182"/>
      <c r="X7" s="1182"/>
      <c r="Y7" s="1182"/>
      <c r="Z7" s="1182"/>
      <c r="AA7" s="1182"/>
      <c r="AB7" s="1182"/>
      <c r="AC7" s="1183"/>
      <c r="AD7" s="1181"/>
      <c r="AE7" s="1182"/>
      <c r="AF7" s="1182"/>
      <c r="AG7" s="1182"/>
      <c r="AH7" s="1182"/>
      <c r="AI7" s="1182"/>
      <c r="AJ7" s="1182"/>
      <c r="AK7" s="1182"/>
      <c r="AL7" s="1183"/>
      <c r="AM7" s="836" t="s">
        <v>416</v>
      </c>
      <c r="AP7" s="583" t="str">
        <f t="shared" si="0"/>
        <v>Группа потребителей</v>
      </c>
      <c r="AS7" s="539">
        <v>0</v>
      </c>
    </row>
    <row r="8" spans="5:45" ht="21" hidden="1" customHeight="1">
      <c r="E8" s="1193"/>
      <c r="F8" s="1193"/>
      <c r="G8" s="1193"/>
      <c r="H8" s="1193"/>
      <c r="I8" s="1195"/>
      <c r="J8" s="1195"/>
      <c r="K8" s="1194" t="e">
        <f>J7&amp;".1"</f>
        <v>#N/A</v>
      </c>
      <c r="L8" s="842" t="s">
        <v>417</v>
      </c>
      <c r="P8" s="1038"/>
      <c r="Q8" s="1038"/>
      <c r="R8" s="845">
        <v>1</v>
      </c>
      <c r="S8" s="833" t="e">
        <f>$K8</f>
        <v>#N/A</v>
      </c>
      <c r="T8" s="847"/>
      <c r="U8" s="834"/>
      <c r="V8" s="312"/>
      <c r="W8" s="313"/>
      <c r="X8" s="312"/>
      <c r="Y8" s="314"/>
      <c r="Z8" s="1197"/>
      <c r="AA8" s="1079" t="s">
        <v>61</v>
      </c>
      <c r="AB8" s="1197"/>
      <c r="AC8" s="1079" t="s">
        <v>61</v>
      </c>
      <c r="AD8" s="312"/>
      <c r="AE8" s="313"/>
      <c r="AF8" s="312"/>
      <c r="AG8" s="314"/>
      <c r="AH8" s="1197"/>
      <c r="AI8" s="1079" t="s">
        <v>61</v>
      </c>
      <c r="AJ8" s="1197"/>
      <c r="AK8" s="1079" t="s">
        <v>61</v>
      </c>
      <c r="AL8" s="313"/>
      <c r="AM8" s="1215" t="s">
        <v>418</v>
      </c>
      <c r="AN8" s="578" t="e">
        <f ca="1">STRCHECKDATE(V9:AL9)</f>
        <v>#NAME?</v>
      </c>
      <c r="AP8" s="583" t="str">
        <f t="shared" si="0"/>
        <v/>
      </c>
      <c r="AS8" s="539">
        <v>0</v>
      </c>
    </row>
    <row r="9" spans="5:45" ht="14.25" hidden="1" customHeight="1">
      <c r="E9" s="1193"/>
      <c r="F9" s="1193"/>
      <c r="G9" s="1193"/>
      <c r="H9" s="1193"/>
      <c r="I9" s="1195"/>
      <c r="J9" s="1195"/>
      <c r="K9" s="1194"/>
      <c r="P9" s="1038"/>
      <c r="Q9" s="1038"/>
      <c r="R9" s="845"/>
      <c r="S9" s="127"/>
      <c r="T9" s="834"/>
      <c r="U9" s="834"/>
      <c r="V9" s="313"/>
      <c r="W9" s="313"/>
      <c r="X9" s="313"/>
      <c r="Y9" s="315" t="str">
        <f>Z8&amp;"-"&amp;AB8</f>
        <v>-</v>
      </c>
      <c r="Z9" s="1198"/>
      <c r="AA9" s="1079"/>
      <c r="AB9" s="1198"/>
      <c r="AC9" s="1079"/>
      <c r="AD9" s="313"/>
      <c r="AE9" s="313"/>
      <c r="AF9" s="313"/>
      <c r="AG9" s="315" t="str">
        <f>AH8&amp;"-"&amp;AJ8</f>
        <v>-</v>
      </c>
      <c r="AH9" s="1198"/>
      <c r="AI9" s="1079"/>
      <c r="AJ9" s="1198"/>
      <c r="AK9" s="1079"/>
      <c r="AL9" s="313"/>
      <c r="AM9" s="1216"/>
      <c r="AP9" s="583" t="str">
        <f t="shared" si="0"/>
        <v/>
      </c>
      <c r="AS9" s="539">
        <v>0</v>
      </c>
    </row>
    <row r="10" spans="5:45" ht="15" hidden="1" customHeight="1">
      <c r="E10" s="1193"/>
      <c r="F10" s="1193"/>
      <c r="G10" s="1193"/>
      <c r="H10" s="1193"/>
      <c r="I10" s="1195"/>
      <c r="J10" s="1194"/>
      <c r="P10" s="1038"/>
      <c r="Q10" s="1038"/>
      <c r="R10" s="843"/>
      <c r="S10" s="316"/>
      <c r="T10" s="319" t="s">
        <v>419</v>
      </c>
      <c r="U10" s="52"/>
      <c r="V10" s="52"/>
      <c r="W10" s="52"/>
      <c r="X10" s="52"/>
      <c r="Y10" s="52"/>
      <c r="Z10" s="52"/>
      <c r="AA10" s="52"/>
      <c r="AB10" s="52"/>
      <c r="AC10" s="52"/>
      <c r="AD10" s="52"/>
      <c r="AE10" s="52"/>
      <c r="AF10" s="52"/>
      <c r="AG10" s="52"/>
      <c r="AH10" s="52"/>
      <c r="AI10" s="52"/>
      <c r="AJ10" s="52"/>
      <c r="AK10" s="52"/>
      <c r="AL10" s="318"/>
      <c r="AM10" s="1217"/>
      <c r="AP10" s="583" t="str">
        <f t="shared" si="0"/>
        <v>Добавить вид теплоносителя (параметры теплоносителя)</v>
      </c>
      <c r="AS10" s="539">
        <v>0</v>
      </c>
    </row>
    <row r="11" spans="5:45" ht="11.25" hidden="1" customHeight="1">
      <c r="E11" s="1193"/>
      <c r="F11" s="1193"/>
      <c r="G11" s="1193"/>
      <c r="H11" s="1193"/>
      <c r="I11" s="1194"/>
      <c r="P11" s="1038"/>
      <c r="R11" s="843"/>
      <c r="S11" s="316"/>
      <c r="T11" s="322" t="s">
        <v>420</v>
      </c>
      <c r="U11" s="52"/>
      <c r="V11" s="52"/>
      <c r="W11" s="52"/>
      <c r="X11" s="52"/>
      <c r="Y11" s="52"/>
      <c r="Z11" s="52"/>
      <c r="AA11" s="52"/>
      <c r="AB11" s="52"/>
      <c r="AC11" s="320"/>
      <c r="AD11" s="52"/>
      <c r="AE11" s="52"/>
      <c r="AF11" s="52"/>
      <c r="AG11" s="52"/>
      <c r="AH11" s="52"/>
      <c r="AI11" s="52"/>
      <c r="AJ11" s="52"/>
      <c r="AK11" s="320"/>
      <c r="AL11" s="52"/>
      <c r="AM11" s="321"/>
      <c r="AP11" s="583" t="str">
        <f t="shared" si="0"/>
        <v>Добавить группу потребителей</v>
      </c>
      <c r="AS11" s="539">
        <v>0</v>
      </c>
    </row>
    <row r="12" spans="5:45" ht="14.25" hidden="1" customHeight="1">
      <c r="E12" s="1193"/>
      <c r="F12" s="1193"/>
      <c r="G12" s="1193"/>
      <c r="H12" s="1192"/>
      <c r="R12" s="311"/>
      <c r="S12" s="335"/>
      <c r="T12" s="336"/>
      <c r="U12" s="337"/>
      <c r="V12" s="337"/>
      <c r="W12" s="337"/>
      <c r="X12" s="337"/>
      <c r="Y12" s="337"/>
      <c r="Z12" s="337"/>
      <c r="AA12" s="337"/>
      <c r="AB12" s="337"/>
      <c r="AC12" s="337"/>
      <c r="AD12" s="337"/>
      <c r="AE12" s="337"/>
      <c r="AF12" s="337"/>
      <c r="AG12" s="337"/>
      <c r="AH12" s="337"/>
      <c r="AI12" s="337"/>
      <c r="AJ12" s="337"/>
      <c r="AK12" s="337"/>
      <c r="AL12" s="337"/>
      <c r="AM12" s="338"/>
      <c r="AP12" s="583" t="str">
        <f t="shared" si="0"/>
        <v/>
      </c>
      <c r="AS12" s="539">
        <v>0</v>
      </c>
    </row>
    <row r="13" spans="5:45" ht="14.25" hidden="1" customHeight="1">
      <c r="E13" s="1193"/>
      <c r="F13" s="1193"/>
      <c r="G13" s="1192"/>
      <c r="S13" s="323"/>
      <c r="T13" s="324" t="s">
        <v>422</v>
      </c>
      <c r="U13" s="325"/>
      <c r="V13" s="325"/>
      <c r="W13" s="325"/>
      <c r="X13" s="325"/>
      <c r="Y13" s="325"/>
      <c r="Z13" s="325"/>
      <c r="AA13" s="325"/>
      <c r="AB13" s="325"/>
      <c r="AC13" s="325"/>
      <c r="AD13" s="325"/>
      <c r="AE13" s="325"/>
      <c r="AF13" s="325"/>
      <c r="AG13" s="325"/>
      <c r="AH13" s="325"/>
      <c r="AI13" s="325"/>
      <c r="AJ13" s="325"/>
      <c r="AK13" s="325"/>
      <c r="AL13" s="325"/>
      <c r="AM13" s="325"/>
      <c r="AP13" s="583" t="str">
        <f t="shared" si="0"/>
        <v>Добавить источник для дифференциации</v>
      </c>
      <c r="AS13" s="578">
        <v>0</v>
      </c>
    </row>
    <row r="14" spans="5:45" ht="14.25" hidden="1" customHeight="1">
      <c r="E14" s="1193"/>
      <c r="F14" s="1192"/>
      <c r="T14" s="326" t="s">
        <v>423</v>
      </c>
      <c r="AP14" s="583" t="str">
        <f t="shared" si="0"/>
        <v>Добавить централизованную систему для дифференциации</v>
      </c>
      <c r="AS14" s="578">
        <v>0</v>
      </c>
    </row>
    <row r="15" spans="5:45" ht="14.25" hidden="1" customHeight="1">
      <c r="E15" s="1192"/>
      <c r="T15" s="327" t="s">
        <v>424</v>
      </c>
      <c r="AP15" s="583" t="str">
        <f t="shared" si="0"/>
        <v>Добавить территорию для дифференциации</v>
      </c>
      <c r="AS15" s="578">
        <v>0</v>
      </c>
    </row>
    <row r="16" spans="5:45" ht="14.25" hidden="1" customHeight="1">
      <c r="AS16" s="539">
        <v>0</v>
      </c>
    </row>
    <row r="17" spans="15:45" ht="14.25" hidden="1" customHeight="1">
      <c r="AD17" s="276"/>
      <c r="AE17" s="276"/>
      <c r="AF17" s="276"/>
      <c r="AG17" s="328"/>
      <c r="AH17" s="1191"/>
      <c r="AI17" s="1190" t="s">
        <v>61</v>
      </c>
      <c r="AJ17" s="1191"/>
      <c r="AK17" s="1190" t="s">
        <v>61</v>
      </c>
      <c r="AS17" s="539">
        <v>0</v>
      </c>
    </row>
    <row r="18" spans="15:45" ht="14.25" hidden="1" customHeight="1">
      <c r="AD18" s="276"/>
      <c r="AE18" s="276"/>
      <c r="AF18" s="276"/>
      <c r="AG18" s="315" t="str">
        <f>AH17&amp;"-"&amp;AJ17</f>
        <v>-</v>
      </c>
      <c r="AH18" s="1190"/>
      <c r="AI18" s="1190"/>
      <c r="AJ18" s="1190"/>
      <c r="AK18" s="1190"/>
      <c r="AS18" s="539">
        <v>0</v>
      </c>
    </row>
    <row r="19" spans="15:45" ht="14.25" hidden="1" customHeight="1">
      <c r="AS19" s="539">
        <v>0</v>
      </c>
    </row>
    <row r="20" spans="15:45" ht="22.5" hidden="1" customHeight="1">
      <c r="O20" s="329" t="s">
        <v>425</v>
      </c>
      <c r="Z20" s="329"/>
      <c r="AB20" s="329"/>
      <c r="AH20" s="329"/>
      <c r="AJ20" s="329"/>
      <c r="AS20" s="556">
        <v>0</v>
      </c>
    </row>
    <row r="21" spans="15:45" ht="14.25" hidden="1" customHeight="1">
      <c r="AS21" s="556">
        <v>0</v>
      </c>
    </row>
    <row r="22" spans="15:45" ht="14.25" hidden="1" customHeight="1">
      <c r="O22" s="842" t="s">
        <v>426</v>
      </c>
      <c r="T22" s="556" t="s">
        <v>427</v>
      </c>
      <c r="AA22" s="599" t="s">
        <v>428</v>
      </c>
      <c r="AC22" s="599" t="s">
        <v>429</v>
      </c>
      <c r="AD22" s="556" t="s">
        <v>427</v>
      </c>
      <c r="AI22" s="599" t="s">
        <v>430</v>
      </c>
      <c r="AK22" s="599" t="s">
        <v>429</v>
      </c>
      <c r="AS22" s="556">
        <v>0</v>
      </c>
    </row>
    <row r="23" spans="15:45" ht="14.25" hidden="1" customHeight="1">
      <c r="AS23" s="539">
        <v>0</v>
      </c>
    </row>
    <row r="24" spans="15:45" ht="14.25" hidden="1" customHeight="1">
      <c r="AS24" s="539">
        <v>0</v>
      </c>
    </row>
    <row r="25" spans="15:45" ht="14.65" customHeight="1">
      <c r="Q25" s="757"/>
      <c r="R25" s="757"/>
      <c r="S25" s="848"/>
      <c r="T25" s="557"/>
      <c r="U25" s="557"/>
      <c r="AS25" s="539">
        <v>14</v>
      </c>
    </row>
    <row r="26" spans="15:45" ht="53.45" customHeight="1">
      <c r="Q26" s="757"/>
      <c r="R26" s="757"/>
      <c r="S26" s="1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74"/>
      <c r="U26" s="1174"/>
      <c r="V26" s="1174"/>
      <c r="W26" s="1174"/>
      <c r="X26" s="1174"/>
      <c r="Y26" s="1174"/>
      <c r="Z26" s="1174"/>
      <c r="AA26" s="1174"/>
      <c r="AB26" s="1174"/>
      <c r="AC26" s="1174"/>
      <c r="AD26" s="1174"/>
      <c r="AE26" s="1174"/>
      <c r="AF26" s="1174"/>
      <c r="AG26" s="1174"/>
      <c r="AH26" s="1174"/>
      <c r="AI26" s="1174"/>
      <c r="AJ26" s="1174"/>
      <c r="AS26" s="539">
        <v>51</v>
      </c>
    </row>
    <row r="27" spans="15:45" ht="14.65" customHeight="1">
      <c r="Q27" s="757"/>
      <c r="R27" s="757"/>
      <c r="S27" s="1148" t="str">
        <f>IF(org=0,"Не определено",org)</f>
        <v>АО "НИЖЕГОРОДСКИЙ ВОДОКАНАЛ"</v>
      </c>
      <c r="T27" s="1148"/>
      <c r="U27" s="1148"/>
      <c r="V27" s="1148"/>
      <c r="W27" s="1148"/>
      <c r="X27" s="1148"/>
      <c r="Y27" s="1148"/>
      <c r="Z27" s="1148"/>
      <c r="AA27" s="1148"/>
      <c r="AB27" s="1148"/>
      <c r="AC27" s="1148"/>
      <c r="AD27" s="1148"/>
      <c r="AE27" s="1148"/>
      <c r="AF27" s="1148"/>
      <c r="AG27" s="1148"/>
      <c r="AH27" s="1148"/>
      <c r="AI27" s="1148"/>
      <c r="AJ27" s="1148"/>
      <c r="AS27" s="539">
        <v>14</v>
      </c>
    </row>
    <row r="28" spans="15:45" ht="14.25" hidden="1" customHeight="1">
      <c r="Q28" s="757"/>
      <c r="R28" s="757"/>
      <c r="S28" s="848"/>
      <c r="T28" s="557"/>
      <c r="U28" s="557"/>
      <c r="V28" s="827"/>
      <c r="W28" s="827"/>
      <c r="X28" s="827"/>
      <c r="Y28" s="827"/>
      <c r="Z28" s="827"/>
      <c r="AA28" s="827"/>
      <c r="AB28" s="827"/>
      <c r="AC28" s="827"/>
      <c r="AD28" s="827"/>
      <c r="AE28" s="827"/>
      <c r="AF28" s="827"/>
      <c r="AG28" s="827"/>
      <c r="AH28" s="827"/>
      <c r="AI28" s="827"/>
      <c r="AJ28" s="827"/>
      <c r="AK28" s="827"/>
      <c r="AS28" s="539">
        <v>0</v>
      </c>
    </row>
    <row r="29" spans="15:45" ht="25.5" hidden="1" customHeight="1">
      <c r="S29" s="1184" t="s">
        <v>41</v>
      </c>
      <c r="T29" s="1184"/>
      <c r="U29" s="850"/>
      <c r="V29" s="1186" t="str">
        <f>IF(TITLE_NAME_OR_PR_CHANGE="",IF(TITLE_NAME_OR_PR="","",TITLE_NAME_OR_PR),TITLE_NAME_OR_PR_CHANGE)</f>
        <v/>
      </c>
      <c r="W29" s="1186"/>
      <c r="X29" s="1186"/>
      <c r="Y29" s="1186"/>
      <c r="Z29" s="1186"/>
      <c r="AA29" s="1186"/>
      <c r="AB29" s="1186"/>
      <c r="AD29" s="1186" t="str">
        <f>IF(TITLE_NAME_OR_PR_CHANGE="",IF(TITLE_NAME_OR_PR="","",TITLE_NAME_OR_PR),TITLE_NAME_OR_PR_CHANGE)</f>
        <v/>
      </c>
      <c r="AE29" s="1186"/>
      <c r="AF29" s="1186"/>
      <c r="AG29" s="1186"/>
      <c r="AH29" s="1186"/>
      <c r="AI29" s="1186"/>
      <c r="AJ29" s="1186"/>
      <c r="AS29" s="593">
        <v>0</v>
      </c>
    </row>
    <row r="30" spans="15:45" ht="18.75" hidden="1" customHeight="1">
      <c r="S30" s="1184" t="s">
        <v>431</v>
      </c>
      <c r="T30" s="1184"/>
      <c r="U30" s="850"/>
      <c r="V30" s="1185" t="str">
        <f>IF(TITLE_DATE_PR_CHANGE="",IF(TITLE_DATE_PR="","",TITLE_DATE_PR),TITLE_DATE_PR_CHANGE)</f>
        <v/>
      </c>
      <c r="W30" s="1185"/>
      <c r="X30" s="1185"/>
      <c r="Y30" s="1185"/>
      <c r="Z30" s="1185"/>
      <c r="AA30" s="1185"/>
      <c r="AB30" s="1185"/>
      <c r="AD30" s="1185" t="str">
        <f>IF(TITLE_DATE_PR_CHANGE="",IF(TITLE_DATE_PR="","",TITLE_DATE_PR),TITLE_DATE_PR_CHANGE)</f>
        <v/>
      </c>
      <c r="AE30" s="1185"/>
      <c r="AF30" s="1185"/>
      <c r="AG30" s="1185"/>
      <c r="AH30" s="1185"/>
      <c r="AI30" s="1185"/>
      <c r="AJ30" s="1185"/>
      <c r="AS30" s="593">
        <v>0</v>
      </c>
    </row>
    <row r="31" spans="15:45" ht="18.75" hidden="1" customHeight="1">
      <c r="S31" s="1184" t="s">
        <v>432</v>
      </c>
      <c r="T31" s="1184"/>
      <c r="U31" s="850"/>
      <c r="V31" s="1186" t="str">
        <f>IF(TITLE_NUMBER_PR_CHANGE="",IF(TITLE_NUMBER_PR="","",TITLE_NUMBER_PR),TITLE_NUMBER_PR_CHANGE)</f>
        <v/>
      </c>
      <c r="W31" s="1186"/>
      <c r="X31" s="1186"/>
      <c r="Y31" s="1186"/>
      <c r="Z31" s="1186"/>
      <c r="AA31" s="1186"/>
      <c r="AB31" s="1186"/>
      <c r="AD31" s="1186" t="str">
        <f>IF(TITLE_NUMBER_PR_CHANGE="",IF(TITLE_NUMBER_PR="","",TITLE_NUMBER_PR),TITLE_NUMBER_PR_CHANGE)</f>
        <v/>
      </c>
      <c r="AE31" s="1186"/>
      <c r="AF31" s="1186"/>
      <c r="AG31" s="1186"/>
      <c r="AH31" s="1186"/>
      <c r="AI31" s="1186"/>
      <c r="AJ31" s="1186"/>
      <c r="AS31" s="593">
        <v>0</v>
      </c>
    </row>
    <row r="32" spans="15:45" ht="18.75" hidden="1" customHeight="1">
      <c r="S32" s="1184" t="s">
        <v>42</v>
      </c>
      <c r="T32" s="1184"/>
      <c r="U32" s="850"/>
      <c r="V32" s="1186" t="str">
        <f>IF(TITLE_IST_PUB_CHANGE="",IF(TITLE_IST_PUB="","",TITLE_IST_PUB),TITLE_IST_PUB_CHANGE)</f>
        <v/>
      </c>
      <c r="W32" s="1186"/>
      <c r="X32" s="1186"/>
      <c r="Y32" s="1186"/>
      <c r="Z32" s="1186"/>
      <c r="AA32" s="1186"/>
      <c r="AB32" s="1186"/>
      <c r="AD32" s="1186" t="str">
        <f>IF(TITLE_IST_PUB_CHANGE="",IF(TITLE_IST_PUB="","",TITLE_IST_PUB),TITLE_IST_PUB_CHANGE)</f>
        <v/>
      </c>
      <c r="AE32" s="1186"/>
      <c r="AF32" s="1186"/>
      <c r="AG32" s="1186"/>
      <c r="AH32" s="1186"/>
      <c r="AI32" s="1186"/>
      <c r="AJ32" s="1186"/>
      <c r="AS32" s="593">
        <v>0</v>
      </c>
    </row>
    <row r="33" spans="1:45" ht="14.25" hidden="1" customHeight="1">
      <c r="Q33" s="757"/>
      <c r="R33" s="757"/>
      <c r="S33" s="848"/>
      <c r="T33" s="557"/>
      <c r="U33" s="557"/>
      <c r="V33" s="827"/>
      <c r="W33" s="827"/>
      <c r="X33" s="827"/>
      <c r="Y33" s="827"/>
      <c r="Z33" s="827"/>
      <c r="AA33" s="827"/>
      <c r="AB33" s="827"/>
      <c r="AC33" s="827"/>
      <c r="AD33" s="827"/>
      <c r="AE33" s="827"/>
      <c r="AF33" s="827"/>
      <c r="AG33" s="827"/>
      <c r="AH33" s="827"/>
      <c r="AI33" s="827"/>
      <c r="AJ33" s="827"/>
      <c r="AK33" s="827"/>
      <c r="AS33" s="539">
        <v>0</v>
      </c>
    </row>
    <row r="34" spans="1:45" ht="18.75" hidden="1" customHeight="1">
      <c r="S34" s="1184" t="s">
        <v>433</v>
      </c>
      <c r="T34" s="1184"/>
      <c r="U34" s="850"/>
      <c r="V34" s="1185" t="str">
        <f>IF(TITLE_DATE_PR_CHANGE="",IF(TITLE_DATE_PR="","",TITLE_DATE_PR),TITLE_DATE_PR_CHANGE)</f>
        <v/>
      </c>
      <c r="W34" s="1185"/>
      <c r="X34" s="1185"/>
      <c r="Y34" s="1185"/>
      <c r="Z34" s="1185"/>
      <c r="AA34" s="1185"/>
      <c r="AB34" s="1185"/>
      <c r="AD34" s="1185" t="str">
        <f>IF(TITLE_DATE_PR_CHANGE="",IF(TITLE_DATE_PR="","",TITLE_DATE_PR),TITLE_DATE_PR_CHANGE)</f>
        <v/>
      </c>
      <c r="AE34" s="1185"/>
      <c r="AF34" s="1185"/>
      <c r="AG34" s="1185"/>
      <c r="AH34" s="1185"/>
      <c r="AI34" s="1185"/>
      <c r="AJ34" s="1185"/>
      <c r="AS34" s="593">
        <v>0</v>
      </c>
    </row>
    <row r="35" spans="1:45" ht="25.5" hidden="1" customHeight="1">
      <c r="S35" s="1184" t="s">
        <v>434</v>
      </c>
      <c r="T35" s="1184"/>
      <c r="U35" s="850"/>
      <c r="V35" s="1186" t="str">
        <f>IF(TITLE_NUMBER_PR_CHANGE="",IF(TITLE_NUMBER_PR="","",TITLE_NUMBER_PR),TITLE_NUMBER_PR_CHANGE)</f>
        <v/>
      </c>
      <c r="W35" s="1186"/>
      <c r="X35" s="1186"/>
      <c r="Y35" s="1186"/>
      <c r="Z35" s="1186"/>
      <c r="AA35" s="1186"/>
      <c r="AB35" s="1186"/>
      <c r="AD35" s="1186" t="str">
        <f>IF(TITLE_NUMBER_PR_CHANGE="",IF(TITLE_NUMBER_PR="","",TITLE_NUMBER_PR),TITLE_NUMBER_PR_CHANGE)</f>
        <v/>
      </c>
      <c r="AE35" s="1186"/>
      <c r="AF35" s="1186"/>
      <c r="AG35" s="1186"/>
      <c r="AH35" s="1186"/>
      <c r="AI35" s="1186"/>
      <c r="AJ35" s="1186"/>
      <c r="AS35" s="593">
        <v>0</v>
      </c>
    </row>
    <row r="36" spans="1:45" ht="0" hidden="1" customHeight="1">
      <c r="AC36" s="578" t="s">
        <v>435</v>
      </c>
      <c r="AK36" s="578" t="s">
        <v>435</v>
      </c>
      <c r="AS36" s="593">
        <v>0</v>
      </c>
    </row>
    <row r="37" spans="1:45" ht="14.65" customHeight="1">
      <c r="Q37" s="757"/>
      <c r="R37" s="757"/>
      <c r="S37" s="848"/>
      <c r="T37" s="557"/>
      <c r="U37" s="851"/>
      <c r="V37" s="1204"/>
      <c r="W37" s="1204"/>
      <c r="X37" s="1204"/>
      <c r="Y37" s="1204"/>
      <c r="Z37" s="1204"/>
      <c r="AA37" s="1204"/>
      <c r="AB37" s="1204"/>
      <c r="AC37" s="1204"/>
      <c r="AD37" s="1204"/>
      <c r="AE37" s="1204"/>
      <c r="AF37" s="1204"/>
      <c r="AG37" s="1204"/>
      <c r="AH37" s="1204"/>
      <c r="AI37" s="1204"/>
      <c r="AJ37" s="1204"/>
      <c r="AK37" s="1204"/>
      <c r="AS37" s="539">
        <v>14</v>
      </c>
    </row>
    <row r="38" spans="1:45" ht="14.65" customHeight="1">
      <c r="Q38" s="757"/>
      <c r="R38" s="757"/>
      <c r="S38" s="1070" t="s">
        <v>308</v>
      </c>
      <c r="T38" s="1070"/>
      <c r="U38" s="1070"/>
      <c r="V38" s="1070"/>
      <c r="W38" s="1070"/>
      <c r="X38" s="1070"/>
      <c r="Y38" s="1070"/>
      <c r="Z38" s="1070"/>
      <c r="AA38" s="1070"/>
      <c r="AB38" s="1070"/>
      <c r="AC38" s="1070"/>
      <c r="AD38" s="1070"/>
      <c r="AE38" s="1070"/>
      <c r="AF38" s="1070"/>
      <c r="AG38" s="1070"/>
      <c r="AH38" s="1070"/>
      <c r="AI38" s="1070"/>
      <c r="AJ38" s="1070"/>
      <c r="AK38" s="1070"/>
      <c r="AL38" s="1070"/>
      <c r="AM38" s="1070" t="s">
        <v>309</v>
      </c>
      <c r="AS38" s="539">
        <v>14</v>
      </c>
    </row>
    <row r="39" spans="1:45" ht="14.65" customHeight="1">
      <c r="Q39" s="757"/>
      <c r="R39" s="757"/>
      <c r="S39" s="1205" t="s">
        <v>87</v>
      </c>
      <c r="T39" s="1155" t="s">
        <v>436</v>
      </c>
      <c r="U39" s="818"/>
      <c r="V39" s="1206" t="s">
        <v>437</v>
      </c>
      <c r="W39" s="1207"/>
      <c r="X39" s="1207"/>
      <c r="Y39" s="1207"/>
      <c r="Z39" s="1207"/>
      <c r="AA39" s="1207"/>
      <c r="AB39" s="1208"/>
      <c r="AC39" s="1209" t="s">
        <v>438</v>
      </c>
      <c r="AD39" s="1206" t="s">
        <v>437</v>
      </c>
      <c r="AE39" s="1207"/>
      <c r="AF39" s="1207"/>
      <c r="AG39" s="1207"/>
      <c r="AH39" s="1207"/>
      <c r="AI39" s="1207"/>
      <c r="AJ39" s="1208"/>
      <c r="AK39" s="1209" t="s">
        <v>439</v>
      </c>
      <c r="AL39" s="1212" t="s">
        <v>440</v>
      </c>
      <c r="AM39" s="1070"/>
      <c r="AS39" s="539">
        <v>14</v>
      </c>
    </row>
    <row r="40" spans="1:45" ht="35.65" customHeight="1">
      <c r="Q40" s="757"/>
      <c r="R40" s="757"/>
      <c r="S40" s="1205"/>
      <c r="T40" s="1155"/>
      <c r="U40" s="823"/>
      <c r="V40" s="1128" t="s">
        <v>441</v>
      </c>
      <c r="W40" s="1201"/>
      <c r="X40" s="1051" t="s">
        <v>443</v>
      </c>
      <c r="Y40" s="1050"/>
      <c r="Z40" s="1051" t="s">
        <v>444</v>
      </c>
      <c r="AA40" s="1056"/>
      <c r="AB40" s="1050"/>
      <c r="AC40" s="1210"/>
      <c r="AD40" s="1128" t="s">
        <v>458</v>
      </c>
      <c r="AE40" s="1201"/>
      <c r="AF40" s="1051" t="s">
        <v>443</v>
      </c>
      <c r="AG40" s="1050"/>
      <c r="AH40" s="1051" t="s">
        <v>444</v>
      </c>
      <c r="AI40" s="1056"/>
      <c r="AJ40" s="1050"/>
      <c r="AK40" s="1210"/>
      <c r="AL40" s="1213"/>
      <c r="AM40" s="1070"/>
      <c r="AS40" s="539">
        <v>34</v>
      </c>
    </row>
    <row r="41" spans="1:45" ht="35.65" customHeight="1">
      <c r="B41" s="599" t="s">
        <v>145</v>
      </c>
      <c r="C41" s="599" t="s">
        <v>146</v>
      </c>
      <c r="D41" s="599" t="s">
        <v>147</v>
      </c>
      <c r="E41" s="842" t="s">
        <v>445</v>
      </c>
      <c r="F41" s="842" t="s">
        <v>446</v>
      </c>
      <c r="G41" s="842" t="s">
        <v>447</v>
      </c>
      <c r="H41" s="842" t="s">
        <v>448</v>
      </c>
      <c r="I41" s="842" t="s">
        <v>449</v>
      </c>
      <c r="J41" s="842" t="s">
        <v>450</v>
      </c>
      <c r="K41" s="842" t="s">
        <v>451</v>
      </c>
      <c r="L41" s="842" t="s">
        <v>426</v>
      </c>
      <c r="Q41" s="757"/>
      <c r="R41" s="757"/>
      <c r="S41" s="1205"/>
      <c r="T41" s="1155"/>
      <c r="U41" s="853"/>
      <c r="V41" s="1179"/>
      <c r="W41" s="1202"/>
      <c r="X41" s="603" t="s">
        <v>452</v>
      </c>
      <c r="Y41" s="603" t="s">
        <v>453</v>
      </c>
      <c r="Z41" s="603" t="s">
        <v>454</v>
      </c>
      <c r="AA41" s="1160" t="s">
        <v>455</v>
      </c>
      <c r="AB41" s="1173"/>
      <c r="AC41" s="1211"/>
      <c r="AD41" s="1179"/>
      <c r="AE41" s="1202"/>
      <c r="AF41" s="603" t="s">
        <v>452</v>
      </c>
      <c r="AG41" s="603" t="s">
        <v>453</v>
      </c>
      <c r="AH41" s="603" t="s">
        <v>454</v>
      </c>
      <c r="AI41" s="1160" t="s">
        <v>455</v>
      </c>
      <c r="AJ41" s="1173"/>
      <c r="AK41" s="1211"/>
      <c r="AL41" s="1214"/>
      <c r="AM41" s="1070"/>
      <c r="AS41" s="539">
        <v>34</v>
      </c>
    </row>
    <row r="42" spans="1:45" ht="11.25" hidden="1" customHeight="1">
      <c r="Q42" s="854"/>
      <c r="R42" s="855">
        <v>1</v>
      </c>
      <c r="S42" s="330" t="s">
        <v>114</v>
      </c>
      <c r="T42" s="331" t="s">
        <v>102</v>
      </c>
      <c r="U42" s="856" t="str">
        <f ca="1">OFFSET(U42,0,-1)</f>
        <v>2</v>
      </c>
      <c r="V42" s="857">
        <f ca="1">OFFSET(V42,0,-1)+1</f>
        <v>3</v>
      </c>
      <c r="W42" s="857"/>
      <c r="X42" s="857">
        <f ca="1">OFFSET(X42,0,-1)+1</f>
        <v>1</v>
      </c>
      <c r="Y42" s="857">
        <f ca="1">OFFSET(Y42,0,-1)+1</f>
        <v>2</v>
      </c>
      <c r="Z42" s="857">
        <f ca="1">OFFSET(Z42,0,-1)+1</f>
        <v>3</v>
      </c>
      <c r="AA42" s="1203">
        <f ca="1">OFFSET(AA42,0,-1)+1</f>
        <v>4</v>
      </c>
      <c r="AB42" s="1203"/>
      <c r="AC42" s="857">
        <f ca="1">OFFSET(AC42,0,-2)+1</f>
        <v>5</v>
      </c>
      <c r="AD42" s="857">
        <f ca="1">OFFSET(AD42,0,-1)+1</f>
        <v>6</v>
      </c>
      <c r="AE42" s="857"/>
      <c r="AF42" s="857">
        <f ca="1">OFFSET(AF42,0,-1)+1</f>
        <v>1</v>
      </c>
      <c r="AG42" s="857">
        <f ca="1">OFFSET(AG42,0,-1)+1</f>
        <v>2</v>
      </c>
      <c r="AH42" s="857">
        <f ca="1">OFFSET(AH42,0,-1)+1</f>
        <v>3</v>
      </c>
      <c r="AI42" s="1203">
        <f ca="1">OFFSET(AI42,0,-1)+1</f>
        <v>4</v>
      </c>
      <c r="AJ42" s="1203"/>
      <c r="AK42" s="857">
        <f ca="1">OFFSET(AK42,0,-2)+1</f>
        <v>5</v>
      </c>
      <c r="AL42" s="856">
        <f ca="1">OFFSET(AL42,0,-1)</f>
        <v>5</v>
      </c>
      <c r="AM42" s="857">
        <f ca="1">OFFSET(AM42,0,-1)+1</f>
        <v>6</v>
      </c>
      <c r="AS42" s="682">
        <v>0</v>
      </c>
    </row>
    <row r="43" spans="1:45" ht="21.95" customHeight="1">
      <c r="A43" s="858" t="s">
        <v>196</v>
      </c>
      <c r="E43" s="1192">
        <v>1</v>
      </c>
      <c r="R43" s="311"/>
      <c r="S43" s="833">
        <f>INDEX(PT_DIFFERENTIATION_NUM_NTAR,MATCH(A43,PT_DIFFERENTIATION_NTAR_ID,0))</f>
        <v>0</v>
      </c>
      <c r="T43" s="796" t="s">
        <v>133</v>
      </c>
      <c r="U43" s="834"/>
      <c r="V43" s="1187"/>
      <c r="W43" s="1188"/>
      <c r="X43" s="1188"/>
      <c r="Y43" s="1188"/>
      <c r="Z43" s="1188"/>
      <c r="AA43" s="1188"/>
      <c r="AB43" s="1188"/>
      <c r="AC43" s="1189"/>
      <c r="AD43" s="1187" t="str">
        <f>INDEX(PT_DIFFERENTIATION_NTAR,MATCH(A43,PT_DIFFERENTIATION_NTAR_ID,0))</f>
        <v/>
      </c>
      <c r="AE43" s="1188"/>
      <c r="AF43" s="1188"/>
      <c r="AG43" s="1188"/>
      <c r="AH43" s="1188"/>
      <c r="AI43" s="1188"/>
      <c r="AJ43" s="1188"/>
      <c r="AK43" s="1188"/>
      <c r="AL43" s="1189"/>
      <c r="AM43" s="83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583" t="str">
        <f t="shared" ref="AP43:AP57" si="1">IF(T43="","",T43)</f>
        <v>Наименование тарифа</v>
      </c>
      <c r="AS43" s="539">
        <v>21</v>
      </c>
    </row>
    <row r="44" spans="1:45" ht="21.95" customHeight="1">
      <c r="A44" s="858" t="s">
        <v>196</v>
      </c>
      <c r="B44" s="858" t="s">
        <v>197</v>
      </c>
      <c r="E44" s="1193"/>
      <c r="F44" s="1192">
        <v>1</v>
      </c>
      <c r="Q44" s="837"/>
      <c r="R44" s="838"/>
      <c r="S44" s="833" t="str">
        <f>INDEX(PT_DIFFERENTIATION_NUM_TER,MATCH(B44,PT_DIFFERENTIATION_TER_ID,0))</f>
        <v>.</v>
      </c>
      <c r="T44" s="839" t="s">
        <v>405</v>
      </c>
      <c r="U44" s="834"/>
      <c r="V44" s="1187"/>
      <c r="W44" s="1188"/>
      <c r="X44" s="1188"/>
      <c r="Y44" s="1188"/>
      <c r="Z44" s="1188"/>
      <c r="AA44" s="1188"/>
      <c r="AB44" s="1188"/>
      <c r="AC44" s="1189"/>
      <c r="AD44" s="1187" t="str">
        <f>INDEX(PT_DIFFERENTIATION_TER,MATCH(B44,PT_DIFFERENTIATION_TER_ID,0))</f>
        <v/>
      </c>
      <c r="AE44" s="1188"/>
      <c r="AF44" s="1188"/>
      <c r="AG44" s="1188"/>
      <c r="AH44" s="1188"/>
      <c r="AI44" s="1188"/>
      <c r="AJ44" s="1188"/>
      <c r="AK44" s="1188"/>
      <c r="AL44" s="1189"/>
      <c r="AM44" s="836" t="s">
        <v>406</v>
      </c>
      <c r="AP44" s="583" t="str">
        <f t="shared" si="1"/>
        <v>Территория действия тарифа</v>
      </c>
      <c r="AS44" s="539">
        <v>21</v>
      </c>
    </row>
    <row r="45" spans="1:45" ht="24" customHeight="1">
      <c r="A45" s="858" t="s">
        <v>196</v>
      </c>
      <c r="B45" s="858" t="s">
        <v>197</v>
      </c>
      <c r="C45" s="858" t="s">
        <v>198</v>
      </c>
      <c r="E45" s="1193"/>
      <c r="F45" s="1193"/>
      <c r="G45" s="1192">
        <v>1</v>
      </c>
      <c r="Q45" s="837"/>
      <c r="R45" s="838"/>
      <c r="S45" s="833" t="str">
        <f>INDEX(PT_DIFFERENTIATION_NUM_CS,MATCH(C45,PT_DIFFERENTIATION_CS_ID,0))</f>
        <v>..</v>
      </c>
      <c r="T45" s="840" t="s">
        <v>407</v>
      </c>
      <c r="U45" s="834"/>
      <c r="V45" s="1187"/>
      <c r="W45" s="1188"/>
      <c r="X45" s="1188"/>
      <c r="Y45" s="1188"/>
      <c r="Z45" s="1188"/>
      <c r="AA45" s="1188"/>
      <c r="AB45" s="1188"/>
      <c r="AC45" s="1189"/>
      <c r="AD45" s="1187" t="str">
        <f>INDEX(PT_DIFFERENTIATION_CS,MATCH(C45,PT_DIFFERENTIATION_CS_ID,0))</f>
        <v/>
      </c>
      <c r="AE45" s="1188"/>
      <c r="AF45" s="1188"/>
      <c r="AG45" s="1188"/>
      <c r="AH45" s="1188"/>
      <c r="AI45" s="1188"/>
      <c r="AJ45" s="1188"/>
      <c r="AK45" s="1188"/>
      <c r="AL45" s="1189"/>
      <c r="AM45" s="836" t="s">
        <v>408</v>
      </c>
      <c r="AP45" s="583" t="str">
        <f t="shared" si="1"/>
        <v xml:space="preserve">Наименование системы теплоснабжения </v>
      </c>
      <c r="AS45" s="539">
        <v>23</v>
      </c>
    </row>
    <row r="46" spans="1:45" ht="21.95" customHeight="1">
      <c r="A46" s="858" t="s">
        <v>196</v>
      </c>
      <c r="B46" s="858" t="s">
        <v>197</v>
      </c>
      <c r="C46" s="858" t="s">
        <v>198</v>
      </c>
      <c r="D46" s="858" t="s">
        <v>199</v>
      </c>
      <c r="E46" s="1193"/>
      <c r="F46" s="1193"/>
      <c r="G46" s="1193"/>
      <c r="H46" s="1192">
        <v>1</v>
      </c>
      <c r="Q46" s="837"/>
      <c r="R46" s="838"/>
      <c r="S46" s="833" t="str">
        <f>INDEX(PT_DIFFERENTIATION_NUM_IST_TE,MATCH(D46,PT_DIFFERENTIATION_IST_TE_ID,0))</f>
        <v>...</v>
      </c>
      <c r="T46" s="841" t="s">
        <v>409</v>
      </c>
      <c r="U46" s="834"/>
      <c r="V46" s="1187"/>
      <c r="W46" s="1188"/>
      <c r="X46" s="1188"/>
      <c r="Y46" s="1188"/>
      <c r="Z46" s="1188"/>
      <c r="AA46" s="1188"/>
      <c r="AB46" s="1188"/>
      <c r="AC46" s="1189"/>
      <c r="AD46" s="1187" t="str">
        <f>INDEX(PT_DIFFERENTIATION_IST_TE,MATCH(D46,PT_DIFFERENTIATION_IST_TE_ID,0))</f>
        <v/>
      </c>
      <c r="AE46" s="1188"/>
      <c r="AF46" s="1188"/>
      <c r="AG46" s="1188"/>
      <c r="AH46" s="1188"/>
      <c r="AI46" s="1188"/>
      <c r="AJ46" s="1188"/>
      <c r="AK46" s="1188"/>
      <c r="AL46" s="1189"/>
      <c r="AM46" s="836" t="s">
        <v>410</v>
      </c>
      <c r="AP46" s="583" t="str">
        <f t="shared" si="1"/>
        <v xml:space="preserve">Источник тепловой энергии  </v>
      </c>
      <c r="AS46" s="539">
        <v>21</v>
      </c>
    </row>
    <row r="47" spans="1:45" ht="0" hidden="1" customHeight="1">
      <c r="A47" s="575" t="s">
        <v>196</v>
      </c>
      <c r="B47" s="575" t="s">
        <v>197</v>
      </c>
      <c r="C47" s="575" t="s">
        <v>198</v>
      </c>
      <c r="D47" s="575" t="s">
        <v>199</v>
      </c>
      <c r="E47" s="1193"/>
      <c r="F47" s="1193"/>
      <c r="G47" s="1193"/>
      <c r="H47" s="1193"/>
      <c r="I47" s="1194" t="str">
        <f>S46&amp;".1"</f>
        <v>....1</v>
      </c>
      <c r="L47" s="864" t="s">
        <v>411</v>
      </c>
      <c r="P47" s="1196">
        <v>1</v>
      </c>
      <c r="R47" s="843"/>
      <c r="S47" s="636"/>
      <c r="T47" s="860"/>
      <c r="U47" s="861"/>
      <c r="V47" s="1223"/>
      <c r="W47" s="1224"/>
      <c r="X47" s="1224"/>
      <c r="Y47" s="1224"/>
      <c r="Z47" s="1224"/>
      <c r="AA47" s="1224"/>
      <c r="AB47" s="1224"/>
      <c r="AC47" s="1225"/>
      <c r="AD47" s="1223"/>
      <c r="AE47" s="1224"/>
      <c r="AF47" s="1224"/>
      <c r="AG47" s="1224"/>
      <c r="AH47" s="1224"/>
      <c r="AI47" s="1224"/>
      <c r="AJ47" s="1224"/>
      <c r="AK47" s="1224"/>
      <c r="AL47" s="1225"/>
      <c r="AM47" s="863"/>
      <c r="AP47" s="583" t="str">
        <f t="shared" si="1"/>
        <v/>
      </c>
      <c r="AS47" s="578">
        <v>0</v>
      </c>
    </row>
    <row r="48" spans="1:45" ht="21.95" customHeight="1">
      <c r="A48" s="858" t="s">
        <v>196</v>
      </c>
      <c r="B48" s="858" t="s">
        <v>197</v>
      </c>
      <c r="C48" s="858" t="s">
        <v>198</v>
      </c>
      <c r="D48" s="858" t="s">
        <v>199</v>
      </c>
      <c r="E48" s="1193"/>
      <c r="F48" s="1193"/>
      <c r="G48" s="1193"/>
      <c r="H48" s="1193"/>
      <c r="I48" s="1195"/>
      <c r="J48" s="1194" t="str">
        <f>S46&amp;".1"</f>
        <v>....1</v>
      </c>
      <c r="L48" s="842" t="s">
        <v>414</v>
      </c>
      <c r="P48" s="1038"/>
      <c r="Q48" s="1196">
        <v>1</v>
      </c>
      <c r="R48" s="845"/>
      <c r="S48" s="833" t="str">
        <f>$J48</f>
        <v>....1</v>
      </c>
      <c r="T48" s="846" t="s">
        <v>415</v>
      </c>
      <c r="U48" s="834"/>
      <c r="V48" s="1181"/>
      <c r="W48" s="1182"/>
      <c r="X48" s="1182"/>
      <c r="Y48" s="1182"/>
      <c r="Z48" s="1182"/>
      <c r="AA48" s="1182"/>
      <c r="AB48" s="1182"/>
      <c r="AC48" s="1183"/>
      <c r="AD48" s="1181"/>
      <c r="AE48" s="1182"/>
      <c r="AF48" s="1182"/>
      <c r="AG48" s="1182"/>
      <c r="AH48" s="1182"/>
      <c r="AI48" s="1182"/>
      <c r="AJ48" s="1182"/>
      <c r="AK48" s="1182"/>
      <c r="AL48" s="1183"/>
      <c r="AM48" s="836" t="s">
        <v>416</v>
      </c>
      <c r="AP48" s="583" t="str">
        <f t="shared" si="1"/>
        <v>Группа потребителей</v>
      </c>
      <c r="AS48" s="539">
        <v>21</v>
      </c>
    </row>
    <row r="49" spans="1:45" ht="21.95" customHeight="1">
      <c r="A49" s="858" t="s">
        <v>196</v>
      </c>
      <c r="B49" s="858" t="s">
        <v>197</v>
      </c>
      <c r="C49" s="858" t="s">
        <v>198</v>
      </c>
      <c r="D49" s="858" t="s">
        <v>199</v>
      </c>
      <c r="E49" s="1193"/>
      <c r="F49" s="1193"/>
      <c r="G49" s="1193"/>
      <c r="H49" s="1193"/>
      <c r="I49" s="1195"/>
      <c r="J49" s="1195"/>
      <c r="K49" s="1194" t="str">
        <f>J48&amp;".1"</f>
        <v>....1.1</v>
      </c>
      <c r="L49" s="842" t="s">
        <v>417</v>
      </c>
      <c r="P49" s="1038"/>
      <c r="Q49" s="1038"/>
      <c r="R49" s="845">
        <v>1</v>
      </c>
      <c r="S49" s="833" t="str">
        <f>$K49</f>
        <v>....1.1</v>
      </c>
      <c r="T49" s="847"/>
      <c r="U49" s="834"/>
      <c r="V49" s="312"/>
      <c r="W49" s="313"/>
      <c r="X49" s="312"/>
      <c r="Y49" s="314"/>
      <c r="Z49" s="1197"/>
      <c r="AA49" s="1079" t="s">
        <v>61</v>
      </c>
      <c r="AB49" s="1197"/>
      <c r="AC49" s="1079" t="s">
        <v>61</v>
      </c>
      <c r="AD49" s="312"/>
      <c r="AE49" s="313"/>
      <c r="AF49" s="312"/>
      <c r="AG49" s="314"/>
      <c r="AH49" s="1197"/>
      <c r="AI49" s="1079" t="s">
        <v>61</v>
      </c>
      <c r="AJ49" s="1199"/>
      <c r="AK49" s="1079" t="s">
        <v>61</v>
      </c>
      <c r="AL49" s="332"/>
      <c r="AM49" s="1215" t="s">
        <v>459</v>
      </c>
      <c r="AN49" s="578" t="e">
        <f ca="1">STRCHECKDATE(V50:AL50)</f>
        <v>#NAME?</v>
      </c>
      <c r="AP49" s="583" t="str">
        <f t="shared" si="1"/>
        <v/>
      </c>
      <c r="AS49" s="539">
        <v>21</v>
      </c>
    </row>
    <row r="50" spans="1:45" ht="0" hidden="1" customHeight="1">
      <c r="A50" s="858" t="s">
        <v>196</v>
      </c>
      <c r="B50" s="858" t="s">
        <v>197</v>
      </c>
      <c r="C50" s="858" t="s">
        <v>198</v>
      </c>
      <c r="D50" s="858" t="s">
        <v>199</v>
      </c>
      <c r="E50" s="1193"/>
      <c r="F50" s="1193"/>
      <c r="G50" s="1193"/>
      <c r="H50" s="1193"/>
      <c r="I50" s="1195"/>
      <c r="J50" s="1195"/>
      <c r="K50" s="1194"/>
      <c r="P50" s="1038"/>
      <c r="Q50" s="1038"/>
      <c r="R50" s="845"/>
      <c r="S50" s="127"/>
      <c r="T50" s="834"/>
      <c r="U50" s="834"/>
      <c r="V50" s="313"/>
      <c r="W50" s="313"/>
      <c r="X50" s="313"/>
      <c r="Y50" s="315" t="str">
        <f>Z49&amp;"-"&amp;AB49</f>
        <v>-</v>
      </c>
      <c r="Z50" s="1198"/>
      <c r="AA50" s="1079"/>
      <c r="AB50" s="1198"/>
      <c r="AC50" s="1079"/>
      <c r="AD50" s="313"/>
      <c r="AE50" s="313"/>
      <c r="AF50" s="313"/>
      <c r="AG50" s="315" t="str">
        <f>AH49&amp;"-"&amp;AJ49</f>
        <v>-</v>
      </c>
      <c r="AH50" s="1198"/>
      <c r="AI50" s="1079"/>
      <c r="AJ50" s="1200"/>
      <c r="AK50" s="1079"/>
      <c r="AL50" s="333"/>
      <c r="AM50" s="1216"/>
      <c r="AP50" s="583" t="str">
        <f t="shared" si="1"/>
        <v/>
      </c>
      <c r="AS50" s="539">
        <v>0</v>
      </c>
    </row>
    <row r="51" spans="1:45" ht="11.45" customHeight="1">
      <c r="A51" s="858" t="s">
        <v>196</v>
      </c>
      <c r="B51" s="858" t="s">
        <v>197</v>
      </c>
      <c r="C51" s="858" t="s">
        <v>198</v>
      </c>
      <c r="D51" s="858" t="s">
        <v>199</v>
      </c>
      <c r="E51" s="1193"/>
      <c r="F51" s="1193"/>
      <c r="G51" s="1193"/>
      <c r="H51" s="1193"/>
      <c r="I51" s="1195"/>
      <c r="J51" s="1194"/>
      <c r="P51" s="1038"/>
      <c r="Q51" s="1038"/>
      <c r="R51" s="843"/>
      <c r="S51" s="316"/>
      <c r="T51" s="319" t="s">
        <v>419</v>
      </c>
      <c r="U51" s="52"/>
      <c r="V51" s="52"/>
      <c r="W51" s="52"/>
      <c r="X51" s="52"/>
      <c r="Y51" s="52"/>
      <c r="Z51" s="52"/>
      <c r="AA51" s="52"/>
      <c r="AB51" s="52"/>
      <c r="AC51" s="52"/>
      <c r="AD51" s="52"/>
      <c r="AE51" s="52"/>
      <c r="AF51" s="52"/>
      <c r="AG51" s="52"/>
      <c r="AH51" s="52"/>
      <c r="AI51" s="52"/>
      <c r="AJ51" s="52"/>
      <c r="AK51" s="52"/>
      <c r="AL51" s="318"/>
      <c r="AM51" s="1217"/>
      <c r="AP51" s="583" t="str">
        <f t="shared" si="1"/>
        <v>Добавить вид теплоносителя (параметры теплоносителя)</v>
      </c>
      <c r="AS51" s="539">
        <v>11</v>
      </c>
    </row>
    <row r="52" spans="1:45" ht="11.45" customHeight="1">
      <c r="A52" s="858" t="s">
        <v>196</v>
      </c>
      <c r="B52" s="858" t="s">
        <v>197</v>
      </c>
      <c r="C52" s="858" t="s">
        <v>198</v>
      </c>
      <c r="D52" s="858" t="s">
        <v>199</v>
      </c>
      <c r="E52" s="1193"/>
      <c r="F52" s="1193"/>
      <c r="G52" s="1193"/>
      <c r="H52" s="1193"/>
      <c r="I52" s="1194"/>
      <c r="P52" s="1038"/>
      <c r="R52" s="843"/>
      <c r="S52" s="316"/>
      <c r="T52" s="322" t="s">
        <v>420</v>
      </c>
      <c r="U52" s="52"/>
      <c r="V52" s="52"/>
      <c r="W52" s="52"/>
      <c r="X52" s="52"/>
      <c r="Y52" s="52"/>
      <c r="Z52" s="52"/>
      <c r="AA52" s="52"/>
      <c r="AB52" s="52"/>
      <c r="AC52" s="320"/>
      <c r="AD52" s="52"/>
      <c r="AE52" s="52"/>
      <c r="AF52" s="52"/>
      <c r="AG52" s="52"/>
      <c r="AH52" s="52"/>
      <c r="AI52" s="52"/>
      <c r="AJ52" s="52"/>
      <c r="AK52" s="320"/>
      <c r="AL52" s="52"/>
      <c r="AM52" s="321"/>
      <c r="AP52" s="583" t="str">
        <f t="shared" si="1"/>
        <v>Добавить группу потребителей</v>
      </c>
      <c r="AS52" s="539">
        <v>11</v>
      </c>
    </row>
    <row r="53" spans="1:45" ht="0" hidden="1" customHeight="1">
      <c r="A53" s="858" t="s">
        <v>196</v>
      </c>
      <c r="B53" s="858" t="s">
        <v>197</v>
      </c>
      <c r="C53" s="858" t="s">
        <v>198</v>
      </c>
      <c r="D53" s="858" t="s">
        <v>199</v>
      </c>
      <c r="E53" s="1193"/>
      <c r="F53" s="1193"/>
      <c r="G53" s="1193"/>
      <c r="H53" s="1192"/>
      <c r="R53" s="311"/>
      <c r="S53" s="335"/>
      <c r="T53" s="336"/>
      <c r="U53" s="337"/>
      <c r="V53" s="337"/>
      <c r="W53" s="337"/>
      <c r="X53" s="337"/>
      <c r="Y53" s="337"/>
      <c r="Z53" s="337"/>
      <c r="AA53" s="337"/>
      <c r="AB53" s="337"/>
      <c r="AC53" s="337"/>
      <c r="AD53" s="337"/>
      <c r="AE53" s="337"/>
      <c r="AF53" s="337"/>
      <c r="AG53" s="337"/>
      <c r="AH53" s="337"/>
      <c r="AI53" s="337"/>
      <c r="AJ53" s="337"/>
      <c r="AK53" s="337"/>
      <c r="AL53" s="337"/>
      <c r="AM53" s="338"/>
      <c r="AP53" s="583" t="str">
        <f t="shared" si="1"/>
        <v/>
      </c>
      <c r="AS53" s="539">
        <v>0</v>
      </c>
    </row>
    <row r="54" spans="1:45" ht="0" hidden="1" customHeight="1">
      <c r="A54" s="575" t="s">
        <v>196</v>
      </c>
      <c r="B54" s="575" t="s">
        <v>197</v>
      </c>
      <c r="C54" s="575" t="s">
        <v>198</v>
      </c>
      <c r="E54" s="1193"/>
      <c r="F54" s="1193"/>
      <c r="G54" s="1192"/>
      <c r="T54" s="327" t="s">
        <v>422</v>
      </c>
      <c r="AP54" s="583" t="str">
        <f t="shared" si="1"/>
        <v>Добавить источник для дифференциации</v>
      </c>
      <c r="AS54" s="578">
        <v>0</v>
      </c>
    </row>
    <row r="55" spans="1:45" ht="0" hidden="1" customHeight="1">
      <c r="A55" s="575" t="s">
        <v>196</v>
      </c>
      <c r="B55" s="575" t="s">
        <v>197</v>
      </c>
      <c r="E55" s="1193"/>
      <c r="F55" s="1192"/>
      <c r="T55" s="327" t="s">
        <v>423</v>
      </c>
      <c r="AP55" s="583" t="str">
        <f t="shared" si="1"/>
        <v>Добавить централизованную систему для дифференциации</v>
      </c>
      <c r="AS55" s="578">
        <v>0</v>
      </c>
    </row>
    <row r="56" spans="1:45" ht="0" hidden="1" customHeight="1">
      <c r="A56" s="575" t="s">
        <v>196</v>
      </c>
      <c r="E56" s="1192"/>
      <c r="T56" s="327" t="s">
        <v>424</v>
      </c>
      <c r="AP56" s="583" t="str">
        <f t="shared" si="1"/>
        <v>Добавить территорию для дифференциации</v>
      </c>
      <c r="AS56" s="578">
        <v>0</v>
      </c>
    </row>
    <row r="57" spans="1:45" ht="4.1500000000000004" customHeight="1">
      <c r="T57" s="327" t="s">
        <v>456</v>
      </c>
      <c r="AP57" s="583" t="str">
        <f t="shared" si="1"/>
        <v>Добавить наименование тарифа</v>
      </c>
      <c r="AS57" s="578">
        <v>4</v>
      </c>
    </row>
    <row r="58" spans="1:45" ht="11.45" customHeight="1">
      <c r="AS58" s="539">
        <v>11</v>
      </c>
    </row>
    <row r="59" spans="1:45" ht="14.65" customHeight="1">
      <c r="T59" s="1038"/>
      <c r="U59" s="1038"/>
      <c r="V59" s="1038"/>
      <c r="W59" s="1038"/>
      <c r="X59" s="1038"/>
      <c r="Y59" s="1038"/>
      <c r="Z59" s="1038"/>
      <c r="AA59" s="1038"/>
      <c r="AB59" s="1038"/>
      <c r="AC59" s="1038"/>
      <c r="AD59" s="1038"/>
      <c r="AE59" s="1038"/>
      <c r="AF59" s="1038"/>
      <c r="AG59" s="1038"/>
      <c r="AH59" s="1038"/>
      <c r="AI59" s="1038"/>
      <c r="AJ59" s="1038"/>
      <c r="AK59" s="1038"/>
      <c r="AL59" s="1038"/>
      <c r="AM59" s="1038"/>
      <c r="AS59" s="539">
        <v>14</v>
      </c>
    </row>
    <row r="60" spans="1:45" ht="14.65" customHeight="1">
      <c r="T60" s="1038"/>
      <c r="U60" s="1038"/>
      <c r="V60" s="1038"/>
      <c r="W60" s="1038"/>
      <c r="X60" s="1038"/>
      <c r="Y60" s="1038"/>
      <c r="Z60" s="1038"/>
      <c r="AA60" s="1038"/>
      <c r="AB60" s="1038"/>
      <c r="AC60" s="1038"/>
      <c r="AD60" s="1038"/>
      <c r="AE60" s="1038"/>
      <c r="AF60" s="1038"/>
      <c r="AG60" s="1038"/>
      <c r="AH60" s="1038"/>
      <c r="AI60" s="1038"/>
      <c r="AJ60" s="1038"/>
      <c r="AK60" s="1038"/>
      <c r="AL60" s="1038"/>
      <c r="AM60" s="1038"/>
      <c r="AS60" s="539">
        <v>14</v>
      </c>
    </row>
    <row r="61" spans="1:45" ht="14.65" customHeight="1">
      <c r="T61" s="1038"/>
      <c r="U61" s="1038"/>
      <c r="V61" s="1038"/>
      <c r="W61" s="1038"/>
      <c r="X61" s="1038"/>
      <c r="Y61" s="1038"/>
      <c r="Z61" s="1038"/>
      <c r="AA61" s="1038"/>
      <c r="AB61" s="1038"/>
      <c r="AC61" s="1038"/>
      <c r="AD61" s="1038"/>
      <c r="AE61" s="1038"/>
      <c r="AF61" s="1038"/>
      <c r="AG61" s="1038"/>
      <c r="AH61" s="1038"/>
      <c r="AI61" s="1038"/>
      <c r="AJ61" s="1038"/>
      <c r="AK61" s="1038"/>
      <c r="AL61" s="1038"/>
      <c r="AM61" s="1038"/>
      <c r="AS61" s="539">
        <v>14</v>
      </c>
    </row>
    <row r="62" spans="1:45" ht="14.65" customHeight="1">
      <c r="AS62" s="539">
        <v>14</v>
      </c>
    </row>
    <row r="63" spans="1:45" ht="14.65" customHeight="1">
      <c r="T63" s="1038"/>
      <c r="U63" s="1038"/>
      <c r="V63" s="1038"/>
      <c r="W63" s="1038"/>
      <c r="X63" s="1038"/>
      <c r="Y63" s="1038"/>
      <c r="Z63" s="1038"/>
      <c r="AA63" s="1038"/>
      <c r="AB63" s="1038"/>
      <c r="AC63" s="1038"/>
      <c r="AD63" s="1038"/>
      <c r="AE63" s="1038"/>
      <c r="AF63" s="1038"/>
      <c r="AG63" s="1038"/>
      <c r="AH63" s="1038"/>
      <c r="AI63" s="1038"/>
      <c r="AJ63" s="1038"/>
      <c r="AK63" s="1038"/>
      <c r="AL63" s="1038"/>
      <c r="AM63" s="1038"/>
      <c r="AS63" s="539">
        <v>14</v>
      </c>
    </row>
    <row r="64" spans="1:45" ht="14.65" customHeight="1">
      <c r="T64" s="1038"/>
      <c r="U64" s="1038"/>
      <c r="V64" s="1038"/>
      <c r="W64" s="1038"/>
      <c r="X64" s="1038"/>
      <c r="Y64" s="1038"/>
      <c r="Z64" s="1038"/>
      <c r="AA64" s="1038"/>
      <c r="AB64" s="1038"/>
      <c r="AC64" s="1038"/>
      <c r="AD64" s="1038"/>
      <c r="AE64" s="1038"/>
      <c r="AF64" s="1038"/>
      <c r="AG64" s="1038"/>
      <c r="AH64" s="1038"/>
      <c r="AI64" s="1038"/>
      <c r="AJ64" s="1038"/>
      <c r="AK64" s="1038"/>
      <c r="AL64" s="1038"/>
      <c r="AM64" s="1038"/>
      <c r="AS64" s="539">
        <v>14</v>
      </c>
    </row>
    <row r="65" spans="1:45" ht="14.65" customHeight="1">
      <c r="T65" s="1038"/>
      <c r="U65" s="1038"/>
      <c r="V65" s="1038"/>
      <c r="W65" s="1038"/>
      <c r="X65" s="1038"/>
      <c r="Y65" s="1038"/>
      <c r="Z65" s="1038"/>
      <c r="AA65" s="1038"/>
      <c r="AB65" s="1038"/>
      <c r="AC65" s="1038"/>
      <c r="AD65" s="1038"/>
      <c r="AE65" s="1038"/>
      <c r="AF65" s="1038"/>
      <c r="AG65" s="1038"/>
      <c r="AH65" s="1038"/>
      <c r="AI65" s="1038"/>
      <c r="AJ65" s="1038"/>
      <c r="AK65" s="1038"/>
      <c r="AL65" s="1038"/>
      <c r="AM65" s="1038"/>
      <c r="AS65" s="539">
        <v>14</v>
      </c>
    </row>
    <row r="66" spans="1:45" ht="22.5" hidden="1" customHeight="1">
      <c r="A66" s="556" t="s">
        <v>81</v>
      </c>
      <c r="B66" s="556">
        <v>0</v>
      </c>
      <c r="C66" s="556">
        <v>0</v>
      </c>
      <c r="D66" s="556">
        <v>0</v>
      </c>
      <c r="E66" s="556">
        <v>0</v>
      </c>
      <c r="F66" s="556">
        <v>0</v>
      </c>
      <c r="G66" s="556">
        <v>0</v>
      </c>
      <c r="H66" s="556">
        <v>0</v>
      </c>
      <c r="I66" s="556">
        <v>0</v>
      </c>
      <c r="J66" s="556">
        <v>0</v>
      </c>
      <c r="K66" s="556">
        <v>0</v>
      </c>
      <c r="L66" s="668">
        <v>0</v>
      </c>
      <c r="M66" s="12">
        <v>0</v>
      </c>
      <c r="N66" s="12">
        <v>0</v>
      </c>
      <c r="O66" s="12">
        <v>0</v>
      </c>
      <c r="P66" s="301">
        <v>0</v>
      </c>
      <c r="Q66" s="822">
        <v>3</v>
      </c>
      <c r="R66" s="822">
        <v>3</v>
      </c>
      <c r="S66" s="554">
        <v>12</v>
      </c>
      <c r="T66" s="539">
        <v>31</v>
      </c>
      <c r="U66" s="539">
        <v>0</v>
      </c>
      <c r="V66" s="539">
        <v>0</v>
      </c>
      <c r="W66" s="539">
        <v>0</v>
      </c>
      <c r="X66" s="539">
        <v>0</v>
      </c>
      <c r="Y66" s="539">
        <v>0</v>
      </c>
      <c r="Z66" s="539">
        <v>0</v>
      </c>
      <c r="AA66" s="539">
        <v>0</v>
      </c>
      <c r="AB66" s="539">
        <v>0</v>
      </c>
      <c r="AC66" s="539">
        <v>0</v>
      </c>
      <c r="AD66" s="539">
        <v>24</v>
      </c>
      <c r="AE66" s="539">
        <v>0</v>
      </c>
      <c r="AF66" s="539">
        <v>24</v>
      </c>
      <c r="AG66" s="539">
        <v>24</v>
      </c>
      <c r="AH66" s="539">
        <v>11</v>
      </c>
      <c r="AI66" s="539">
        <v>3</v>
      </c>
      <c r="AJ66" s="539">
        <v>11</v>
      </c>
      <c r="AK66" s="539">
        <v>0</v>
      </c>
      <c r="AL66" s="539">
        <v>4</v>
      </c>
      <c r="AM66" s="539">
        <v>115</v>
      </c>
      <c r="AN66" s="578">
        <v>10</v>
      </c>
      <c r="AO66" s="578">
        <v>10</v>
      </c>
      <c r="AP66" s="578">
        <v>10</v>
      </c>
      <c r="AQ66" s="578">
        <v>10</v>
      </c>
      <c r="AR66" s="578">
        <v>10</v>
      </c>
      <c r="AS66" s="539">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2" width="11.42578125" style="1030" hidden="1" customWidth="1"/>
    <col min="13" max="13" width="19.140625" style="1030" hidden="1" customWidth="1"/>
    <col min="14" max="15" width="12.28515625" style="1030" hidden="1" customWidth="1"/>
    <col min="16" max="16" width="23.42578125" style="1030" hidden="1" customWidth="1"/>
    <col min="17" max="17" width="3.7109375" style="1030" hidden="1" customWidth="1"/>
    <col min="18" max="20" width="3" style="1030" customWidth="1"/>
    <col min="21" max="21" width="12" style="1030" customWidth="1"/>
    <col min="22" max="22" width="31" style="1030" customWidth="1"/>
    <col min="23" max="23" width="0.140625" style="1030" customWidth="1"/>
    <col min="24" max="28" width="21.7109375" style="1030" hidden="1" customWidth="1"/>
    <col min="29" max="29" width="11.7109375" style="1030" hidden="1" customWidth="1"/>
    <col min="30" max="30" width="3.7109375" style="1030" hidden="1" customWidth="1"/>
    <col min="31" max="31" width="11.7109375" style="1030" hidden="1" customWidth="1"/>
    <col min="32" max="32" width="8.5703125" style="1030" hidden="1" customWidth="1"/>
    <col min="33" max="33" width="21.7109375" style="1030" customWidth="1"/>
    <col min="34" max="37" width="21" style="1030" customWidth="1"/>
    <col min="38" max="38" width="11" style="1030" customWidth="1"/>
    <col min="39" max="39" width="3.7109375" style="1030" customWidth="1"/>
    <col min="40" max="40" width="11" style="1030" customWidth="1"/>
    <col min="41" max="41" width="8.5703125" style="1030" hidden="1" customWidth="1"/>
    <col min="42" max="42" width="4" style="1030" customWidth="1"/>
    <col min="43" max="43" width="115" style="1030" customWidth="1"/>
    <col min="44" max="48" width="10" style="1030" customWidth="1"/>
    <col min="49" max="49" width="10.5703125" style="1030" hidden="1"/>
  </cols>
  <sheetData>
    <row r="1" spans="5:49" ht="22.5" hidden="1" customHeight="1">
      <c r="AW1" s="539" t="s">
        <v>14</v>
      </c>
    </row>
    <row r="2" spans="5:49" ht="21" hidden="1" customHeight="1">
      <c r="E2" s="1218">
        <v>1</v>
      </c>
      <c r="T2" s="311"/>
      <c r="U2" s="833" t="e">
        <f>INDEX(PT_DIFFERENTIATION_NUM_NTAR,MATCH(A2,PT_DIFFERENTIATION_NTAR_ID,0))</f>
        <v>#N/A</v>
      </c>
      <c r="V2" s="796" t="s">
        <v>133</v>
      </c>
      <c r="W2" s="834"/>
      <c r="X2" s="1187"/>
      <c r="Y2" s="1188"/>
      <c r="Z2" s="1188"/>
      <c r="AA2" s="1188"/>
      <c r="AB2" s="1188"/>
      <c r="AC2" s="1188"/>
      <c r="AD2" s="1188"/>
      <c r="AE2" s="1188"/>
      <c r="AF2" s="1189"/>
      <c r="AG2" s="1187" t="e">
        <f>INDEX(PT_DIFFERENTIATION_NTAR,MATCH(A2,PT_DIFFERENTIATION_NTAR_ID,0))</f>
        <v>#N/A</v>
      </c>
      <c r="AH2" s="1188"/>
      <c r="AI2" s="1188"/>
      <c r="AJ2" s="1188"/>
      <c r="AK2" s="1188"/>
      <c r="AL2" s="1188"/>
      <c r="AM2" s="1188"/>
      <c r="AN2" s="1188"/>
      <c r="AO2" s="1188"/>
      <c r="AP2" s="1189"/>
      <c r="AQ2" s="836" t="s">
        <v>404</v>
      </c>
      <c r="AT2" s="583" t="str">
        <f t="shared" ref="AT2:AT8" si="0">IF(V2="","",V2)</f>
        <v>Наименование тарифа</v>
      </c>
      <c r="AW2" s="539">
        <v>0</v>
      </c>
    </row>
    <row r="3" spans="5:49" ht="21" hidden="1" customHeight="1">
      <c r="E3" s="1219"/>
      <c r="F3" s="1218">
        <v>1</v>
      </c>
      <c r="R3" s="837"/>
      <c r="T3" s="838"/>
      <c r="U3" s="833" t="e">
        <f>INDEX(PT_DIFFERENTIATION_NUM_TER,MATCH(B3,PT_DIFFERENTIATION_TER_ID,0))</f>
        <v>#N/A</v>
      </c>
      <c r="V3" s="839" t="s">
        <v>405</v>
      </c>
      <c r="W3" s="834"/>
      <c r="X3" s="1187"/>
      <c r="Y3" s="1188"/>
      <c r="Z3" s="1188"/>
      <c r="AA3" s="1188"/>
      <c r="AB3" s="1188"/>
      <c r="AC3" s="1188"/>
      <c r="AD3" s="1188"/>
      <c r="AE3" s="1188"/>
      <c r="AF3" s="1189"/>
      <c r="AG3" s="1187" t="e">
        <f>INDEX(PT_DIFFERENTIATION_TER,MATCH(B3,PT_DIFFERENTIATION_TER_ID,0))</f>
        <v>#N/A</v>
      </c>
      <c r="AH3" s="1188"/>
      <c r="AI3" s="1188"/>
      <c r="AJ3" s="1188"/>
      <c r="AK3" s="1188"/>
      <c r="AL3" s="1188"/>
      <c r="AM3" s="1188"/>
      <c r="AN3" s="1188"/>
      <c r="AO3" s="1188"/>
      <c r="AP3" s="1189"/>
      <c r="AQ3" s="836" t="s">
        <v>406</v>
      </c>
      <c r="AT3" s="583" t="str">
        <f t="shared" si="0"/>
        <v>Территория действия тарифа</v>
      </c>
      <c r="AW3" s="539">
        <v>0</v>
      </c>
    </row>
    <row r="4" spans="5:49" ht="22.5" hidden="1" customHeight="1">
      <c r="E4" s="1219"/>
      <c r="F4" s="1219"/>
      <c r="G4" s="1218">
        <v>1</v>
      </c>
      <c r="R4" s="837"/>
      <c r="T4" s="838"/>
      <c r="U4" s="833" t="e">
        <f>INDEX(PT_DIFFERENTIATION_NUM_CS,MATCH(C4,PT_DIFFERENTIATION_CS_ID,0))</f>
        <v>#N/A</v>
      </c>
      <c r="V4" s="840" t="s">
        <v>407</v>
      </c>
      <c r="W4" s="834"/>
      <c r="X4" s="1187"/>
      <c r="Y4" s="1188"/>
      <c r="Z4" s="1188"/>
      <c r="AA4" s="1188"/>
      <c r="AB4" s="1188"/>
      <c r="AC4" s="1188"/>
      <c r="AD4" s="1188"/>
      <c r="AE4" s="1188"/>
      <c r="AF4" s="1189"/>
      <c r="AG4" s="1187" t="e">
        <f>INDEX(PT_DIFFERENTIATION_CS,MATCH(C4,PT_DIFFERENTIATION_CS_ID,0))</f>
        <v>#N/A</v>
      </c>
      <c r="AH4" s="1188"/>
      <c r="AI4" s="1188"/>
      <c r="AJ4" s="1188"/>
      <c r="AK4" s="1188"/>
      <c r="AL4" s="1188"/>
      <c r="AM4" s="1188"/>
      <c r="AN4" s="1188"/>
      <c r="AO4" s="1188"/>
      <c r="AP4" s="1189"/>
      <c r="AQ4" s="836" t="s">
        <v>408</v>
      </c>
      <c r="AT4" s="583" t="str">
        <f t="shared" si="0"/>
        <v xml:space="preserve">Наименование системы теплоснабжения </v>
      </c>
      <c r="AW4" s="539">
        <v>0</v>
      </c>
    </row>
    <row r="5" spans="5:49" ht="21" hidden="1" customHeight="1">
      <c r="E5" s="1219"/>
      <c r="F5" s="1219"/>
      <c r="G5" s="1219"/>
      <c r="H5" s="1218">
        <v>1</v>
      </c>
      <c r="R5" s="837"/>
      <c r="T5" s="838"/>
      <c r="U5" s="833" t="e">
        <f>INDEX(PT_DIFFERENTIATION_NUM_IST_TE,MATCH(D5,PT_DIFFERENTIATION_IST_TE_ID,0))</f>
        <v>#N/A</v>
      </c>
      <c r="V5" s="841" t="s">
        <v>409</v>
      </c>
      <c r="W5" s="834"/>
      <c r="X5" s="1187"/>
      <c r="Y5" s="1188"/>
      <c r="Z5" s="1188"/>
      <c r="AA5" s="1188"/>
      <c r="AB5" s="1188"/>
      <c r="AC5" s="1188"/>
      <c r="AD5" s="1188"/>
      <c r="AE5" s="1188"/>
      <c r="AF5" s="1189"/>
      <c r="AG5" s="1187" t="e">
        <f>INDEX(PT_DIFFERENTIATION_IST_TE,MATCH(D5,PT_DIFFERENTIATION_IST_TE_ID,0))</f>
        <v>#N/A</v>
      </c>
      <c r="AH5" s="1188"/>
      <c r="AI5" s="1188"/>
      <c r="AJ5" s="1188"/>
      <c r="AK5" s="1188"/>
      <c r="AL5" s="1188"/>
      <c r="AM5" s="1188"/>
      <c r="AN5" s="1188"/>
      <c r="AO5" s="1188"/>
      <c r="AP5" s="1189"/>
      <c r="AQ5" s="836" t="s">
        <v>410</v>
      </c>
      <c r="AT5" s="583" t="str">
        <f t="shared" si="0"/>
        <v xml:space="preserve">Источник тепловой энергии  </v>
      </c>
      <c r="AW5" s="539">
        <v>0</v>
      </c>
    </row>
    <row r="6" spans="5:49" ht="14.25" hidden="1" customHeight="1">
      <c r="E6" s="1219"/>
      <c r="F6" s="1219"/>
      <c r="G6" s="1219"/>
      <c r="H6" s="1219"/>
      <c r="I6" s="1070" t="e">
        <f>U5&amp;".1"</f>
        <v>#N/A</v>
      </c>
      <c r="M6" s="874" t="s">
        <v>411</v>
      </c>
      <c r="Q6" s="1196">
        <v>1</v>
      </c>
      <c r="T6" s="843"/>
      <c r="U6" s="636"/>
      <c r="V6" s="860"/>
      <c r="W6" s="861"/>
      <c r="X6" s="1223"/>
      <c r="Y6" s="1224"/>
      <c r="Z6" s="1224"/>
      <c r="AA6" s="1224"/>
      <c r="AB6" s="1224"/>
      <c r="AC6" s="1224"/>
      <c r="AD6" s="1224"/>
      <c r="AE6" s="1224"/>
      <c r="AF6" s="1225"/>
      <c r="AG6" s="1223"/>
      <c r="AH6" s="1224"/>
      <c r="AI6" s="1224"/>
      <c r="AJ6" s="1224"/>
      <c r="AK6" s="1224"/>
      <c r="AL6" s="1224"/>
      <c r="AM6" s="1224"/>
      <c r="AN6" s="1224"/>
      <c r="AO6" s="1224"/>
      <c r="AP6" s="1225"/>
      <c r="AQ6" s="863"/>
      <c r="AT6" s="583" t="str">
        <f t="shared" si="0"/>
        <v/>
      </c>
      <c r="AW6" s="539">
        <v>0</v>
      </c>
    </row>
    <row r="7" spans="5:49" ht="21" hidden="1" customHeight="1">
      <c r="E7" s="1219"/>
      <c r="F7" s="1219"/>
      <c r="G7" s="1219"/>
      <c r="H7" s="1219"/>
      <c r="I7" s="1051"/>
      <c r="J7" s="1070" t="e">
        <f>I6&amp;".1"</f>
        <v>#N/A</v>
      </c>
      <c r="M7" s="874" t="s">
        <v>414</v>
      </c>
      <c r="Q7" s="1038"/>
      <c r="R7" s="1196">
        <v>1</v>
      </c>
      <c r="T7" s="845"/>
      <c r="U7" s="833" t="e">
        <f>$J7</f>
        <v>#N/A</v>
      </c>
      <c r="V7" s="846" t="s">
        <v>415</v>
      </c>
      <c r="W7" s="834"/>
      <c r="X7" s="1181"/>
      <c r="Y7" s="1182"/>
      <c r="Z7" s="1182"/>
      <c r="AA7" s="1182"/>
      <c r="AB7" s="1182"/>
      <c r="AC7" s="1177"/>
      <c r="AD7" s="1177"/>
      <c r="AE7" s="1177"/>
      <c r="AF7" s="1236"/>
      <c r="AG7" s="1181"/>
      <c r="AH7" s="1182"/>
      <c r="AI7" s="1182"/>
      <c r="AJ7" s="1182"/>
      <c r="AK7" s="1182"/>
      <c r="AL7" s="1182"/>
      <c r="AM7" s="1182"/>
      <c r="AN7" s="1182"/>
      <c r="AO7" s="1182"/>
      <c r="AP7" s="1183"/>
      <c r="AQ7" s="836" t="s">
        <v>416</v>
      </c>
      <c r="AT7" s="583" t="str">
        <f t="shared" si="0"/>
        <v>Группа потребителей</v>
      </c>
      <c r="AW7" s="539">
        <v>0</v>
      </c>
    </row>
    <row r="8" spans="5:49" ht="21" hidden="1" customHeight="1">
      <c r="E8" s="1219"/>
      <c r="F8" s="1219"/>
      <c r="G8" s="1219"/>
      <c r="H8" s="1219"/>
      <c r="I8" s="1051"/>
      <c r="J8" s="1051"/>
      <c r="K8" s="1070" t="e">
        <f>J7&amp;".1"</f>
        <v>#N/A</v>
      </c>
      <c r="M8" s="874" t="s">
        <v>417</v>
      </c>
      <c r="Q8" s="1038"/>
      <c r="R8" s="1038"/>
      <c r="S8" s="1196">
        <v>1</v>
      </c>
      <c r="T8" s="845"/>
      <c r="U8" s="833" t="e">
        <f>$K8</f>
        <v>#N/A</v>
      </c>
      <c r="V8" s="847"/>
      <c r="W8" s="834"/>
      <c r="X8" s="312"/>
      <c r="Y8" s="312"/>
      <c r="Z8" s="312"/>
      <c r="AA8" s="312"/>
      <c r="AB8" s="341"/>
      <c r="AC8" s="1197"/>
      <c r="AD8" s="1079" t="s">
        <v>61</v>
      </c>
      <c r="AE8" s="1197"/>
      <c r="AF8" s="1079" t="s">
        <v>61</v>
      </c>
      <c r="AG8" s="342"/>
      <c r="AH8" s="312"/>
      <c r="AI8" s="312"/>
      <c r="AJ8" s="312"/>
      <c r="AK8" s="314"/>
      <c r="AL8" s="1197"/>
      <c r="AM8" s="1079" t="s">
        <v>61</v>
      </c>
      <c r="AN8" s="1197"/>
      <c r="AO8" s="1079" t="s">
        <v>61</v>
      </c>
      <c r="AP8" s="313"/>
      <c r="AQ8" s="875" t="s">
        <v>460</v>
      </c>
      <c r="AR8" s="578" t="e">
        <f ca="1">STRCHECKDATE(X10:AP10)</f>
        <v>#NAME?</v>
      </c>
      <c r="AT8" s="583" t="str">
        <f t="shared" si="0"/>
        <v/>
      </c>
      <c r="AW8" s="539">
        <v>0</v>
      </c>
    </row>
    <row r="9" spans="5:49" ht="21" hidden="1" customHeight="1">
      <c r="E9" s="1219"/>
      <c r="F9" s="1219"/>
      <c r="G9" s="1219"/>
      <c r="H9" s="1219"/>
      <c r="I9" s="1051"/>
      <c r="J9" s="1051"/>
      <c r="K9" s="1051"/>
      <c r="L9" s="1070" t="e">
        <f>K8&amp;".1"</f>
        <v>#N/A</v>
      </c>
      <c r="Q9" s="1038"/>
      <c r="R9" s="1038"/>
      <c r="S9" s="1038"/>
      <c r="T9" s="845"/>
      <c r="U9" s="833" t="e">
        <f>$L9</f>
        <v>#N/A</v>
      </c>
      <c r="V9" s="876"/>
      <c r="W9" s="834"/>
      <c r="X9" s="313"/>
      <c r="Y9" s="312"/>
      <c r="Z9" s="312"/>
      <c r="AA9" s="312"/>
      <c r="AB9" s="341"/>
      <c r="AC9" s="1198"/>
      <c r="AD9" s="1079"/>
      <c r="AE9" s="1198"/>
      <c r="AF9" s="1079"/>
      <c r="AG9" s="342"/>
      <c r="AH9" s="312"/>
      <c r="AI9" s="312"/>
      <c r="AJ9" s="312"/>
      <c r="AK9" s="314"/>
      <c r="AL9" s="1198"/>
      <c r="AM9" s="1079"/>
      <c r="AN9" s="1198"/>
      <c r="AO9" s="1079"/>
      <c r="AP9" s="313"/>
      <c r="AQ9" s="1215" t="s">
        <v>461</v>
      </c>
      <c r="AW9" s="539">
        <v>0</v>
      </c>
    </row>
    <row r="10" spans="5:49" ht="14.25" hidden="1" customHeight="1">
      <c r="E10" s="1219"/>
      <c r="F10" s="1219"/>
      <c r="G10" s="1219"/>
      <c r="H10" s="1219"/>
      <c r="I10" s="1051"/>
      <c r="J10" s="1051"/>
      <c r="K10" s="1051"/>
      <c r="L10" s="1070"/>
      <c r="Q10" s="1038"/>
      <c r="R10" s="1038"/>
      <c r="S10" s="1038"/>
      <c r="T10" s="845"/>
      <c r="U10" s="127"/>
      <c r="V10" s="834"/>
      <c r="W10" s="834"/>
      <c r="X10" s="313"/>
      <c r="Y10" s="313"/>
      <c r="Z10" s="313"/>
      <c r="AA10" s="313"/>
      <c r="AB10" s="343" t="str">
        <f>AC8&amp;"-"&amp;AE8</f>
        <v>-</v>
      </c>
      <c r="AC10" s="1198"/>
      <c r="AD10" s="1079"/>
      <c r="AE10" s="1198"/>
      <c r="AF10" s="1079"/>
      <c r="AG10" s="344"/>
      <c r="AH10" s="313"/>
      <c r="AI10" s="313"/>
      <c r="AJ10" s="313"/>
      <c r="AK10" s="315" t="str">
        <f>AL8&amp;"-"&amp;AN8</f>
        <v>-</v>
      </c>
      <c r="AL10" s="1198"/>
      <c r="AM10" s="1079"/>
      <c r="AN10" s="1198"/>
      <c r="AO10" s="1079"/>
      <c r="AP10" s="313"/>
      <c r="AQ10" s="1216"/>
      <c r="AT10" s="583" t="str">
        <f>IF(V10="","",V10)</f>
        <v/>
      </c>
      <c r="AW10" s="539">
        <v>0</v>
      </c>
    </row>
    <row r="11" spans="5:49" ht="11.25" hidden="1" customHeight="1">
      <c r="E11" s="1219"/>
      <c r="F11" s="1219"/>
      <c r="G11" s="1219"/>
      <c r="H11" s="1219"/>
      <c r="I11" s="1051"/>
      <c r="J11" s="1051"/>
      <c r="K11" s="1070"/>
      <c r="Q11" s="1038"/>
      <c r="R11" s="1038"/>
      <c r="S11" s="1038"/>
      <c r="T11" s="845"/>
      <c r="U11" s="316"/>
      <c r="V11" s="317" t="s">
        <v>462</v>
      </c>
      <c r="W11" s="877"/>
      <c r="X11" s="345"/>
      <c r="Y11" s="345"/>
      <c r="Z11" s="345"/>
      <c r="AA11" s="345"/>
      <c r="AB11" s="346"/>
      <c r="AC11" s="1198"/>
      <c r="AD11" s="1079"/>
      <c r="AE11" s="1198"/>
      <c r="AF11" s="1079"/>
      <c r="AG11" s="345"/>
      <c r="AH11" s="345"/>
      <c r="AI11" s="345"/>
      <c r="AJ11" s="345"/>
      <c r="AK11" s="346"/>
      <c r="AL11" s="1198"/>
      <c r="AM11" s="1079"/>
      <c r="AN11" s="1198"/>
      <c r="AO11" s="1079"/>
      <c r="AP11" s="347"/>
      <c r="AQ11" s="1216"/>
      <c r="AW11" s="539">
        <v>0</v>
      </c>
    </row>
    <row r="12" spans="5:49" ht="15" hidden="1" customHeight="1">
      <c r="E12" s="1219"/>
      <c r="F12" s="1219"/>
      <c r="G12" s="1219"/>
      <c r="H12" s="1219"/>
      <c r="I12" s="1051"/>
      <c r="J12" s="1070"/>
      <c r="Q12" s="1038"/>
      <c r="R12" s="1038"/>
      <c r="T12" s="843"/>
      <c r="U12" s="316"/>
      <c r="V12" s="319" t="s">
        <v>419</v>
      </c>
      <c r="W12" s="52"/>
      <c r="X12" s="52"/>
      <c r="Y12" s="52"/>
      <c r="Z12" s="52"/>
      <c r="AA12" s="52"/>
      <c r="AB12" s="52"/>
      <c r="AC12" s="348"/>
      <c r="AD12" s="348"/>
      <c r="AE12" s="348"/>
      <c r="AF12" s="348"/>
      <c r="AG12" s="52"/>
      <c r="AH12" s="52"/>
      <c r="AI12" s="52"/>
      <c r="AJ12" s="52"/>
      <c r="AK12" s="52"/>
      <c r="AL12" s="52"/>
      <c r="AM12" s="52"/>
      <c r="AN12" s="52"/>
      <c r="AO12" s="52"/>
      <c r="AP12" s="318"/>
      <c r="AQ12" s="1217"/>
      <c r="AT12" s="583" t="str">
        <f t="shared" ref="AT12:AT17" si="1">IF(V12="","",V12)</f>
        <v>Добавить вид теплоносителя (параметры теплоносителя)</v>
      </c>
      <c r="AW12" s="539">
        <v>0</v>
      </c>
    </row>
    <row r="13" spans="5:49" ht="11.25" hidden="1" customHeight="1">
      <c r="E13" s="1219"/>
      <c r="F13" s="1219"/>
      <c r="G13" s="1219"/>
      <c r="H13" s="1219"/>
      <c r="I13" s="1070"/>
      <c r="Q13" s="1038"/>
      <c r="T13" s="843"/>
      <c r="U13" s="316"/>
      <c r="V13" s="322" t="s">
        <v>420</v>
      </c>
      <c r="W13" s="52"/>
      <c r="X13" s="52"/>
      <c r="Y13" s="52"/>
      <c r="Z13" s="52"/>
      <c r="AA13" s="52"/>
      <c r="AB13" s="52"/>
      <c r="AC13" s="52"/>
      <c r="AD13" s="52"/>
      <c r="AE13" s="52"/>
      <c r="AF13" s="320"/>
      <c r="AG13" s="52"/>
      <c r="AH13" s="52"/>
      <c r="AI13" s="52"/>
      <c r="AJ13" s="52"/>
      <c r="AK13" s="52"/>
      <c r="AL13" s="52"/>
      <c r="AM13" s="52"/>
      <c r="AN13" s="52"/>
      <c r="AO13" s="320"/>
      <c r="AP13" s="52"/>
      <c r="AQ13" s="321"/>
      <c r="AT13" s="583" t="str">
        <f t="shared" si="1"/>
        <v>Добавить группу потребителей</v>
      </c>
      <c r="AW13" s="539">
        <v>0</v>
      </c>
    </row>
    <row r="14" spans="5:49" ht="14.25" hidden="1" customHeight="1">
      <c r="E14" s="1219"/>
      <c r="F14" s="1219"/>
      <c r="G14" s="1219"/>
      <c r="H14" s="1218"/>
      <c r="S14" s="311"/>
      <c r="U14" s="335"/>
      <c r="V14" s="336"/>
      <c r="W14" s="337"/>
      <c r="X14" s="337"/>
      <c r="Y14" s="337"/>
      <c r="Z14" s="337"/>
      <c r="AA14" s="337"/>
      <c r="AB14" s="337"/>
      <c r="AC14" s="337"/>
      <c r="AD14" s="337"/>
      <c r="AE14" s="337"/>
      <c r="AF14" s="337"/>
      <c r="AG14" s="337"/>
      <c r="AH14" s="337"/>
      <c r="AI14" s="337"/>
      <c r="AJ14" s="337"/>
      <c r="AK14" s="337"/>
      <c r="AL14" s="337"/>
      <c r="AM14" s="337"/>
      <c r="AN14" s="337"/>
      <c r="AO14" s="337"/>
      <c r="AP14" s="337"/>
      <c r="AQ14" s="338"/>
      <c r="AT14" s="583" t="str">
        <f t="shared" si="1"/>
        <v/>
      </c>
      <c r="AW14" s="539">
        <v>0</v>
      </c>
    </row>
    <row r="15" spans="5:49" ht="14.25" hidden="1" customHeight="1">
      <c r="E15" s="1219"/>
      <c r="F15" s="1219"/>
      <c r="G15" s="1218"/>
      <c r="U15" s="323"/>
      <c r="V15" s="324" t="s">
        <v>422</v>
      </c>
      <c r="W15" s="325"/>
      <c r="X15" s="325"/>
      <c r="Y15" s="325"/>
      <c r="Z15" s="325"/>
      <c r="AA15" s="325"/>
      <c r="AB15" s="325"/>
      <c r="AC15" s="325"/>
      <c r="AD15" s="325"/>
      <c r="AE15" s="325"/>
      <c r="AF15" s="325"/>
      <c r="AG15" s="325"/>
      <c r="AH15" s="325"/>
      <c r="AI15" s="325"/>
      <c r="AJ15" s="325"/>
      <c r="AK15" s="325"/>
      <c r="AL15" s="325"/>
      <c r="AM15" s="325"/>
      <c r="AN15" s="325"/>
      <c r="AO15" s="325"/>
      <c r="AP15" s="325"/>
      <c r="AQ15" s="325"/>
      <c r="AT15" s="583" t="str">
        <f t="shared" si="1"/>
        <v>Добавить источник для дифференциации</v>
      </c>
      <c r="AW15" s="578">
        <v>0</v>
      </c>
    </row>
    <row r="16" spans="5:49" ht="14.25" hidden="1" customHeight="1">
      <c r="E16" s="1219"/>
      <c r="F16" s="1218"/>
      <c r="V16" s="326" t="s">
        <v>423</v>
      </c>
      <c r="AT16" s="583" t="str">
        <f t="shared" si="1"/>
        <v>Добавить централизованную систему для дифференциации</v>
      </c>
      <c r="AW16" s="578">
        <v>0</v>
      </c>
    </row>
    <row r="17" spans="5:49" ht="14.25" hidden="1" customHeight="1">
      <c r="E17" s="1218"/>
      <c r="V17" s="327" t="s">
        <v>424</v>
      </c>
      <c r="AT17" s="583" t="str">
        <f t="shared" si="1"/>
        <v>Добавить территорию для дифференциации</v>
      </c>
      <c r="AW17" s="578">
        <v>0</v>
      </c>
    </row>
    <row r="18" spans="5:49" ht="14.25" hidden="1" customHeight="1">
      <c r="AW18" s="539">
        <v>0</v>
      </c>
    </row>
    <row r="19" spans="5:49" ht="14.25" hidden="1" customHeight="1">
      <c r="AG19" s="276"/>
      <c r="AH19" s="276"/>
      <c r="AI19" s="276"/>
      <c r="AJ19" s="276"/>
      <c r="AK19" s="328"/>
      <c r="AL19" s="1191"/>
      <c r="AM19" s="1190" t="s">
        <v>61</v>
      </c>
      <c r="AN19" s="1191"/>
      <c r="AO19" s="1190" t="s">
        <v>61</v>
      </c>
      <c r="AW19" s="539">
        <v>0</v>
      </c>
    </row>
    <row r="20" spans="5:49" ht="14.25" hidden="1" customHeight="1">
      <c r="AG20" s="276"/>
      <c r="AH20" s="276"/>
      <c r="AI20" s="276"/>
      <c r="AJ20" s="276"/>
      <c r="AK20" s="328"/>
      <c r="AL20" s="1191"/>
      <c r="AM20" s="1190"/>
      <c r="AN20" s="1191"/>
      <c r="AO20" s="1190"/>
      <c r="AW20" s="539">
        <v>0</v>
      </c>
    </row>
    <row r="21" spans="5:49" ht="14.25" hidden="1" customHeight="1">
      <c r="AG21" s="276"/>
      <c r="AH21" s="276"/>
      <c r="AI21" s="276"/>
      <c r="AJ21" s="276"/>
      <c r="AK21" s="328"/>
      <c r="AL21" s="1191"/>
      <c r="AM21" s="1190"/>
      <c r="AN21" s="1191"/>
      <c r="AO21" s="1190"/>
      <c r="AW21" s="539">
        <v>0</v>
      </c>
    </row>
    <row r="22" spans="5:49" ht="14.25" hidden="1" customHeight="1">
      <c r="AG22" s="276"/>
      <c r="AH22" s="276"/>
      <c r="AI22" s="276"/>
      <c r="AJ22" s="276"/>
      <c r="AK22" s="315" t="str">
        <f>AL19&amp;"-"&amp;AN19</f>
        <v>-</v>
      </c>
      <c r="AL22" s="1190"/>
      <c r="AM22" s="1190"/>
      <c r="AN22" s="1190"/>
      <c r="AO22" s="1190"/>
      <c r="AW22" s="539">
        <v>0</v>
      </c>
    </row>
    <row r="23" spans="5:49" ht="14.25" hidden="1" customHeight="1">
      <c r="AW23" s="539">
        <v>0</v>
      </c>
    </row>
    <row r="24" spans="5:49" ht="22.5" hidden="1" customHeight="1">
      <c r="P24" s="349" t="s">
        <v>425</v>
      </c>
      <c r="AC24" s="329"/>
      <c r="AE24" s="329"/>
      <c r="AL24" s="329"/>
      <c r="AN24" s="329"/>
      <c r="AW24" s="556">
        <v>0</v>
      </c>
    </row>
    <row r="25" spans="5:49" ht="14.25" hidden="1" customHeight="1">
      <c r="AW25" s="556">
        <v>0</v>
      </c>
    </row>
    <row r="26" spans="5:49" ht="14.25" hidden="1" customHeight="1">
      <c r="P26" s="874" t="s">
        <v>426</v>
      </c>
      <c r="V26" s="556" t="s">
        <v>427</v>
      </c>
      <c r="AD26" s="599" t="s">
        <v>428</v>
      </c>
      <c r="AF26" s="599" t="s">
        <v>429</v>
      </c>
      <c r="AG26" s="556" t="s">
        <v>427</v>
      </c>
      <c r="AM26" s="599" t="s">
        <v>430</v>
      </c>
      <c r="AO26" s="599" t="s">
        <v>429</v>
      </c>
      <c r="AW26" s="556">
        <v>0</v>
      </c>
    </row>
    <row r="27" spans="5:49" ht="14.25" hidden="1" customHeight="1">
      <c r="AW27" s="539">
        <v>0</v>
      </c>
    </row>
    <row r="28" spans="5:49" ht="14.25" hidden="1" customHeight="1">
      <c r="AW28" s="539">
        <v>0</v>
      </c>
    </row>
    <row r="29" spans="5:49" ht="14.65" customHeight="1">
      <c r="R29" s="757"/>
      <c r="S29" s="757"/>
      <c r="T29" s="757"/>
      <c r="U29" s="848"/>
      <c r="V29" s="557"/>
      <c r="W29" s="557"/>
      <c r="AW29" s="539">
        <v>14</v>
      </c>
    </row>
    <row r="30" spans="5:49" ht="56.65" customHeight="1">
      <c r="R30" s="757"/>
      <c r="S30" s="757"/>
      <c r="T30" s="757"/>
      <c r="U30" s="11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174"/>
      <c r="W30" s="1174"/>
      <c r="X30" s="1174"/>
      <c r="Y30" s="1174"/>
      <c r="Z30" s="1174"/>
      <c r="AA30" s="1174"/>
      <c r="AB30" s="1174"/>
      <c r="AC30" s="1174"/>
      <c r="AD30" s="1174"/>
      <c r="AE30" s="1174"/>
      <c r="AF30" s="1174"/>
      <c r="AG30" s="1174"/>
      <c r="AH30" s="1174"/>
      <c r="AI30" s="1174"/>
      <c r="AJ30" s="1174"/>
      <c r="AK30" s="1174"/>
      <c r="AL30" s="1174"/>
      <c r="AM30" s="1174"/>
      <c r="AN30" s="1174"/>
      <c r="AW30" s="539">
        <v>54</v>
      </c>
    </row>
    <row r="31" spans="5:49" ht="14.65" customHeight="1">
      <c r="R31" s="757"/>
      <c r="S31" s="757"/>
      <c r="T31" s="757"/>
      <c r="U31" s="1148" t="str">
        <f>IF(org=0,"Не определено",org)</f>
        <v>АО "НИЖЕГОРОДСКИЙ ВОДОКАНАЛ"</v>
      </c>
      <c r="V31" s="1148"/>
      <c r="W31" s="1148"/>
      <c r="X31" s="1148"/>
      <c r="Y31" s="1148"/>
      <c r="Z31" s="1148"/>
      <c r="AA31" s="1148"/>
      <c r="AB31" s="1148"/>
      <c r="AC31" s="1148"/>
      <c r="AD31" s="1148"/>
      <c r="AE31" s="1148"/>
      <c r="AF31" s="1148"/>
      <c r="AG31" s="1148"/>
      <c r="AH31" s="1148"/>
      <c r="AI31" s="1148"/>
      <c r="AJ31" s="1148"/>
      <c r="AK31" s="1148"/>
      <c r="AL31" s="1148"/>
      <c r="AM31" s="1148"/>
      <c r="AN31" s="1148"/>
      <c r="AW31" s="539">
        <v>14</v>
      </c>
    </row>
    <row r="32" spans="5:49" ht="14.25" hidden="1" customHeight="1">
      <c r="R32" s="757"/>
      <c r="S32" s="757"/>
      <c r="T32" s="757"/>
      <c r="U32" s="848"/>
      <c r="V32" s="557"/>
      <c r="W32" s="557"/>
      <c r="X32" s="827"/>
      <c r="Y32" s="827"/>
      <c r="Z32" s="827"/>
      <c r="AA32" s="827"/>
      <c r="AB32" s="827"/>
      <c r="AC32" s="827"/>
      <c r="AD32" s="827"/>
      <c r="AE32" s="827"/>
      <c r="AF32" s="827"/>
      <c r="AG32" s="827"/>
      <c r="AH32" s="827"/>
      <c r="AI32" s="827"/>
      <c r="AJ32" s="827"/>
      <c r="AK32" s="827"/>
      <c r="AL32" s="827"/>
      <c r="AM32" s="827"/>
      <c r="AN32" s="827"/>
      <c r="AO32" s="827"/>
      <c r="AW32" s="539">
        <v>0</v>
      </c>
    </row>
    <row r="33" spans="2:49" ht="25.5" hidden="1" customHeight="1">
      <c r="U33" s="1184" t="s">
        <v>41</v>
      </c>
      <c r="V33" s="1184"/>
      <c r="W33" s="850"/>
      <c r="X33" s="1186" t="str">
        <f>IF(TITLE_NAME_OR_PR_CHANGE="",IF(TITLE_NAME_OR_PR="","",TITLE_NAME_OR_PR),TITLE_NAME_OR_PR_CHANGE)</f>
        <v/>
      </c>
      <c r="Y33" s="1186"/>
      <c r="Z33" s="1186"/>
      <c r="AA33" s="1186"/>
      <c r="AB33" s="1186"/>
      <c r="AC33" s="1186"/>
      <c r="AD33" s="1186"/>
      <c r="AE33" s="1186"/>
      <c r="AG33" s="1186" t="str">
        <f>IF(TITLE_NAME_OR_PR_CHANGE="",IF(TITLE_NAME_OR_PR="","",TITLE_NAME_OR_PR),TITLE_NAME_OR_PR_CHANGE)</f>
        <v/>
      </c>
      <c r="AH33" s="1186"/>
      <c r="AI33" s="1186"/>
      <c r="AJ33" s="1186"/>
      <c r="AK33" s="1186"/>
      <c r="AL33" s="1186"/>
      <c r="AM33" s="1186"/>
      <c r="AN33" s="1186"/>
      <c r="AW33" s="593">
        <v>0</v>
      </c>
    </row>
    <row r="34" spans="2:49" ht="18.75" hidden="1" customHeight="1">
      <c r="U34" s="1184" t="s">
        <v>431</v>
      </c>
      <c r="V34" s="1184"/>
      <c r="W34" s="850"/>
      <c r="X34" s="1185" t="str">
        <f>IF(TITLE_DATE_PR_CHANGE="",IF(TITLE_DATE_PR="","",TITLE_DATE_PR),TITLE_DATE_PR_CHANGE)</f>
        <v/>
      </c>
      <c r="Y34" s="1185"/>
      <c r="Z34" s="1185"/>
      <c r="AA34" s="1185"/>
      <c r="AB34" s="1185"/>
      <c r="AC34" s="1185"/>
      <c r="AD34" s="1185"/>
      <c r="AE34" s="1185"/>
      <c r="AG34" s="1185" t="str">
        <f>IF(TITLE_DATE_PR_CHANGE="",IF(TITLE_DATE_PR="","",TITLE_DATE_PR),TITLE_DATE_PR_CHANGE)</f>
        <v/>
      </c>
      <c r="AH34" s="1185"/>
      <c r="AI34" s="1185"/>
      <c r="AJ34" s="1185"/>
      <c r="AK34" s="1185"/>
      <c r="AL34" s="1185"/>
      <c r="AM34" s="1185"/>
      <c r="AN34" s="1185"/>
      <c r="AW34" s="593">
        <v>0</v>
      </c>
    </row>
    <row r="35" spans="2:49" ht="18.75" hidden="1" customHeight="1">
      <c r="U35" s="1184" t="s">
        <v>432</v>
      </c>
      <c r="V35" s="1184"/>
      <c r="W35" s="850"/>
      <c r="X35" s="1186" t="str">
        <f>IF(TITLE_NUMBER_PR_CHANGE="",IF(TITLE_NUMBER_PR="","",TITLE_NUMBER_PR),TITLE_NUMBER_PR_CHANGE)</f>
        <v/>
      </c>
      <c r="Y35" s="1186"/>
      <c r="Z35" s="1186"/>
      <c r="AA35" s="1186"/>
      <c r="AB35" s="1186"/>
      <c r="AC35" s="1186"/>
      <c r="AD35" s="1186"/>
      <c r="AE35" s="1186"/>
      <c r="AG35" s="1186" t="str">
        <f>IF(TITLE_NUMBER_PR_CHANGE="",IF(TITLE_NUMBER_PR="","",TITLE_NUMBER_PR),TITLE_NUMBER_PR_CHANGE)</f>
        <v/>
      </c>
      <c r="AH35" s="1186"/>
      <c r="AI35" s="1186"/>
      <c r="AJ35" s="1186"/>
      <c r="AK35" s="1186"/>
      <c r="AL35" s="1186"/>
      <c r="AM35" s="1186"/>
      <c r="AN35" s="1186"/>
      <c r="AW35" s="593">
        <v>0</v>
      </c>
    </row>
    <row r="36" spans="2:49" ht="18.75" hidden="1" customHeight="1">
      <c r="U36" s="1184" t="s">
        <v>42</v>
      </c>
      <c r="V36" s="1184"/>
      <c r="W36" s="850"/>
      <c r="X36" s="1186" t="str">
        <f>IF(TITLE_IST_PUB_CHANGE="",IF(TITLE_IST_PUB="","",TITLE_IST_PUB),TITLE_IST_PUB_CHANGE)</f>
        <v/>
      </c>
      <c r="Y36" s="1186"/>
      <c r="Z36" s="1186"/>
      <c r="AA36" s="1186"/>
      <c r="AB36" s="1186"/>
      <c r="AC36" s="1186"/>
      <c r="AD36" s="1186"/>
      <c r="AE36" s="1186"/>
      <c r="AG36" s="1186" t="str">
        <f>IF(TITLE_IST_PUB_CHANGE="",IF(TITLE_IST_PUB="","",TITLE_IST_PUB),TITLE_IST_PUB_CHANGE)</f>
        <v/>
      </c>
      <c r="AH36" s="1186"/>
      <c r="AI36" s="1186"/>
      <c r="AJ36" s="1186"/>
      <c r="AK36" s="1186"/>
      <c r="AL36" s="1186"/>
      <c r="AM36" s="1186"/>
      <c r="AN36" s="1186"/>
      <c r="AW36" s="593">
        <v>0</v>
      </c>
    </row>
    <row r="37" spans="2:49" ht="14.25" hidden="1" customHeight="1">
      <c r="R37" s="757"/>
      <c r="S37" s="757"/>
      <c r="T37" s="757"/>
      <c r="U37" s="848"/>
      <c r="V37" s="557"/>
      <c r="W37" s="557"/>
      <c r="X37" s="827"/>
      <c r="Y37" s="827"/>
      <c r="Z37" s="827"/>
      <c r="AA37" s="827"/>
      <c r="AB37" s="827"/>
      <c r="AC37" s="827"/>
      <c r="AD37" s="827"/>
      <c r="AE37" s="827"/>
      <c r="AF37" s="827"/>
      <c r="AG37" s="827"/>
      <c r="AH37" s="827"/>
      <c r="AI37" s="827"/>
      <c r="AJ37" s="827"/>
      <c r="AK37" s="827"/>
      <c r="AL37" s="827"/>
      <c r="AM37" s="827"/>
      <c r="AN37" s="827"/>
      <c r="AO37" s="827"/>
      <c r="AW37" s="539">
        <v>0</v>
      </c>
    </row>
    <row r="38" spans="2:49" ht="18.75" hidden="1" customHeight="1">
      <c r="U38" s="1184" t="s">
        <v>433</v>
      </c>
      <c r="V38" s="1184"/>
      <c r="W38" s="850"/>
      <c r="X38" s="1185" t="str">
        <f>IF(TITLE_DATE_PR_CHANGE="",IF(TITLE_DATE_PR="","",TITLE_DATE_PR),TITLE_DATE_PR_CHANGE)</f>
        <v/>
      </c>
      <c r="Y38" s="1185"/>
      <c r="Z38" s="1185"/>
      <c r="AA38" s="1185"/>
      <c r="AB38" s="1185"/>
      <c r="AC38" s="1185"/>
      <c r="AD38" s="1185"/>
      <c r="AE38" s="1185"/>
      <c r="AG38" s="1185" t="str">
        <f>IF(TITLE_DATE_PR_CHANGE="",IF(TITLE_DATE_PR="","",TITLE_DATE_PR),TITLE_DATE_PR_CHANGE)</f>
        <v/>
      </c>
      <c r="AH38" s="1185"/>
      <c r="AI38" s="1185"/>
      <c r="AJ38" s="1185"/>
      <c r="AK38" s="1185"/>
      <c r="AL38" s="1185"/>
      <c r="AM38" s="1185"/>
      <c r="AN38" s="1185"/>
      <c r="AW38" s="593">
        <v>0</v>
      </c>
    </row>
    <row r="39" spans="2:49" ht="18.75" hidden="1" customHeight="1">
      <c r="U39" s="1184" t="s">
        <v>434</v>
      </c>
      <c r="V39" s="1184"/>
      <c r="W39" s="850"/>
      <c r="X39" s="1186" t="str">
        <f>IF(TITLE_NUMBER_PR_CHANGE="",IF(TITLE_NUMBER_PR="","",TITLE_NUMBER_PR),TITLE_NUMBER_PR_CHANGE)</f>
        <v/>
      </c>
      <c r="Y39" s="1186"/>
      <c r="Z39" s="1186"/>
      <c r="AA39" s="1186"/>
      <c r="AB39" s="1186"/>
      <c r="AC39" s="1186"/>
      <c r="AD39" s="1186"/>
      <c r="AE39" s="1186"/>
      <c r="AG39" s="1186" t="str">
        <f>IF(TITLE_NUMBER_PR_CHANGE="",IF(TITLE_NUMBER_PR="","",TITLE_NUMBER_PR),TITLE_NUMBER_PR_CHANGE)</f>
        <v/>
      </c>
      <c r="AH39" s="1186"/>
      <c r="AI39" s="1186"/>
      <c r="AJ39" s="1186"/>
      <c r="AK39" s="1186"/>
      <c r="AL39" s="1186"/>
      <c r="AM39" s="1186"/>
      <c r="AN39" s="1186"/>
      <c r="AW39" s="593">
        <v>0</v>
      </c>
    </row>
    <row r="40" spans="2:49" ht="0" hidden="1" customHeight="1">
      <c r="AF40" s="578" t="s">
        <v>435</v>
      </c>
      <c r="AO40" s="578" t="s">
        <v>435</v>
      </c>
      <c r="AW40" s="593">
        <v>0</v>
      </c>
    </row>
    <row r="41" spans="2:49" ht="14.65" customHeight="1">
      <c r="R41" s="757"/>
      <c r="S41" s="757"/>
      <c r="T41" s="757"/>
      <c r="U41" s="848"/>
      <c r="V41" s="557"/>
      <c r="W41" s="851"/>
      <c r="X41" s="1204"/>
      <c r="Y41" s="1204"/>
      <c r="Z41" s="1204"/>
      <c r="AA41" s="1204"/>
      <c r="AB41" s="1204"/>
      <c r="AC41" s="1204"/>
      <c r="AD41" s="1204"/>
      <c r="AE41" s="1204"/>
      <c r="AF41" s="1204"/>
      <c r="AG41" s="1204"/>
      <c r="AH41" s="1204"/>
      <c r="AI41" s="1204"/>
      <c r="AJ41" s="1204"/>
      <c r="AK41" s="1204"/>
      <c r="AL41" s="1204"/>
      <c r="AM41" s="1204"/>
      <c r="AN41" s="1204"/>
      <c r="AO41" s="1204"/>
      <c r="AW41" s="539">
        <v>14</v>
      </c>
    </row>
    <row r="42" spans="2:49" ht="14.65" customHeight="1">
      <c r="R42" s="757"/>
      <c r="S42" s="757"/>
      <c r="T42" s="757"/>
      <c r="U42" s="1070" t="s">
        <v>308</v>
      </c>
      <c r="V42" s="1070"/>
      <c r="W42" s="1070"/>
      <c r="X42" s="1070"/>
      <c r="Y42" s="1070"/>
      <c r="Z42" s="1070"/>
      <c r="AA42" s="1070"/>
      <c r="AB42" s="1070"/>
      <c r="AC42" s="1070"/>
      <c r="AD42" s="1070"/>
      <c r="AE42" s="1070"/>
      <c r="AF42" s="1070"/>
      <c r="AG42" s="1070"/>
      <c r="AH42" s="1070"/>
      <c r="AI42" s="1070"/>
      <c r="AJ42" s="1070"/>
      <c r="AK42" s="1070"/>
      <c r="AL42" s="1070"/>
      <c r="AM42" s="1070"/>
      <c r="AN42" s="1070"/>
      <c r="AO42" s="1070"/>
      <c r="AP42" s="1070"/>
      <c r="AQ42" s="1070" t="s">
        <v>309</v>
      </c>
      <c r="AW42" s="539">
        <v>14</v>
      </c>
    </row>
    <row r="43" spans="2:49" ht="14.65" customHeight="1">
      <c r="R43" s="757"/>
      <c r="S43" s="757"/>
      <c r="T43" s="757"/>
      <c r="U43" s="1205" t="s">
        <v>87</v>
      </c>
      <c r="V43" s="1155" t="s">
        <v>436</v>
      </c>
      <c r="W43" s="818"/>
      <c r="X43" s="1206" t="s">
        <v>437</v>
      </c>
      <c r="Y43" s="1222"/>
      <c r="Z43" s="1222"/>
      <c r="AA43" s="1222"/>
      <c r="AB43" s="1222"/>
      <c r="AC43" s="1207"/>
      <c r="AD43" s="1207"/>
      <c r="AE43" s="1208"/>
      <c r="AF43" s="1209" t="s">
        <v>438</v>
      </c>
      <c r="AG43" s="1206" t="s">
        <v>437</v>
      </c>
      <c r="AH43" s="1222"/>
      <c r="AI43" s="1222"/>
      <c r="AJ43" s="1222"/>
      <c r="AK43" s="1222"/>
      <c r="AL43" s="1207"/>
      <c r="AM43" s="1207"/>
      <c r="AN43" s="1208"/>
      <c r="AO43" s="1209" t="s">
        <v>439</v>
      </c>
      <c r="AP43" s="1212" t="s">
        <v>440</v>
      </c>
      <c r="AQ43" s="1070"/>
      <c r="AW43" s="539">
        <v>14</v>
      </c>
    </row>
    <row r="44" spans="2:49" ht="35.65" customHeight="1">
      <c r="R44" s="757"/>
      <c r="S44" s="757"/>
      <c r="T44" s="757"/>
      <c r="U44" s="1205"/>
      <c r="V44" s="1155"/>
      <c r="W44" s="823"/>
      <c r="X44" s="1129" t="s">
        <v>463</v>
      </c>
      <c r="Y44" s="1070" t="s">
        <v>464</v>
      </c>
      <c r="Z44" s="1070"/>
      <c r="AA44" s="1070"/>
      <c r="AB44" s="1070"/>
      <c r="AC44" s="1129" t="s">
        <v>444</v>
      </c>
      <c r="AD44" s="1234"/>
      <c r="AE44" s="1130"/>
      <c r="AF44" s="1210"/>
      <c r="AG44" s="1129" t="s">
        <v>463</v>
      </c>
      <c r="AH44" s="1070" t="s">
        <v>464</v>
      </c>
      <c r="AI44" s="1070"/>
      <c r="AJ44" s="1070"/>
      <c r="AK44" s="1070"/>
      <c r="AL44" s="1129" t="s">
        <v>444</v>
      </c>
      <c r="AM44" s="1234"/>
      <c r="AN44" s="1130"/>
      <c r="AO44" s="1210"/>
      <c r="AP44" s="1213"/>
      <c r="AQ44" s="1070"/>
      <c r="AW44" s="539">
        <v>34</v>
      </c>
    </row>
    <row r="45" spans="2:49" ht="14.65" customHeight="1">
      <c r="R45" s="757"/>
      <c r="S45" s="757"/>
      <c r="T45" s="757"/>
      <c r="U45" s="1205"/>
      <c r="V45" s="1155"/>
      <c r="W45" s="823"/>
      <c r="X45" s="1131"/>
      <c r="Y45" s="1161" t="s">
        <v>465</v>
      </c>
      <c r="Z45" s="1160" t="s">
        <v>466</v>
      </c>
      <c r="AA45" s="1172"/>
      <c r="AB45" s="1173"/>
      <c r="AC45" s="1134"/>
      <c r="AD45" s="1235"/>
      <c r="AE45" s="1135"/>
      <c r="AF45" s="1210"/>
      <c r="AG45" s="1131"/>
      <c r="AH45" s="1161" t="s">
        <v>465</v>
      </c>
      <c r="AI45" s="1160" t="s">
        <v>466</v>
      </c>
      <c r="AJ45" s="1172"/>
      <c r="AK45" s="1173"/>
      <c r="AL45" s="1134"/>
      <c r="AM45" s="1235"/>
      <c r="AN45" s="1135"/>
      <c r="AO45" s="1210"/>
      <c r="AP45" s="1213"/>
      <c r="AQ45" s="1070"/>
      <c r="AW45" s="539">
        <v>14</v>
      </c>
    </row>
    <row r="46" spans="2:49" ht="27.4" customHeight="1">
      <c r="R46" s="757"/>
      <c r="S46" s="757"/>
      <c r="T46" s="757"/>
      <c r="U46" s="1205"/>
      <c r="V46" s="1155"/>
      <c r="W46" s="823"/>
      <c r="X46" s="1131"/>
      <c r="Y46" s="1233"/>
      <c r="Z46" s="1161" t="s">
        <v>467</v>
      </c>
      <c r="AA46" s="1160" t="s">
        <v>468</v>
      </c>
      <c r="AB46" s="1173"/>
      <c r="AC46" s="1161" t="s">
        <v>454</v>
      </c>
      <c r="AD46" s="1165" t="s">
        <v>455</v>
      </c>
      <c r="AE46" s="1163"/>
      <c r="AF46" s="1210"/>
      <c r="AG46" s="1131"/>
      <c r="AH46" s="1233"/>
      <c r="AI46" s="1161" t="s">
        <v>467</v>
      </c>
      <c r="AJ46" s="1160" t="s">
        <v>468</v>
      </c>
      <c r="AK46" s="1173"/>
      <c r="AL46" s="1161" t="s">
        <v>454</v>
      </c>
      <c r="AM46" s="1165" t="s">
        <v>455</v>
      </c>
      <c r="AN46" s="1163"/>
      <c r="AO46" s="1210"/>
      <c r="AP46" s="1213"/>
      <c r="AQ46" s="1070"/>
      <c r="AW46" s="539">
        <v>26</v>
      </c>
    </row>
    <row r="47" spans="2:49" ht="65.25" customHeight="1">
      <c r="B47" s="601" t="s">
        <v>145</v>
      </c>
      <c r="C47" s="601" t="s">
        <v>146</v>
      </c>
      <c r="D47" s="601" t="s">
        <v>147</v>
      </c>
      <c r="E47" s="874" t="s">
        <v>445</v>
      </c>
      <c r="F47" s="874" t="s">
        <v>446</v>
      </c>
      <c r="G47" s="874" t="s">
        <v>447</v>
      </c>
      <c r="H47" s="874" t="s">
        <v>448</v>
      </c>
      <c r="I47" s="874" t="s">
        <v>449</v>
      </c>
      <c r="J47" s="874" t="s">
        <v>450</v>
      </c>
      <c r="K47" s="874" t="s">
        <v>451</v>
      </c>
      <c r="L47" s="874" t="s">
        <v>469</v>
      </c>
      <c r="M47" s="874" t="s">
        <v>426</v>
      </c>
      <c r="R47" s="757"/>
      <c r="S47" s="757"/>
      <c r="T47" s="757"/>
      <c r="U47" s="1205"/>
      <c r="V47" s="1155"/>
      <c r="W47" s="853"/>
      <c r="X47" s="1134"/>
      <c r="Y47" s="1162"/>
      <c r="Z47" s="1162"/>
      <c r="AA47" s="603" t="s">
        <v>470</v>
      </c>
      <c r="AB47" s="603" t="s">
        <v>471</v>
      </c>
      <c r="AC47" s="1162"/>
      <c r="AD47" s="1166"/>
      <c r="AE47" s="1164"/>
      <c r="AF47" s="1211"/>
      <c r="AG47" s="1134"/>
      <c r="AH47" s="1162"/>
      <c r="AI47" s="1162"/>
      <c r="AJ47" s="603" t="s">
        <v>470</v>
      </c>
      <c r="AK47" s="603" t="s">
        <v>471</v>
      </c>
      <c r="AL47" s="1162"/>
      <c r="AM47" s="1166"/>
      <c r="AN47" s="1164"/>
      <c r="AO47" s="1211"/>
      <c r="AP47" s="1214"/>
      <c r="AQ47" s="1070"/>
      <c r="AW47" s="539">
        <v>62</v>
      </c>
    </row>
    <row r="48" spans="2:49" ht="11.25" hidden="1" customHeight="1">
      <c r="R48" s="854"/>
      <c r="S48" s="855">
        <v>1</v>
      </c>
      <c r="T48" s="855"/>
      <c r="U48" s="330" t="s">
        <v>114</v>
      </c>
      <c r="V48" s="331" t="s">
        <v>102</v>
      </c>
      <c r="W48" s="856" t="str">
        <f ca="1">OFFSET(W48,0,-1)</f>
        <v>2</v>
      </c>
      <c r="X48" s="857">
        <f ca="1">OFFSET(X48,0,-1)+1</f>
        <v>3</v>
      </c>
      <c r="Y48" s="681"/>
      <c r="Z48" s="681"/>
      <c r="AA48" s="681">
        <f ca="1">OFFSET(AA48,0,-1)+1</f>
        <v>1</v>
      </c>
      <c r="AB48" s="681">
        <f ca="1">OFFSET(AB48,0,-1)+1</f>
        <v>2</v>
      </c>
      <c r="AC48" s="857">
        <f ca="1">OFFSET(AC48,0,-1)+1</f>
        <v>3</v>
      </c>
      <c r="AD48" s="1203">
        <f ca="1">OFFSET(AD48,0,-1)+1</f>
        <v>4</v>
      </c>
      <c r="AE48" s="1203"/>
      <c r="AF48" s="857">
        <f ca="1">OFFSET(AF48,0,-2)+1</f>
        <v>5</v>
      </c>
      <c r="AG48" s="857">
        <f ca="1">OFFSET(AG48,0,-1)+1</f>
        <v>6</v>
      </c>
      <c r="AH48" s="857"/>
      <c r="AI48" s="857"/>
      <c r="AJ48" s="857">
        <f ca="1">OFFSET(AJ48,0,-1)+1</f>
        <v>1</v>
      </c>
      <c r="AK48" s="857">
        <f ca="1">OFFSET(AK48,0,-1)+1</f>
        <v>2</v>
      </c>
      <c r="AL48" s="857">
        <f ca="1">OFFSET(AL48,0,-1)+1</f>
        <v>3</v>
      </c>
      <c r="AM48" s="1203">
        <f ca="1">OFFSET(AM48,0,-1)+1</f>
        <v>4</v>
      </c>
      <c r="AN48" s="1203"/>
      <c r="AO48" s="857">
        <f ca="1">OFFSET(AO48,0,-2)+1</f>
        <v>5</v>
      </c>
      <c r="AP48" s="856">
        <f ca="1">OFFSET(AP48,0,-1)</f>
        <v>5</v>
      </c>
      <c r="AQ48" s="857">
        <f ca="1">OFFSET(AQ48,0,-1)+1</f>
        <v>6</v>
      </c>
      <c r="AW48" s="682">
        <v>0</v>
      </c>
    </row>
    <row r="49" spans="1:49" ht="21.95" customHeight="1">
      <c r="A49" s="607" t="s">
        <v>184</v>
      </c>
      <c r="E49" s="1218">
        <v>1</v>
      </c>
      <c r="T49" s="311"/>
      <c r="U49" s="833">
        <f>INDEX(PT_DIFFERENTIATION_NUM_NTAR,MATCH(A49,PT_DIFFERENTIATION_NTAR_ID,0))</f>
        <v>0</v>
      </c>
      <c r="V49" s="796" t="s">
        <v>133</v>
      </c>
      <c r="W49" s="834"/>
      <c r="X49" s="1187"/>
      <c r="Y49" s="1188"/>
      <c r="Z49" s="1188"/>
      <c r="AA49" s="1188"/>
      <c r="AB49" s="1188"/>
      <c r="AC49" s="1188"/>
      <c r="AD49" s="1188"/>
      <c r="AE49" s="1188"/>
      <c r="AF49" s="1189"/>
      <c r="AG49" s="1187" t="str">
        <f>INDEX(PT_DIFFERENTIATION_NTAR,MATCH(A49,PT_DIFFERENTIATION_NTAR_ID,0))</f>
        <v/>
      </c>
      <c r="AH49" s="1188"/>
      <c r="AI49" s="1188"/>
      <c r="AJ49" s="1188"/>
      <c r="AK49" s="1188"/>
      <c r="AL49" s="1188"/>
      <c r="AM49" s="1188"/>
      <c r="AN49" s="1188"/>
      <c r="AO49" s="1188"/>
      <c r="AP49" s="1189"/>
      <c r="AQ49" s="83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T49" s="583" t="str">
        <f t="shared" ref="AT49:AT65" si="2">IF(V49="","",V49)</f>
        <v>Наименование тарифа</v>
      </c>
      <c r="AW49" s="539">
        <v>21</v>
      </c>
    </row>
    <row r="50" spans="1:49" ht="21.95" customHeight="1">
      <c r="A50" s="607" t="s">
        <v>184</v>
      </c>
      <c r="B50" s="607" t="s">
        <v>185</v>
      </c>
      <c r="E50" s="1219"/>
      <c r="F50" s="1218">
        <v>1</v>
      </c>
      <c r="R50" s="837"/>
      <c r="T50" s="838"/>
      <c r="U50" s="833" t="str">
        <f>INDEX(PT_DIFFERENTIATION_NUM_TER,MATCH(B50,PT_DIFFERENTIATION_TER_ID,0))</f>
        <v>.</v>
      </c>
      <c r="V50" s="839" t="s">
        <v>405</v>
      </c>
      <c r="W50" s="834"/>
      <c r="X50" s="1187"/>
      <c r="Y50" s="1188"/>
      <c r="Z50" s="1188"/>
      <c r="AA50" s="1188"/>
      <c r="AB50" s="1188"/>
      <c r="AC50" s="1188"/>
      <c r="AD50" s="1188"/>
      <c r="AE50" s="1188"/>
      <c r="AF50" s="1189"/>
      <c r="AG50" s="1187" t="str">
        <f>INDEX(PT_DIFFERENTIATION_TER,MATCH(B50,PT_DIFFERENTIATION_TER_ID,0))</f>
        <v/>
      </c>
      <c r="AH50" s="1188"/>
      <c r="AI50" s="1188"/>
      <c r="AJ50" s="1188"/>
      <c r="AK50" s="1188"/>
      <c r="AL50" s="1188"/>
      <c r="AM50" s="1188"/>
      <c r="AN50" s="1188"/>
      <c r="AO50" s="1188"/>
      <c r="AP50" s="1189"/>
      <c r="AQ50" s="836" t="s">
        <v>406</v>
      </c>
      <c r="AT50" s="583" t="str">
        <f t="shared" si="2"/>
        <v>Территория действия тарифа</v>
      </c>
      <c r="AW50" s="539">
        <v>21</v>
      </c>
    </row>
    <row r="51" spans="1:49" ht="24" customHeight="1">
      <c r="A51" s="607" t="s">
        <v>184</v>
      </c>
      <c r="B51" s="607" t="s">
        <v>185</v>
      </c>
      <c r="C51" s="607" t="s">
        <v>186</v>
      </c>
      <c r="E51" s="1219"/>
      <c r="F51" s="1219"/>
      <c r="G51" s="1218">
        <v>1</v>
      </c>
      <c r="R51" s="837"/>
      <c r="T51" s="838"/>
      <c r="U51" s="833" t="str">
        <f>INDEX(PT_DIFFERENTIATION_NUM_CS,MATCH(C51,PT_DIFFERENTIATION_CS_ID,0))</f>
        <v>..</v>
      </c>
      <c r="V51" s="840" t="s">
        <v>407</v>
      </c>
      <c r="W51" s="834"/>
      <c r="X51" s="1187"/>
      <c r="Y51" s="1188"/>
      <c r="Z51" s="1188"/>
      <c r="AA51" s="1188"/>
      <c r="AB51" s="1188"/>
      <c r="AC51" s="1188"/>
      <c r="AD51" s="1188"/>
      <c r="AE51" s="1188"/>
      <c r="AF51" s="1189"/>
      <c r="AG51" s="1187" t="str">
        <f>INDEX(PT_DIFFERENTIATION_CS,MATCH(C51,PT_DIFFERENTIATION_CS_ID,0))</f>
        <v/>
      </c>
      <c r="AH51" s="1188"/>
      <c r="AI51" s="1188"/>
      <c r="AJ51" s="1188"/>
      <c r="AK51" s="1188"/>
      <c r="AL51" s="1188"/>
      <c r="AM51" s="1188"/>
      <c r="AN51" s="1188"/>
      <c r="AO51" s="1188"/>
      <c r="AP51" s="1189"/>
      <c r="AQ51" s="836" t="s">
        <v>408</v>
      </c>
      <c r="AT51" s="583" t="str">
        <f t="shared" si="2"/>
        <v xml:space="preserve">Наименование системы теплоснабжения </v>
      </c>
      <c r="AW51" s="539">
        <v>23</v>
      </c>
    </row>
    <row r="52" spans="1:49" ht="21.95" customHeight="1">
      <c r="A52" s="607" t="s">
        <v>184</v>
      </c>
      <c r="B52" s="607" t="s">
        <v>185</v>
      </c>
      <c r="C52" s="607" t="s">
        <v>186</v>
      </c>
      <c r="D52" s="607" t="s">
        <v>187</v>
      </c>
      <c r="E52" s="1219"/>
      <c r="F52" s="1219"/>
      <c r="G52" s="1219"/>
      <c r="H52" s="1218">
        <v>1</v>
      </c>
      <c r="R52" s="837"/>
      <c r="T52" s="838"/>
      <c r="U52" s="833" t="str">
        <f>INDEX(PT_DIFFERENTIATION_NUM_IST_TE,MATCH(D52,PT_DIFFERENTIATION_IST_TE_ID,0))</f>
        <v>...</v>
      </c>
      <c r="V52" s="841" t="s">
        <v>409</v>
      </c>
      <c r="W52" s="834"/>
      <c r="X52" s="1187"/>
      <c r="Y52" s="1188"/>
      <c r="Z52" s="1188"/>
      <c r="AA52" s="1188"/>
      <c r="AB52" s="1188"/>
      <c r="AC52" s="1188"/>
      <c r="AD52" s="1188"/>
      <c r="AE52" s="1188"/>
      <c r="AF52" s="1189"/>
      <c r="AG52" s="1187" t="str">
        <f>INDEX(PT_DIFFERENTIATION_IST_TE,MATCH(D52,PT_DIFFERENTIATION_IST_TE_ID,0))</f>
        <v/>
      </c>
      <c r="AH52" s="1188"/>
      <c r="AI52" s="1188"/>
      <c r="AJ52" s="1188"/>
      <c r="AK52" s="1188"/>
      <c r="AL52" s="1188"/>
      <c r="AM52" s="1188"/>
      <c r="AN52" s="1188"/>
      <c r="AO52" s="1188"/>
      <c r="AP52" s="1189"/>
      <c r="AQ52" s="836" t="s">
        <v>410</v>
      </c>
      <c r="AT52" s="583" t="str">
        <f t="shared" si="2"/>
        <v xml:space="preserve">Источник тепловой энергии  </v>
      </c>
      <c r="AW52" s="539">
        <v>21</v>
      </c>
    </row>
    <row r="53" spans="1:49" ht="0" hidden="1" customHeight="1">
      <c r="A53" s="878" t="s">
        <v>184</v>
      </c>
      <c r="B53" s="878" t="s">
        <v>185</v>
      </c>
      <c r="C53" s="878" t="s">
        <v>186</v>
      </c>
      <c r="D53" s="878" t="s">
        <v>187</v>
      </c>
      <c r="E53" s="1219"/>
      <c r="F53" s="1219"/>
      <c r="G53" s="1219"/>
      <c r="H53" s="1219"/>
      <c r="I53" s="1070" t="str">
        <f>U52&amp;".1"</f>
        <v>....1</v>
      </c>
      <c r="M53" s="879" t="s">
        <v>411</v>
      </c>
      <c r="Q53" s="1196">
        <v>1</v>
      </c>
      <c r="T53" s="843"/>
      <c r="U53" s="636"/>
      <c r="V53" s="860"/>
      <c r="W53" s="861"/>
      <c r="X53" s="1223"/>
      <c r="Y53" s="1224"/>
      <c r="Z53" s="1224"/>
      <c r="AA53" s="1224"/>
      <c r="AB53" s="1224"/>
      <c r="AC53" s="1224"/>
      <c r="AD53" s="1224"/>
      <c r="AE53" s="1224"/>
      <c r="AF53" s="1225"/>
      <c r="AG53" s="1223"/>
      <c r="AH53" s="1224"/>
      <c r="AI53" s="1224"/>
      <c r="AJ53" s="1224"/>
      <c r="AK53" s="1224"/>
      <c r="AL53" s="1224"/>
      <c r="AM53" s="1224"/>
      <c r="AN53" s="1224"/>
      <c r="AO53" s="1224"/>
      <c r="AP53" s="1225"/>
      <c r="AQ53" s="863"/>
      <c r="AT53" s="583" t="str">
        <f t="shared" si="2"/>
        <v/>
      </c>
      <c r="AW53" s="578">
        <v>0</v>
      </c>
    </row>
    <row r="54" spans="1:49" ht="21.95" customHeight="1">
      <c r="A54" s="607" t="s">
        <v>184</v>
      </c>
      <c r="B54" s="607" t="s">
        <v>185</v>
      </c>
      <c r="C54" s="607" t="s">
        <v>186</v>
      </c>
      <c r="D54" s="607" t="s">
        <v>187</v>
      </c>
      <c r="E54" s="1219"/>
      <c r="F54" s="1219"/>
      <c r="G54" s="1219"/>
      <c r="H54" s="1219"/>
      <c r="I54" s="1051"/>
      <c r="J54" s="1070" t="str">
        <f>I53&amp;".1"</f>
        <v>....1.1</v>
      </c>
      <c r="M54" s="874" t="s">
        <v>414</v>
      </c>
      <c r="Q54" s="1038"/>
      <c r="R54" s="1196">
        <v>1</v>
      </c>
      <c r="T54" s="845"/>
      <c r="U54" s="833" t="str">
        <f>$J54</f>
        <v>....1.1</v>
      </c>
      <c r="V54" s="846" t="s">
        <v>415</v>
      </c>
      <c r="W54" s="834"/>
      <c r="X54" s="1181"/>
      <c r="Y54" s="1182"/>
      <c r="Z54" s="1182"/>
      <c r="AA54" s="1182"/>
      <c r="AB54" s="1182"/>
      <c r="AC54" s="1177"/>
      <c r="AD54" s="1177"/>
      <c r="AE54" s="1177"/>
      <c r="AF54" s="1236"/>
      <c r="AG54" s="1181"/>
      <c r="AH54" s="1182"/>
      <c r="AI54" s="1182"/>
      <c r="AJ54" s="1182"/>
      <c r="AK54" s="1182"/>
      <c r="AL54" s="1182"/>
      <c r="AM54" s="1182"/>
      <c r="AN54" s="1182"/>
      <c r="AO54" s="1182"/>
      <c r="AP54" s="1183"/>
      <c r="AQ54" s="836" t="s">
        <v>416</v>
      </c>
      <c r="AT54" s="583" t="str">
        <f t="shared" si="2"/>
        <v>Группа потребителей</v>
      </c>
      <c r="AW54" s="539">
        <v>21</v>
      </c>
    </row>
    <row r="55" spans="1:49" ht="21.95" customHeight="1">
      <c r="A55" s="607" t="s">
        <v>184</v>
      </c>
      <c r="B55" s="607" t="s">
        <v>185</v>
      </c>
      <c r="C55" s="607" t="s">
        <v>186</v>
      </c>
      <c r="D55" s="607" t="s">
        <v>187</v>
      </c>
      <c r="E55" s="1219"/>
      <c r="F55" s="1219"/>
      <c r="G55" s="1219"/>
      <c r="H55" s="1219"/>
      <c r="I55" s="1051"/>
      <c r="J55" s="1051"/>
      <c r="K55" s="1070" t="str">
        <f>J54&amp;".1"</f>
        <v>....1.1.1</v>
      </c>
      <c r="M55" s="874" t="s">
        <v>417</v>
      </c>
      <c r="Q55" s="1038"/>
      <c r="R55" s="1038"/>
      <c r="S55" s="578">
        <v>1</v>
      </c>
      <c r="T55" s="845"/>
      <c r="U55" s="833" t="str">
        <f>$K55</f>
        <v>....1.1.1</v>
      </c>
      <c r="V55" s="847"/>
      <c r="W55" s="834"/>
      <c r="X55" s="312"/>
      <c r="Y55" s="312"/>
      <c r="Z55" s="312"/>
      <c r="AA55" s="312"/>
      <c r="AB55" s="341"/>
      <c r="AC55" s="1197"/>
      <c r="AD55" s="1079" t="s">
        <v>61</v>
      </c>
      <c r="AE55" s="1197"/>
      <c r="AF55" s="1079" t="s">
        <v>61</v>
      </c>
      <c r="AG55" s="342"/>
      <c r="AH55" s="312"/>
      <c r="AI55" s="312"/>
      <c r="AJ55" s="312"/>
      <c r="AK55" s="314"/>
      <c r="AL55" s="1197"/>
      <c r="AM55" s="1079" t="s">
        <v>61</v>
      </c>
      <c r="AN55" s="1197"/>
      <c r="AO55" s="1079" t="s">
        <v>61</v>
      </c>
      <c r="AP55" s="332"/>
      <c r="AQ55" s="875" t="s">
        <v>460</v>
      </c>
      <c r="AR55" s="578" t="e">
        <f ca="1">STRCHECKDATE(X57:AP57)</f>
        <v>#NAME?</v>
      </c>
      <c r="AT55" s="583" t="str">
        <f t="shared" si="2"/>
        <v/>
      </c>
      <c r="AW55" s="539">
        <v>21</v>
      </c>
    </row>
    <row r="56" spans="1:49" ht="11.45" customHeight="1">
      <c r="A56" s="607" t="s">
        <v>184</v>
      </c>
      <c r="B56" s="607" t="s">
        <v>185</v>
      </c>
      <c r="C56" s="607" t="s">
        <v>186</v>
      </c>
      <c r="D56" s="607" t="s">
        <v>187</v>
      </c>
      <c r="E56" s="1219"/>
      <c r="F56" s="1219"/>
      <c r="G56" s="1219"/>
      <c r="H56" s="1219"/>
      <c r="I56" s="1051"/>
      <c r="J56" s="1051"/>
      <c r="K56" s="1051"/>
      <c r="L56" s="1070" t="str">
        <f>K55&amp;".1"</f>
        <v>....1.1.1.1</v>
      </c>
      <c r="Q56" s="1038"/>
      <c r="R56" s="1038"/>
      <c r="S56" s="578">
        <v>1</v>
      </c>
      <c r="T56" s="845"/>
      <c r="U56" s="833" t="str">
        <f>$L56</f>
        <v>....1.1.1.1</v>
      </c>
      <c r="V56" s="876"/>
      <c r="W56" s="834"/>
      <c r="X56" s="313"/>
      <c r="Y56" s="312"/>
      <c r="Z56" s="312"/>
      <c r="AA56" s="312"/>
      <c r="AB56" s="341"/>
      <c r="AC56" s="1198"/>
      <c r="AD56" s="1079"/>
      <c r="AE56" s="1198"/>
      <c r="AF56" s="1079"/>
      <c r="AG56" s="342"/>
      <c r="AH56" s="312"/>
      <c r="AI56" s="312"/>
      <c r="AJ56" s="312"/>
      <c r="AK56" s="314"/>
      <c r="AL56" s="1198"/>
      <c r="AM56" s="1079"/>
      <c r="AN56" s="1198"/>
      <c r="AO56" s="1079"/>
      <c r="AP56" s="332"/>
      <c r="AQ56" s="1215" t="s">
        <v>461</v>
      </c>
      <c r="AR56" s="578" t="e">
        <f ca="1">STRCHECKDATE(X58:AP58)</f>
        <v>#NAME?</v>
      </c>
      <c r="AT56" s="583" t="str">
        <f t="shared" si="2"/>
        <v/>
      </c>
      <c r="AW56" s="539">
        <v>11</v>
      </c>
    </row>
    <row r="57" spans="1:49" ht="0" hidden="1" customHeight="1">
      <c r="A57" s="607" t="s">
        <v>184</v>
      </c>
      <c r="B57" s="607" t="s">
        <v>185</v>
      </c>
      <c r="C57" s="607" t="s">
        <v>186</v>
      </c>
      <c r="D57" s="607" t="s">
        <v>187</v>
      </c>
      <c r="E57" s="1219"/>
      <c r="F57" s="1219"/>
      <c r="G57" s="1219"/>
      <c r="H57" s="1219"/>
      <c r="I57" s="1051"/>
      <c r="J57" s="1051"/>
      <c r="K57" s="1051"/>
      <c r="L57" s="1070"/>
      <c r="Q57" s="1038"/>
      <c r="R57" s="1038"/>
      <c r="T57" s="845"/>
      <c r="U57" s="127"/>
      <c r="V57" s="834"/>
      <c r="W57" s="834"/>
      <c r="X57" s="313"/>
      <c r="Y57" s="313"/>
      <c r="Z57" s="313"/>
      <c r="AA57" s="313"/>
      <c r="AB57" s="343" t="str">
        <f>AC55&amp;"-"&amp;AE55</f>
        <v>-</v>
      </c>
      <c r="AC57" s="1198"/>
      <c r="AD57" s="1079"/>
      <c r="AE57" s="1198"/>
      <c r="AF57" s="1079"/>
      <c r="AG57" s="344"/>
      <c r="AH57" s="313"/>
      <c r="AI57" s="313"/>
      <c r="AJ57" s="313"/>
      <c r="AK57" s="315" t="str">
        <f>AL55&amp;"-"&amp;AN55</f>
        <v>-</v>
      </c>
      <c r="AL57" s="1198"/>
      <c r="AM57" s="1079"/>
      <c r="AN57" s="1198"/>
      <c r="AO57" s="1079"/>
      <c r="AP57" s="333"/>
      <c r="AQ57" s="1216"/>
      <c r="AT57" s="583" t="str">
        <f t="shared" si="2"/>
        <v/>
      </c>
      <c r="AW57" s="539">
        <v>0</v>
      </c>
    </row>
    <row r="58" spans="1:49" ht="11.45" customHeight="1">
      <c r="A58" s="607" t="s">
        <v>184</v>
      </c>
      <c r="B58" s="607" t="s">
        <v>185</v>
      </c>
      <c r="C58" s="607" t="s">
        <v>186</v>
      </c>
      <c r="D58" s="607" t="s">
        <v>187</v>
      </c>
      <c r="E58" s="1219"/>
      <c r="F58" s="1219"/>
      <c r="G58" s="1219"/>
      <c r="H58" s="1219"/>
      <c r="I58" s="1051"/>
      <c r="J58" s="1051"/>
      <c r="K58" s="1070"/>
      <c r="Q58" s="1038"/>
      <c r="R58" s="1038"/>
      <c r="T58" s="843"/>
      <c r="U58" s="316"/>
      <c r="V58" s="317" t="s">
        <v>462</v>
      </c>
      <c r="W58" s="52"/>
      <c r="X58" s="52"/>
      <c r="Y58" s="52"/>
      <c r="Z58" s="52"/>
      <c r="AA58" s="52"/>
      <c r="AB58" s="52"/>
      <c r="AC58" s="1198"/>
      <c r="AD58" s="1079"/>
      <c r="AE58" s="1198"/>
      <c r="AF58" s="1079"/>
      <c r="AG58" s="52"/>
      <c r="AH58" s="52"/>
      <c r="AI58" s="52"/>
      <c r="AJ58" s="52"/>
      <c r="AK58" s="52"/>
      <c r="AL58" s="1198"/>
      <c r="AM58" s="1079"/>
      <c r="AN58" s="1198"/>
      <c r="AO58" s="1079"/>
      <c r="AP58" s="318"/>
      <c r="AQ58" s="1216"/>
      <c r="AT58" s="583" t="str">
        <f t="shared" si="2"/>
        <v>Добавить наименование поставщика</v>
      </c>
      <c r="AW58" s="539">
        <v>11</v>
      </c>
    </row>
    <row r="59" spans="1:49" ht="11.45" customHeight="1">
      <c r="A59" s="607" t="s">
        <v>184</v>
      </c>
      <c r="B59" s="607" t="s">
        <v>185</v>
      </c>
      <c r="C59" s="607" t="s">
        <v>186</v>
      </c>
      <c r="D59" s="607" t="s">
        <v>187</v>
      </c>
      <c r="E59" s="1219"/>
      <c r="F59" s="1219"/>
      <c r="G59" s="1219"/>
      <c r="H59" s="1219"/>
      <c r="I59" s="1051"/>
      <c r="J59" s="1070"/>
      <c r="Q59" s="1038"/>
      <c r="R59" s="1038"/>
      <c r="T59" s="843"/>
      <c r="U59" s="316"/>
      <c r="V59" s="319" t="s">
        <v>419</v>
      </c>
      <c r="W59" s="52"/>
      <c r="X59" s="52"/>
      <c r="Y59" s="52"/>
      <c r="Z59" s="52"/>
      <c r="AA59" s="52"/>
      <c r="AB59" s="52"/>
      <c r="AC59" s="348"/>
      <c r="AD59" s="348"/>
      <c r="AE59" s="348"/>
      <c r="AF59" s="348"/>
      <c r="AG59" s="52"/>
      <c r="AH59" s="52"/>
      <c r="AI59" s="52"/>
      <c r="AJ59" s="52"/>
      <c r="AK59" s="52"/>
      <c r="AL59" s="52"/>
      <c r="AM59" s="52"/>
      <c r="AN59" s="52"/>
      <c r="AO59" s="52"/>
      <c r="AP59" s="318"/>
      <c r="AQ59" s="1217"/>
      <c r="AT59" s="583" t="str">
        <f t="shared" si="2"/>
        <v>Добавить вид теплоносителя (параметры теплоносителя)</v>
      </c>
      <c r="AW59" s="539">
        <v>11</v>
      </c>
    </row>
    <row r="60" spans="1:49" ht="11.45" customHeight="1">
      <c r="A60" s="607" t="s">
        <v>184</v>
      </c>
      <c r="B60" s="607" t="s">
        <v>185</v>
      </c>
      <c r="C60" s="607" t="s">
        <v>186</v>
      </c>
      <c r="D60" s="607" t="s">
        <v>187</v>
      </c>
      <c r="E60" s="1219"/>
      <c r="F60" s="1219"/>
      <c r="G60" s="1219"/>
      <c r="H60" s="1219"/>
      <c r="I60" s="1070"/>
      <c r="Q60" s="1038"/>
      <c r="T60" s="843"/>
      <c r="U60" s="316"/>
      <c r="V60" s="322" t="s">
        <v>420</v>
      </c>
      <c r="W60" s="52"/>
      <c r="X60" s="52"/>
      <c r="Y60" s="52"/>
      <c r="Z60" s="52"/>
      <c r="AA60" s="52"/>
      <c r="AB60" s="52"/>
      <c r="AC60" s="52"/>
      <c r="AD60" s="52"/>
      <c r="AE60" s="52"/>
      <c r="AF60" s="320"/>
      <c r="AG60" s="52"/>
      <c r="AH60" s="52"/>
      <c r="AI60" s="52"/>
      <c r="AJ60" s="52"/>
      <c r="AK60" s="52"/>
      <c r="AL60" s="52"/>
      <c r="AM60" s="52"/>
      <c r="AN60" s="52"/>
      <c r="AO60" s="320"/>
      <c r="AP60" s="52"/>
      <c r="AQ60" s="321"/>
      <c r="AT60" s="583" t="str">
        <f t="shared" si="2"/>
        <v>Добавить группу потребителей</v>
      </c>
      <c r="AW60" s="539">
        <v>11</v>
      </c>
    </row>
    <row r="61" spans="1:49" ht="0" hidden="1" customHeight="1">
      <c r="A61" s="607" t="s">
        <v>184</v>
      </c>
      <c r="B61" s="607" t="s">
        <v>185</v>
      </c>
      <c r="C61" s="607" t="s">
        <v>186</v>
      </c>
      <c r="D61" s="607" t="s">
        <v>187</v>
      </c>
      <c r="E61" s="1219"/>
      <c r="F61" s="1219"/>
      <c r="G61" s="1219"/>
      <c r="H61" s="1218"/>
      <c r="S61" s="311"/>
      <c r="U61" s="335"/>
      <c r="V61" s="336"/>
      <c r="W61" s="337"/>
      <c r="X61" s="337"/>
      <c r="Y61" s="337"/>
      <c r="Z61" s="337"/>
      <c r="AA61" s="337"/>
      <c r="AB61" s="337"/>
      <c r="AC61" s="337"/>
      <c r="AD61" s="337"/>
      <c r="AE61" s="337"/>
      <c r="AF61" s="337"/>
      <c r="AG61" s="337"/>
      <c r="AH61" s="337"/>
      <c r="AI61" s="337"/>
      <c r="AJ61" s="337"/>
      <c r="AK61" s="337"/>
      <c r="AL61" s="337"/>
      <c r="AM61" s="337"/>
      <c r="AN61" s="337"/>
      <c r="AO61" s="337"/>
      <c r="AP61" s="337"/>
      <c r="AQ61" s="338"/>
      <c r="AT61" s="583" t="str">
        <f t="shared" si="2"/>
        <v/>
      </c>
      <c r="AW61" s="539">
        <v>0</v>
      </c>
    </row>
    <row r="62" spans="1:49" ht="0" hidden="1" customHeight="1">
      <c r="A62" s="878" t="s">
        <v>184</v>
      </c>
      <c r="B62" s="878" t="s">
        <v>185</v>
      </c>
      <c r="C62" s="878" t="s">
        <v>186</v>
      </c>
      <c r="E62" s="1219"/>
      <c r="F62" s="1219"/>
      <c r="G62" s="1218"/>
      <c r="V62" s="327" t="s">
        <v>422</v>
      </c>
      <c r="AT62" s="583" t="str">
        <f t="shared" si="2"/>
        <v>Добавить источник для дифференциации</v>
      </c>
      <c r="AW62" s="578">
        <v>0</v>
      </c>
    </row>
    <row r="63" spans="1:49" ht="0" hidden="1" customHeight="1">
      <c r="A63" s="878" t="s">
        <v>184</v>
      </c>
      <c r="B63" s="878" t="s">
        <v>185</v>
      </c>
      <c r="E63" s="1219"/>
      <c r="F63" s="1218"/>
      <c r="V63" s="327" t="s">
        <v>423</v>
      </c>
      <c r="AT63" s="583" t="str">
        <f t="shared" si="2"/>
        <v>Добавить централизованную систему для дифференциации</v>
      </c>
      <c r="AW63" s="578">
        <v>0</v>
      </c>
    </row>
    <row r="64" spans="1:49" ht="0" hidden="1" customHeight="1">
      <c r="A64" s="878" t="s">
        <v>184</v>
      </c>
      <c r="E64" s="1218"/>
      <c r="V64" s="327" t="s">
        <v>424</v>
      </c>
      <c r="AT64" s="583" t="str">
        <f t="shared" si="2"/>
        <v>Добавить территорию для дифференциации</v>
      </c>
      <c r="AW64" s="578">
        <v>0</v>
      </c>
    </row>
    <row r="65" spans="1:49" ht="4.1500000000000004" customHeight="1">
      <c r="V65" s="327" t="s">
        <v>456</v>
      </c>
      <c r="AT65" s="583" t="str">
        <f t="shared" si="2"/>
        <v>Добавить наименование тарифа</v>
      </c>
      <c r="AW65" s="578">
        <v>4</v>
      </c>
    </row>
    <row r="66" spans="1:49" ht="11.45" customHeight="1">
      <c r="AW66" s="539">
        <v>11</v>
      </c>
    </row>
    <row r="67" spans="1:49" ht="35.65" customHeight="1">
      <c r="V67" s="1038"/>
      <c r="W67" s="1038"/>
      <c r="X67" s="1038"/>
      <c r="Y67" s="1038"/>
      <c r="Z67" s="1038"/>
      <c r="AA67" s="1038"/>
      <c r="AB67" s="1038"/>
      <c r="AC67" s="1038"/>
      <c r="AD67" s="1038"/>
      <c r="AE67" s="1038"/>
      <c r="AF67" s="1038"/>
      <c r="AG67" s="1038"/>
      <c r="AH67" s="1038"/>
      <c r="AI67" s="1038"/>
      <c r="AJ67" s="1038"/>
      <c r="AK67" s="1038"/>
      <c r="AL67" s="1038"/>
      <c r="AM67" s="1038"/>
      <c r="AN67" s="1038"/>
      <c r="AO67" s="1038"/>
      <c r="AP67" s="1038"/>
      <c r="AQ67" s="1038"/>
      <c r="AW67" s="539">
        <v>34</v>
      </c>
    </row>
    <row r="68" spans="1:49" ht="21" customHeight="1">
      <c r="V68" s="1038"/>
      <c r="W68" s="1038"/>
      <c r="X68" s="1038"/>
      <c r="Y68" s="1038"/>
      <c r="Z68" s="1038"/>
      <c r="AA68" s="1038"/>
      <c r="AB68" s="1038"/>
      <c r="AC68" s="1038"/>
      <c r="AD68" s="1038"/>
      <c r="AE68" s="1038"/>
      <c r="AF68" s="1038"/>
      <c r="AG68" s="1038"/>
      <c r="AH68" s="1038"/>
      <c r="AI68" s="1038"/>
      <c r="AJ68" s="1038"/>
      <c r="AK68" s="1038"/>
      <c r="AL68" s="1038"/>
      <c r="AM68" s="1038"/>
      <c r="AN68" s="1038"/>
      <c r="AO68" s="1038"/>
      <c r="AP68" s="1038"/>
      <c r="AQ68" s="1038"/>
      <c r="AW68" s="539">
        <v>20</v>
      </c>
    </row>
    <row r="69" spans="1:49" ht="14.65" customHeight="1">
      <c r="AW69" s="539">
        <v>14</v>
      </c>
    </row>
    <row r="70" spans="1:49" ht="28.5" customHeight="1">
      <c r="V70" s="1038"/>
      <c r="W70" s="1038"/>
      <c r="X70" s="1038"/>
      <c r="Y70" s="1038"/>
      <c r="Z70" s="1038"/>
      <c r="AA70" s="1038"/>
      <c r="AB70" s="1038"/>
      <c r="AC70" s="1038"/>
      <c r="AD70" s="1038"/>
      <c r="AE70" s="1038"/>
      <c r="AF70" s="1038"/>
      <c r="AG70" s="1038"/>
      <c r="AH70" s="1038"/>
      <c r="AI70" s="1038"/>
      <c r="AJ70" s="1038"/>
      <c r="AK70" s="1038"/>
      <c r="AL70" s="1038"/>
      <c r="AM70" s="1038"/>
      <c r="AN70" s="1038"/>
      <c r="AO70" s="1038"/>
      <c r="AP70" s="1038"/>
      <c r="AQ70" s="1038"/>
      <c r="AW70" s="539">
        <v>27</v>
      </c>
    </row>
    <row r="71" spans="1:49" ht="18.75" customHeight="1">
      <c r="V71" s="1038"/>
      <c r="W71" s="1038"/>
      <c r="X71" s="1038"/>
      <c r="Y71" s="1038"/>
      <c r="Z71" s="1038"/>
      <c r="AA71" s="1038"/>
      <c r="AB71" s="1038"/>
      <c r="AC71" s="1038"/>
      <c r="AD71" s="1038"/>
      <c r="AE71" s="1038"/>
      <c r="AF71" s="1038"/>
      <c r="AG71" s="1038"/>
      <c r="AH71" s="1038"/>
      <c r="AI71" s="1038"/>
      <c r="AJ71" s="1038"/>
      <c r="AK71" s="1038"/>
      <c r="AL71" s="1038"/>
      <c r="AM71" s="1038"/>
      <c r="AN71" s="1038"/>
      <c r="AO71" s="1038"/>
      <c r="AP71" s="1038"/>
      <c r="AQ71" s="1038"/>
      <c r="AW71" s="539">
        <v>18</v>
      </c>
    </row>
    <row r="72" spans="1:49" ht="22.5" hidden="1" customHeight="1">
      <c r="A72" s="539" t="s">
        <v>81</v>
      </c>
      <c r="B72" s="539">
        <v>0</v>
      </c>
      <c r="C72" s="539">
        <v>0</v>
      </c>
      <c r="D72" s="539">
        <v>0</v>
      </c>
      <c r="E72" s="539">
        <v>0</v>
      </c>
      <c r="F72" s="539">
        <v>0</v>
      </c>
      <c r="G72" s="539">
        <v>0</v>
      </c>
      <c r="H72" s="539">
        <v>0</v>
      </c>
      <c r="I72" s="539">
        <v>0</v>
      </c>
      <c r="J72" s="539">
        <v>0</v>
      </c>
      <c r="K72" s="539">
        <v>0</v>
      </c>
      <c r="L72" s="539">
        <v>0</v>
      </c>
      <c r="M72" s="561">
        <v>0</v>
      </c>
      <c r="N72" s="301">
        <v>0</v>
      </c>
      <c r="O72" s="301">
        <v>0</v>
      </c>
      <c r="P72" s="301">
        <v>0</v>
      </c>
      <c r="Q72" s="301">
        <v>0</v>
      </c>
      <c r="R72" s="822">
        <v>3</v>
      </c>
      <c r="S72" s="822">
        <v>3</v>
      </c>
      <c r="T72" s="822">
        <v>3</v>
      </c>
      <c r="U72" s="554">
        <v>12</v>
      </c>
      <c r="V72" s="539">
        <v>31</v>
      </c>
      <c r="W72" s="539">
        <v>0</v>
      </c>
      <c r="X72" s="539">
        <v>0</v>
      </c>
      <c r="Y72" s="539">
        <v>0</v>
      </c>
      <c r="Z72" s="539">
        <v>0</v>
      </c>
      <c r="AA72" s="539">
        <v>0</v>
      </c>
      <c r="AB72" s="539">
        <v>0</v>
      </c>
      <c r="AC72" s="539">
        <v>0</v>
      </c>
      <c r="AD72" s="539">
        <v>0</v>
      </c>
      <c r="AE72" s="539">
        <v>0</v>
      </c>
      <c r="AF72" s="539">
        <v>0</v>
      </c>
      <c r="AG72" s="539">
        <v>21</v>
      </c>
      <c r="AH72" s="539">
        <v>21</v>
      </c>
      <c r="AI72" s="539">
        <v>21</v>
      </c>
      <c r="AJ72" s="539">
        <v>21</v>
      </c>
      <c r="AK72" s="539">
        <v>21</v>
      </c>
      <c r="AL72" s="539">
        <v>11</v>
      </c>
      <c r="AM72" s="539">
        <v>3</v>
      </c>
      <c r="AN72" s="539">
        <v>11</v>
      </c>
      <c r="AO72" s="539">
        <v>8</v>
      </c>
      <c r="AP72" s="539">
        <v>4</v>
      </c>
      <c r="AQ72" s="539">
        <v>115</v>
      </c>
      <c r="AR72" s="578">
        <v>10</v>
      </c>
      <c r="AS72" s="578">
        <v>10</v>
      </c>
      <c r="AT72" s="578">
        <v>10</v>
      </c>
      <c r="AU72" s="578">
        <v>10</v>
      </c>
      <c r="AV72" s="578">
        <v>10</v>
      </c>
      <c r="AW72" s="539">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L58" sqref="L58"/>
    </sheetView>
  </sheetViews>
  <sheetFormatPr defaultColWidth="9.140625" defaultRowHeight="11.25" customHeight="1"/>
  <cols>
    <col min="1" max="2" width="10.7109375" style="1030" hidden="1" customWidth="1"/>
    <col min="3" max="3" width="3" style="1030" customWidth="1"/>
    <col min="4" max="4" width="1" style="1030" customWidth="1"/>
    <col min="5" max="6" width="55" style="1030" customWidth="1"/>
    <col min="7" max="7" width="1" style="1030" customWidth="1"/>
    <col min="8" max="8" width="18" style="1030" hidden="1" customWidth="1"/>
    <col min="9" max="9" width="59" style="1030" customWidth="1"/>
    <col min="10" max="10" width="52.140625" style="1030" hidden="1" customWidth="1"/>
    <col min="11" max="11" width="8" style="1030" customWidth="1"/>
    <col min="12" max="12" width="77" style="1030" customWidth="1"/>
    <col min="13" max="16" width="8" style="1030" customWidth="1"/>
    <col min="17" max="17" width="12" style="1030" hidden="1" customWidth="1"/>
  </cols>
  <sheetData>
    <row r="1" spans="1:17" ht="3" customHeight="1">
      <c r="F1" s="535" t="s">
        <v>13</v>
      </c>
      <c r="Q1" s="535" t="s">
        <v>14</v>
      </c>
    </row>
    <row r="2" spans="1:17" ht="14.25" customHeight="1">
      <c r="E2" s="536" t="str">
        <f>code</f>
        <v>Код отчёта: PP108.OPEN.INFO.BALANCE.VOTV.EIAS</v>
      </c>
      <c r="Q2" s="537">
        <v>14</v>
      </c>
    </row>
    <row r="3" spans="1:17" ht="14.65" customHeight="1">
      <c r="E3" s="538" t="str">
        <f>version</f>
        <v>Версия отчёта: 1.1.3</v>
      </c>
      <c r="Q3" s="539">
        <v>14</v>
      </c>
    </row>
    <row r="4" spans="1:17" ht="6.4" customHeight="1">
      <c r="D4" s="540"/>
      <c r="Q4" s="541">
        <v>6</v>
      </c>
    </row>
    <row r="5" spans="1:17" ht="39.75" customHeight="1">
      <c r="D5" s="542"/>
      <c r="E5" s="1050"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051"/>
      <c r="G5" s="545"/>
      <c r="Q5" s="539">
        <v>38</v>
      </c>
    </row>
    <row r="6" spans="1:17" ht="6.4" customHeight="1">
      <c r="D6" s="540"/>
      <c r="E6" s="546"/>
      <c r="F6" s="547"/>
      <c r="G6" s="545"/>
      <c r="Q6" s="541">
        <v>6</v>
      </c>
    </row>
    <row r="7" spans="1:17" ht="21" customHeight="1">
      <c r="D7" s="542"/>
      <c r="E7" s="548" t="s">
        <v>15</v>
      </c>
      <c r="F7" s="549" t="s">
        <v>16</v>
      </c>
      <c r="G7" s="545"/>
      <c r="Q7" s="539">
        <v>20</v>
      </c>
    </row>
    <row r="8" spans="1:17" ht="6.4" customHeight="1">
      <c r="A8" s="6"/>
      <c r="D8" s="550"/>
      <c r="E8" s="546"/>
      <c r="F8" s="551"/>
      <c r="G8" s="552"/>
      <c r="Q8" s="541">
        <v>6</v>
      </c>
    </row>
    <row r="9" spans="1:17" ht="19.5" hidden="1" customHeight="1">
      <c r="D9" s="542"/>
      <c r="E9" s="548" t="s">
        <v>17</v>
      </c>
      <c r="F9" s="553"/>
      <c r="G9" s="545"/>
      <c r="I9" s="554" t="str">
        <f>IF(TITLE_STRUCTURE_INFO_ROIV="","","раскрывается "&amp;INDEX(ROIV_INFO_COMMENT,MATCH(TITLE_STRUCTURE_INFO_ROIV,ROIV_INFO_LIST,0)))</f>
        <v/>
      </c>
      <c r="Q9" s="539">
        <v>0</v>
      </c>
    </row>
    <row r="10" spans="1:17" ht="24" hidden="1" customHeight="1">
      <c r="A10" s="6"/>
      <c r="D10" s="550"/>
      <c r="E10" s="548" t="s">
        <v>18</v>
      </c>
      <c r="F10" s="7" t="s">
        <v>19</v>
      </c>
      <c r="G10" s="552"/>
      <c r="Q10" s="541">
        <v>24</v>
      </c>
    </row>
    <row r="11" spans="1:17" ht="22.5" hidden="1" customHeight="1">
      <c r="A11" s="1053" t="s">
        <v>20</v>
      </c>
      <c r="D11" s="542"/>
      <c r="E11" s="548" t="s">
        <v>21</v>
      </c>
      <c r="F11" s="8" t="s">
        <v>22</v>
      </c>
      <c r="G11" s="552"/>
      <c r="H11" s="555" t="s">
        <v>23</v>
      </c>
      <c r="J11" s="556" t="s">
        <v>24</v>
      </c>
      <c r="Q11" s="539">
        <v>0</v>
      </c>
    </row>
    <row r="12" spans="1:17" ht="22.5" hidden="1" customHeight="1">
      <c r="A12" s="1053"/>
      <c r="D12" s="542"/>
      <c r="E12" s="548" t="s">
        <v>25</v>
      </c>
      <c r="F12" s="8"/>
      <c r="G12" s="557"/>
      <c r="J12" s="556" t="s">
        <v>26</v>
      </c>
      <c r="Q12" s="539">
        <v>0</v>
      </c>
    </row>
    <row r="13" spans="1:17" ht="22.5" hidden="1" customHeight="1">
      <c r="A13" s="10" t="s">
        <v>27</v>
      </c>
      <c r="D13" s="542"/>
      <c r="E13" s="11" t="s">
        <v>28</v>
      </c>
      <c r="F13" s="8" t="s">
        <v>22</v>
      </c>
      <c r="G13" s="552"/>
      <c r="J13" s="12" t="s">
        <v>29</v>
      </c>
      <c r="Q13" s="539">
        <v>0</v>
      </c>
    </row>
    <row r="14" spans="1:17" ht="27" customHeight="1">
      <c r="A14" s="10" t="s">
        <v>30</v>
      </c>
      <c r="D14" s="542"/>
      <c r="E14" s="548" t="s">
        <v>31</v>
      </c>
      <c r="F14" s="13">
        <v>2023</v>
      </c>
      <c r="G14" s="552"/>
      <c r="J14" s="556" t="s">
        <v>32</v>
      </c>
      <c r="Q14" s="539">
        <v>0</v>
      </c>
    </row>
    <row r="15" spans="1:17" ht="19.5" hidden="1" customHeight="1">
      <c r="A15" s="10" t="s">
        <v>33</v>
      </c>
      <c r="D15" s="542"/>
      <c r="E15" s="548" t="s">
        <v>34</v>
      </c>
      <c r="F15" s="558"/>
      <c r="G15" s="552"/>
      <c r="J15" s="556" t="s">
        <v>35</v>
      </c>
      <c r="Q15" s="539">
        <v>0</v>
      </c>
    </row>
    <row r="16" spans="1:17" ht="6.4" customHeight="1">
      <c r="A16" s="6"/>
      <c r="D16" s="550"/>
      <c r="E16" s="546"/>
      <c r="F16" s="551"/>
      <c r="G16" s="552"/>
      <c r="Q16" s="541">
        <v>6</v>
      </c>
    </row>
    <row r="17" spans="1:17" ht="21" customHeight="1">
      <c r="D17" s="542"/>
      <c r="E17" s="548" t="s">
        <v>36</v>
      </c>
      <c r="F17" s="14" t="s">
        <v>37</v>
      </c>
      <c r="G17" s="557"/>
      <c r="H17" s="555" t="s">
        <v>23</v>
      </c>
      <c r="Q17" s="539">
        <v>20</v>
      </c>
    </row>
    <row r="18" spans="1:17" ht="25.5" hidden="1" customHeight="1">
      <c r="D18" s="542"/>
      <c r="E18" s="11" t="s">
        <v>38</v>
      </c>
      <c r="F18" s="15"/>
      <c r="G18" s="557"/>
      <c r="I18" s="559"/>
      <c r="J18" s="1052" t="s">
        <v>39</v>
      </c>
      <c r="Q18" s="539">
        <v>0</v>
      </c>
    </row>
    <row r="19" spans="1:17" ht="25.5" hidden="1" customHeight="1">
      <c r="D19" s="542"/>
      <c r="E19" s="54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
      <c r="G19" s="557"/>
      <c r="I19" s="559"/>
      <c r="J19" s="1038"/>
      <c r="Q19" s="539">
        <v>0</v>
      </c>
    </row>
    <row r="20" spans="1:17" ht="22.5" hidden="1" customHeight="1">
      <c r="D20" s="542"/>
      <c r="E20" s="560"/>
      <c r="F20" s="561" t="str">
        <f>"Первичное "&amp;IF(TEMPLATE_GROUP="P","установление тарифов","предложение по тарифам")</f>
        <v>Первичное предложение по тарифам</v>
      </c>
      <c r="G20" s="557"/>
      <c r="I20" s="552"/>
      <c r="J20" s="562" t="s">
        <v>40</v>
      </c>
      <c r="Q20" s="539">
        <v>0</v>
      </c>
    </row>
    <row r="21" spans="1:17" ht="19.5" hidden="1" customHeight="1">
      <c r="D21" s="542"/>
      <c r="E21" s="548" t="str">
        <f>"Дата "&amp;IF(TEMPLATE_GROUP="P","документа","подачи заявления")&amp;" об утверждении тарифов"</f>
        <v>Дата подачи заявления об утверждении тарифов</v>
      </c>
      <c r="F21" s="8"/>
      <c r="G21" s="557"/>
      <c r="I21" s="563"/>
      <c r="Q21" s="539">
        <v>0</v>
      </c>
    </row>
    <row r="22" spans="1:17" ht="19.5" hidden="1" customHeight="1">
      <c r="D22" s="542"/>
      <c r="E22" s="548" t="str">
        <f>"Номер "&amp;IF(TEMPLATE_GROUP="P","документа","подачи заявления")&amp;" об утверждении тарифов"</f>
        <v>Номер подачи заявления об утверждении тарифов</v>
      </c>
      <c r="F22" s="14"/>
      <c r="G22" s="557"/>
      <c r="I22" s="563"/>
      <c r="Q22" s="539">
        <v>0</v>
      </c>
    </row>
    <row r="23" spans="1:17" ht="22.5" hidden="1" customHeight="1">
      <c r="D23" s="542"/>
      <c r="E23" s="548" t="s">
        <v>41</v>
      </c>
      <c r="F23" s="14"/>
      <c r="G23" s="557"/>
      <c r="Q23" s="539">
        <v>0</v>
      </c>
    </row>
    <row r="24" spans="1:17" ht="19.5" hidden="1" customHeight="1">
      <c r="D24" s="542"/>
      <c r="E24" s="548" t="s">
        <v>42</v>
      </c>
      <c r="F24" s="14"/>
      <c r="G24" s="557"/>
      <c r="Q24" s="539">
        <v>0</v>
      </c>
    </row>
    <row r="25" spans="1:17" ht="22.5" hidden="1" customHeight="1">
      <c r="D25" s="542"/>
      <c r="E25" s="560"/>
      <c r="F25" s="561" t="str">
        <f>"Изменение "&amp;IF(TEMPLATE_GROUP="P","тарифов","предложения по тарифам")</f>
        <v>Изменение предложения по тарифам</v>
      </c>
      <c r="G25" s="557"/>
      <c r="J25" s="562" t="s">
        <v>43</v>
      </c>
      <c r="Q25" s="539">
        <v>0</v>
      </c>
    </row>
    <row r="26" spans="1:17" ht="19.5" hidden="1" customHeight="1">
      <c r="D26" s="542"/>
      <c r="E26" s="548" t="str">
        <f>"Дата "&amp;IF(TEMPLATE_GROUP="P","принятия решения","подачи заявления")&amp;" об изменении тарифов"</f>
        <v>Дата подачи заявления об изменении тарифов</v>
      </c>
      <c r="F26" s="15"/>
      <c r="G26" s="557"/>
      <c r="Q26" s="539">
        <v>0</v>
      </c>
    </row>
    <row r="27" spans="1:17" ht="19.5" hidden="1" customHeight="1">
      <c r="D27" s="542"/>
      <c r="E27" s="548" t="str">
        <f>"Номер "&amp;IF(TEMPLATE_GROUP="P","принятия решения","заявления")&amp;" об изменении тарифов"</f>
        <v>Номер заявления об изменении тарифов</v>
      </c>
      <c r="F27" s="16"/>
      <c r="G27" s="557"/>
      <c r="Q27" s="539">
        <v>0</v>
      </c>
    </row>
    <row r="28" spans="1:17" ht="24.75" hidden="1" customHeight="1">
      <c r="D28" s="542"/>
      <c r="E28" s="548" t="s">
        <v>44</v>
      </c>
      <c r="F28" s="16"/>
      <c r="G28" s="557"/>
      <c r="Q28" s="539">
        <v>0</v>
      </c>
    </row>
    <row r="29" spans="1:17" ht="19.5" hidden="1" customHeight="1">
      <c r="D29" s="542"/>
      <c r="E29" s="548" t="s">
        <v>42</v>
      </c>
      <c r="F29" s="16"/>
      <c r="G29" s="557"/>
      <c r="Q29" s="539">
        <v>0</v>
      </c>
    </row>
    <row r="30" spans="1:17" ht="6.4" customHeight="1">
      <c r="A30" s="6"/>
      <c r="D30" s="550"/>
      <c r="E30" s="546"/>
      <c r="F30" s="551"/>
      <c r="G30" s="552"/>
      <c r="Q30" s="541">
        <v>6</v>
      </c>
    </row>
    <row r="31" spans="1:17" ht="21" customHeight="1">
      <c r="D31" s="564"/>
      <c r="E31" s="548" t="str">
        <f>"Наименование "&amp;IF(TEMPLATE_GROUP="ROIV","органа тарифного регулирования","ЮЛ / ИП")</f>
        <v>Наименование ЮЛ / ИП</v>
      </c>
      <c r="F31" s="17" t="s">
        <v>45</v>
      </c>
      <c r="G31" s="18"/>
      <c r="Q31" s="539">
        <v>20</v>
      </c>
    </row>
    <row r="32" spans="1:17" ht="21" hidden="1" customHeight="1">
      <c r="D32" s="564"/>
      <c r="E32" s="565" t="s">
        <v>46</v>
      </c>
      <c r="F32" s="17"/>
      <c r="G32" s="18"/>
      <c r="Q32" s="539">
        <v>20</v>
      </c>
    </row>
    <row r="33" spans="1:17" ht="21" customHeight="1">
      <c r="D33" s="564"/>
      <c r="E33" s="548" t="s">
        <v>47</v>
      </c>
      <c r="F33" s="17" t="s">
        <v>48</v>
      </c>
      <c r="G33" s="18"/>
      <c r="Q33" s="539">
        <v>20</v>
      </c>
    </row>
    <row r="34" spans="1:17" ht="21" customHeight="1">
      <c r="D34" s="564"/>
      <c r="E34" s="548" t="s">
        <v>49</v>
      </c>
      <c r="F34" s="17" t="s">
        <v>50</v>
      </c>
      <c r="G34" s="18"/>
      <c r="Q34" s="539">
        <v>20</v>
      </c>
    </row>
    <row r="35" spans="1:17" ht="11.45" customHeight="1">
      <c r="A35" s="6"/>
      <c r="D35" s="550"/>
      <c r="E35" s="546"/>
      <c r="F35" s="551"/>
      <c r="G35" s="552"/>
      <c r="Q35" s="541">
        <v>11</v>
      </c>
    </row>
    <row r="36" spans="1:17" ht="19.5" hidden="1" customHeight="1">
      <c r="A36" s="19"/>
      <c r="D36" s="564"/>
      <c r="E36" s="548" t="s">
        <v>51</v>
      </c>
      <c r="F36" s="566"/>
      <c r="G36" s="552"/>
      <c r="Q36" s="539">
        <v>0</v>
      </c>
    </row>
    <row r="37" spans="1:17" ht="21" customHeight="1">
      <c r="A37" s="19"/>
      <c r="D37" s="564"/>
      <c r="E37" s="548" t="s">
        <v>52</v>
      </c>
      <c r="F37" s="20" t="s">
        <v>53</v>
      </c>
      <c r="G37" s="552"/>
      <c r="Q37" s="539">
        <v>20</v>
      </c>
    </row>
    <row r="38" spans="1:17" ht="6.4" customHeight="1">
      <c r="A38" s="6"/>
      <c r="D38" s="540"/>
      <c r="E38" s="567"/>
      <c r="F38" s="568"/>
      <c r="G38" s="557"/>
      <c r="Q38" s="541">
        <v>6</v>
      </c>
    </row>
    <row r="39" spans="1:17" ht="36.75" customHeight="1">
      <c r="A39" s="6"/>
      <c r="D39" s="542"/>
      <c r="E39" s="548" t="s">
        <v>54</v>
      </c>
      <c r="F39" s="7" t="s">
        <v>19</v>
      </c>
      <c r="G39" s="557"/>
      <c r="H39" s="555" t="s">
        <v>23</v>
      </c>
      <c r="Q39" s="539">
        <v>35</v>
      </c>
    </row>
    <row r="40" spans="1:17" ht="6" hidden="1" customHeight="1">
      <c r="D40" s="540"/>
      <c r="E40" s="567"/>
      <c r="F40" s="568"/>
      <c r="G40" s="557"/>
      <c r="Q40" s="541">
        <v>6</v>
      </c>
    </row>
    <row r="41" spans="1:17" ht="26.25" hidden="1" customHeight="1">
      <c r="A41" s="10" t="s">
        <v>27</v>
      </c>
      <c r="D41" s="542"/>
      <c r="E41" s="54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7" t="s">
        <v>19</v>
      </c>
      <c r="G41" s="557"/>
      <c r="Q41" s="539">
        <v>0</v>
      </c>
    </row>
    <row r="42" spans="1:17" ht="6" hidden="1" customHeight="1">
      <c r="D42" s="540"/>
      <c r="E42" s="567"/>
      <c r="F42" s="568"/>
      <c r="G42" s="557"/>
      <c r="Q42" s="541">
        <v>0</v>
      </c>
    </row>
    <row r="43" spans="1:17" ht="27" hidden="1" customHeight="1">
      <c r="D43" s="542"/>
      <c r="E43" s="548" t="s">
        <v>55</v>
      </c>
      <c r="F43" s="7" t="s">
        <v>19</v>
      </c>
      <c r="G43" s="557"/>
      <c r="Q43" s="539">
        <v>0</v>
      </c>
    </row>
    <row r="44" spans="1:17" ht="27" hidden="1" customHeight="1">
      <c r="D44" s="542"/>
      <c r="E44" s="548" t="s">
        <v>56</v>
      </c>
      <c r="F44" s="21"/>
      <c r="G44" s="557"/>
      <c r="Q44" s="539">
        <v>0</v>
      </c>
    </row>
    <row r="45" spans="1:17" ht="6" hidden="1" customHeight="1">
      <c r="D45" s="540"/>
      <c r="E45" s="567"/>
      <c r="F45" s="568"/>
      <c r="G45" s="557"/>
      <c r="Q45" s="541">
        <v>0</v>
      </c>
    </row>
    <row r="46" spans="1:17" ht="24.75" hidden="1" customHeight="1">
      <c r="D46" s="540"/>
      <c r="E46" s="548" t="s">
        <v>57</v>
      </c>
      <c r="F46" s="7" t="s">
        <v>19</v>
      </c>
      <c r="G46" s="557"/>
      <c r="Q46" s="541">
        <v>0</v>
      </c>
    </row>
    <row r="47" spans="1:17" ht="24.75" hidden="1" customHeight="1">
      <c r="D47" s="542"/>
      <c r="E47" s="548" t="s">
        <v>58</v>
      </c>
      <c r="F47" s="7" t="s">
        <v>19</v>
      </c>
      <c r="G47" s="557"/>
      <c r="Q47" s="539">
        <v>0</v>
      </c>
    </row>
    <row r="48" spans="1:17" ht="6" hidden="1" customHeight="1">
      <c r="D48" s="540"/>
      <c r="E48" s="567"/>
      <c r="F48" s="568"/>
      <c r="G48" s="557"/>
      <c r="Q48" s="541">
        <v>0</v>
      </c>
    </row>
    <row r="49" spans="1:17" ht="29.25" hidden="1" customHeight="1">
      <c r="D49" s="542"/>
      <c r="E49" s="54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7"/>
      <c r="G49" s="557"/>
      <c r="Q49" s="539">
        <v>0</v>
      </c>
    </row>
    <row r="50" spans="1:17" ht="6" customHeight="1">
      <c r="A50" s="6"/>
      <c r="D50" s="550"/>
      <c r="E50" s="546"/>
      <c r="F50" s="551"/>
      <c r="G50" s="552"/>
      <c r="Q50" s="541">
        <v>0</v>
      </c>
    </row>
    <row r="51" spans="1:17" ht="28.5" customHeight="1">
      <c r="E51" s="548" t="s">
        <v>59</v>
      </c>
      <c r="F51" s="7" t="s">
        <v>19</v>
      </c>
      <c r="Q51" s="539">
        <v>0</v>
      </c>
    </row>
    <row r="52" spans="1:17" ht="6" customHeight="1">
      <c r="A52" s="6"/>
      <c r="D52" s="550"/>
      <c r="E52" s="546"/>
      <c r="F52" s="551"/>
      <c r="G52" s="552"/>
      <c r="Q52" s="541">
        <v>0</v>
      </c>
    </row>
    <row r="53" spans="1:17" ht="27" customHeight="1">
      <c r="E53" s="548" t="s">
        <v>60</v>
      </c>
      <c r="F53" s="569" t="s">
        <v>61</v>
      </c>
      <c r="Q53" s="539">
        <v>0</v>
      </c>
    </row>
    <row r="54" spans="1:17" ht="27" customHeight="1">
      <c r="E54" s="548" t="s">
        <v>62</v>
      </c>
      <c r="F54" s="996">
        <v>45380.632384259261</v>
      </c>
      <c r="Q54" s="539">
        <v>0</v>
      </c>
    </row>
    <row r="55" spans="1:17" ht="6" customHeight="1">
      <c r="A55" s="6"/>
      <c r="D55" s="550"/>
      <c r="E55" s="546"/>
      <c r="F55" s="551"/>
      <c r="G55" s="552"/>
      <c r="Q55" s="541">
        <v>0</v>
      </c>
    </row>
    <row r="56" spans="1:17" ht="25.5" customHeight="1">
      <c r="E56" s="548" t="s">
        <v>63</v>
      </c>
      <c r="F56" s="569" t="s">
        <v>61</v>
      </c>
      <c r="Q56" s="539">
        <v>0</v>
      </c>
    </row>
    <row r="57" spans="1:17" ht="6" customHeight="1">
      <c r="A57" s="6"/>
      <c r="D57" s="550"/>
      <c r="E57" s="546"/>
      <c r="F57" s="551"/>
      <c r="G57" s="552"/>
      <c r="Q57" s="541">
        <v>0</v>
      </c>
    </row>
    <row r="58" spans="1:17" ht="15" customHeight="1">
      <c r="E58" s="548" t="s">
        <v>64</v>
      </c>
      <c r="F58" s="569" t="s">
        <v>61</v>
      </c>
      <c r="Q58" s="539">
        <v>0</v>
      </c>
    </row>
    <row r="59" spans="1:17" ht="75" customHeight="1">
      <c r="E59" s="54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569" t="s">
        <v>61</v>
      </c>
      <c r="Q59" s="539">
        <v>0</v>
      </c>
    </row>
    <row r="60" spans="1:17" ht="15" customHeight="1">
      <c r="E60" s="548" t="s">
        <v>65</v>
      </c>
      <c r="F60" s="20" t="s">
        <v>66</v>
      </c>
      <c r="Q60" s="539">
        <v>0</v>
      </c>
    </row>
    <row r="61" spans="1:17" ht="6" hidden="1" customHeight="1">
      <c r="A61" s="6"/>
      <c r="D61" s="540"/>
      <c r="E61" s="567"/>
      <c r="F61" s="568"/>
      <c r="G61" s="557"/>
      <c r="Q61" s="541">
        <v>0</v>
      </c>
    </row>
    <row r="62" spans="1:17" ht="33.75" hidden="1" customHeight="1">
      <c r="A62" s="6"/>
      <c r="D62" s="542"/>
      <c r="E62" s="548" t="s">
        <v>67</v>
      </c>
      <c r="F62" s="7" t="s">
        <v>61</v>
      </c>
      <c r="G62" s="557"/>
      <c r="H62" s="555" t="s">
        <v>23</v>
      </c>
      <c r="Q62" s="539">
        <v>0</v>
      </c>
    </row>
    <row r="63" spans="1:17" ht="6.4" customHeight="1">
      <c r="A63" s="6"/>
      <c r="D63" s="550"/>
      <c r="E63" s="546"/>
      <c r="F63" s="551"/>
      <c r="G63" s="552"/>
      <c r="Q63" s="541">
        <v>6</v>
      </c>
    </row>
    <row r="64" spans="1:17" ht="21" customHeight="1">
      <c r="D64" s="23"/>
      <c r="E64" s="548" t="s">
        <v>68</v>
      </c>
      <c r="F64" s="14" t="s">
        <v>69</v>
      </c>
      <c r="G64" s="552"/>
      <c r="Q64" s="539">
        <v>20</v>
      </c>
    </row>
    <row r="65" spans="1:17" ht="21" customHeight="1">
      <c r="D65" s="23"/>
      <c r="E65" s="548" t="s">
        <v>70</v>
      </c>
      <c r="F65" s="14" t="s">
        <v>71</v>
      </c>
      <c r="G65" s="552"/>
      <c r="Q65" s="539">
        <v>20</v>
      </c>
    </row>
    <row r="66" spans="1:17" ht="36.75" customHeight="1">
      <c r="D66" s="542"/>
      <c r="E66" s="570" t="s">
        <v>72</v>
      </c>
      <c r="G66" s="557"/>
      <c r="Q66" s="539">
        <v>35</v>
      </c>
    </row>
    <row r="67" spans="1:17" ht="21" customHeight="1">
      <c r="D67" s="542"/>
      <c r="E67" s="548" t="s">
        <v>73</v>
      </c>
      <c r="F67" s="1001" t="s">
        <v>74</v>
      </c>
      <c r="G67" s="552"/>
      <c r="Q67" s="539">
        <v>20</v>
      </c>
    </row>
    <row r="68" spans="1:17" ht="21" customHeight="1">
      <c r="D68" s="23"/>
      <c r="E68" s="548" t="s">
        <v>75</v>
      </c>
      <c r="F68" s="1001" t="s">
        <v>76</v>
      </c>
      <c r="G68" s="552"/>
      <c r="Q68" s="539">
        <v>20</v>
      </c>
    </row>
    <row r="69" spans="1:17" ht="21" customHeight="1">
      <c r="D69" s="23"/>
      <c r="E69" s="548" t="s">
        <v>77</v>
      </c>
      <c r="F69" s="1001" t="s">
        <v>78</v>
      </c>
      <c r="G69" s="552"/>
      <c r="Q69" s="539">
        <v>20</v>
      </c>
    </row>
    <row r="70" spans="1:17" ht="21" customHeight="1">
      <c r="D70" s="542"/>
      <c r="E70" s="548" t="s">
        <v>79</v>
      </c>
      <c r="F70" s="1001" t="s">
        <v>80</v>
      </c>
      <c r="G70" s="557"/>
      <c r="Q70" s="539">
        <v>20</v>
      </c>
    </row>
    <row r="71" spans="1:17" ht="21" customHeight="1">
      <c r="D71" s="557"/>
      <c r="G71" s="552"/>
      <c r="Q71" s="539">
        <v>20</v>
      </c>
    </row>
    <row r="72" spans="1:17" ht="21" customHeight="1">
      <c r="D72" s="23"/>
      <c r="E72" s="24"/>
      <c r="F72" s="1030" t="s">
        <v>13</v>
      </c>
      <c r="G72" s="552"/>
      <c r="Q72" s="539">
        <v>20</v>
      </c>
    </row>
    <row r="73" spans="1:17" ht="21" customHeight="1">
      <c r="D73" s="23"/>
      <c r="E73" s="24"/>
      <c r="G73" s="552"/>
      <c r="Q73" s="539">
        <v>20</v>
      </c>
    </row>
    <row r="74" spans="1:17" ht="21" customHeight="1">
      <c r="D74" s="23"/>
      <c r="E74" s="25"/>
      <c r="G74" s="552"/>
      <c r="Q74" s="539">
        <v>20</v>
      </c>
    </row>
    <row r="75" spans="1:17" ht="21" customHeight="1">
      <c r="D75" s="23"/>
      <c r="E75" s="24"/>
      <c r="G75" s="552"/>
      <c r="Q75" s="539">
        <v>20</v>
      </c>
    </row>
    <row r="76" spans="1:17" ht="11.45" customHeight="1">
      <c r="Q76" s="539">
        <v>11</v>
      </c>
    </row>
    <row r="77" spans="1:17" ht="11.45" customHeight="1">
      <c r="Q77" s="539">
        <v>11</v>
      </c>
    </row>
    <row r="78" spans="1:17" ht="11.45" customHeight="1">
      <c r="Q78" s="539">
        <v>11</v>
      </c>
    </row>
    <row r="79" spans="1:17" ht="11.25" hidden="1" customHeight="1">
      <c r="A79" s="571" t="s">
        <v>81</v>
      </c>
      <c r="B79" s="572">
        <v>0</v>
      </c>
      <c r="C79" s="573">
        <v>3</v>
      </c>
      <c r="D79" s="539">
        <v>1</v>
      </c>
      <c r="E79" s="539">
        <v>55</v>
      </c>
      <c r="F79" s="539">
        <v>54</v>
      </c>
      <c r="G79" s="561">
        <v>1</v>
      </c>
      <c r="H79" s="539">
        <v>0</v>
      </c>
      <c r="I79" s="574">
        <v>59</v>
      </c>
      <c r="J79" s="556">
        <v>0</v>
      </c>
      <c r="K79" s="539">
        <v>8</v>
      </c>
      <c r="L79" s="539">
        <v>77</v>
      </c>
      <c r="M79" s="539">
        <v>8</v>
      </c>
      <c r="N79" s="539">
        <v>8</v>
      </c>
      <c r="O79" s="539">
        <v>8</v>
      </c>
      <c r="P79" s="539">
        <v>8</v>
      </c>
      <c r="Q79" s="539">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1" style="1030" customWidth="1"/>
    <col min="21" max="21" width="0.140625" style="1030" customWidth="1"/>
    <col min="22" max="23" width="21.7109375" style="1030" hidden="1" customWidth="1"/>
    <col min="24" max="24" width="11.7109375" style="1030" hidden="1" customWidth="1"/>
    <col min="25" max="25" width="3.7109375" style="1030" hidden="1" customWidth="1"/>
    <col min="26" max="26" width="11.7109375" style="1030" hidden="1" customWidth="1"/>
    <col min="27" max="27" width="8.5703125" style="1030" hidden="1" customWidth="1"/>
    <col min="28" max="28" width="5.42578125" style="1030" customWidth="1"/>
    <col min="29" max="30" width="3" style="1030" customWidth="1"/>
    <col min="31" max="31" width="24" style="1030" customWidth="1"/>
    <col min="32" max="32" width="3.7109375" style="1030" customWidth="1"/>
    <col min="33" max="34" width="3" style="1030" customWidth="1"/>
    <col min="35" max="35" width="24" style="1030" customWidth="1"/>
    <col min="36" max="36" width="3.7109375" style="1030" customWidth="1"/>
    <col min="37" max="38" width="3" style="1030" customWidth="1"/>
    <col min="39" max="39" width="18" style="1030" customWidth="1"/>
    <col min="40" max="41" width="21" style="1030" customWidth="1"/>
    <col min="42" max="42" width="11" style="1030" customWidth="1"/>
    <col min="43" max="43" width="3.7109375" style="1030" customWidth="1"/>
    <col min="44" max="44" width="11" style="1030" customWidth="1"/>
    <col min="45" max="45" width="8.5703125" style="1030" hidden="1" customWidth="1"/>
    <col min="46" max="46" width="4" style="1030" customWidth="1"/>
    <col min="47" max="47" width="115" style="1030" customWidth="1"/>
    <col min="48" max="52" width="10" style="1030" customWidth="1"/>
    <col min="53" max="53" width="10.5703125" style="1030" hidden="1"/>
  </cols>
  <sheetData>
    <row r="1" spans="5:53" ht="22.5" hidden="1" customHeight="1">
      <c r="BA1" s="539" t="s">
        <v>14</v>
      </c>
    </row>
    <row r="2" spans="5:53" ht="21" hidden="1" customHeight="1">
      <c r="E2" s="1192">
        <v>1</v>
      </c>
      <c r="R2" s="311"/>
      <c r="S2" s="833" t="e">
        <f>INDEX(PT_DIFFERENTIATION_NUM_NTAR,MATCH(A2,PT_DIFFERENTIATION_NTAR_ID,0))</f>
        <v>#N/A</v>
      </c>
      <c r="T2" s="796" t="s">
        <v>133</v>
      </c>
      <c r="U2" s="834"/>
      <c r="V2" s="1188"/>
      <c r="W2" s="1188"/>
      <c r="X2" s="1188"/>
      <c r="Y2" s="1188"/>
      <c r="Z2" s="1188"/>
      <c r="AA2" s="1189"/>
      <c r="AB2" s="1187" t="e">
        <f>INDEX(PT_DIFFERENTIATION_NTAR,MATCH(A2,PT_DIFFERENTIATION_NTAR_ID,0))</f>
        <v>#N/A</v>
      </c>
      <c r="AC2" s="1188"/>
      <c r="AD2" s="1188"/>
      <c r="AE2" s="1188"/>
      <c r="AF2" s="1188"/>
      <c r="AG2" s="1188"/>
      <c r="AH2" s="1188"/>
      <c r="AI2" s="1188"/>
      <c r="AJ2" s="1188"/>
      <c r="AK2" s="1188"/>
      <c r="AL2" s="1188"/>
      <c r="AM2" s="1188"/>
      <c r="AN2" s="1188"/>
      <c r="AO2" s="1188"/>
      <c r="AP2" s="1188"/>
      <c r="AQ2" s="1188"/>
      <c r="AR2" s="1188"/>
      <c r="AS2" s="1188"/>
      <c r="AT2" s="1189"/>
      <c r="AU2" s="836" t="s">
        <v>404</v>
      </c>
      <c r="AX2" s="583" t="str">
        <f t="shared" ref="AX2:AX8" si="0">IF(T2="","",T2)</f>
        <v>Наименование тарифа</v>
      </c>
      <c r="BA2" s="539">
        <v>0</v>
      </c>
    </row>
    <row r="3" spans="5:53" ht="21" hidden="1" customHeight="1">
      <c r="E3" s="1193"/>
      <c r="F3" s="1192">
        <v>1</v>
      </c>
      <c r="Q3" s="880"/>
      <c r="R3" s="838"/>
      <c r="S3" s="833" t="e">
        <f>INDEX(PT_DIFFERENTIATION_NUM_TER,MATCH(B3,PT_DIFFERENTIATION_TER_ID,0))</f>
        <v>#N/A</v>
      </c>
      <c r="T3" s="839" t="s">
        <v>405</v>
      </c>
      <c r="U3" s="834"/>
      <c r="V3" s="1188"/>
      <c r="W3" s="1188"/>
      <c r="X3" s="1188"/>
      <c r="Y3" s="1188"/>
      <c r="Z3" s="1188"/>
      <c r="AA3" s="1189"/>
      <c r="AB3" s="1187" t="e">
        <f>INDEX(PT_DIFFERENTIATION_TER,MATCH(B3,PT_DIFFERENTIATION_TER_ID,0))</f>
        <v>#N/A</v>
      </c>
      <c r="AC3" s="1188"/>
      <c r="AD3" s="1188"/>
      <c r="AE3" s="1188"/>
      <c r="AF3" s="1188"/>
      <c r="AG3" s="1188"/>
      <c r="AH3" s="1188"/>
      <c r="AI3" s="1188"/>
      <c r="AJ3" s="1188"/>
      <c r="AK3" s="1188"/>
      <c r="AL3" s="1188"/>
      <c r="AM3" s="1188"/>
      <c r="AN3" s="1188"/>
      <c r="AO3" s="1188"/>
      <c r="AP3" s="1188"/>
      <c r="AQ3" s="1188"/>
      <c r="AR3" s="1188"/>
      <c r="AS3" s="1188"/>
      <c r="AT3" s="1189"/>
      <c r="AU3" s="836" t="s">
        <v>406</v>
      </c>
      <c r="AX3" s="583" t="str">
        <f t="shared" si="0"/>
        <v>Территория действия тарифа</v>
      </c>
      <c r="BA3" s="539">
        <v>0</v>
      </c>
    </row>
    <row r="4" spans="5:53" ht="22.5" hidden="1" customHeight="1">
      <c r="E4" s="1193"/>
      <c r="F4" s="1193"/>
      <c r="G4" s="1192">
        <v>1</v>
      </c>
      <c r="Q4" s="880"/>
      <c r="R4" s="838"/>
      <c r="S4" s="833" t="e">
        <f>INDEX(PT_DIFFERENTIATION_NUM_CS,MATCH(C4,PT_DIFFERENTIATION_CS_ID,0))</f>
        <v>#N/A</v>
      </c>
      <c r="T4" s="840" t="s">
        <v>407</v>
      </c>
      <c r="U4" s="834"/>
      <c r="V4" s="1188"/>
      <c r="W4" s="1188"/>
      <c r="X4" s="1188"/>
      <c r="Y4" s="1188"/>
      <c r="Z4" s="1188"/>
      <c r="AA4" s="1189"/>
      <c r="AB4" s="1187" t="e">
        <f>INDEX(PT_DIFFERENTIATION_CS,MATCH(C4,PT_DIFFERENTIATION_CS_ID,0))</f>
        <v>#N/A</v>
      </c>
      <c r="AC4" s="1188"/>
      <c r="AD4" s="1188"/>
      <c r="AE4" s="1188"/>
      <c r="AF4" s="1188"/>
      <c r="AG4" s="1188"/>
      <c r="AH4" s="1188"/>
      <c r="AI4" s="1188"/>
      <c r="AJ4" s="1188"/>
      <c r="AK4" s="1188"/>
      <c r="AL4" s="1188"/>
      <c r="AM4" s="1188"/>
      <c r="AN4" s="1188"/>
      <c r="AO4" s="1188"/>
      <c r="AP4" s="1188"/>
      <c r="AQ4" s="1188"/>
      <c r="AR4" s="1188"/>
      <c r="AS4" s="1188"/>
      <c r="AT4" s="1189"/>
      <c r="AU4" s="836" t="s">
        <v>408</v>
      </c>
      <c r="AX4" s="583" t="str">
        <f t="shared" si="0"/>
        <v xml:space="preserve">Наименование системы теплоснабжения </v>
      </c>
      <c r="BA4" s="539">
        <v>0</v>
      </c>
    </row>
    <row r="5" spans="5:53" ht="21" hidden="1" customHeight="1">
      <c r="E5" s="1193"/>
      <c r="F5" s="1193"/>
      <c r="G5" s="1193"/>
      <c r="H5" s="1192">
        <v>1</v>
      </c>
      <c r="Q5" s="880"/>
      <c r="R5" s="838"/>
      <c r="S5" s="833" t="e">
        <f>INDEX(PT_DIFFERENTIATION_NUM_IST_TE,MATCH(D5,PT_DIFFERENTIATION_IST_TE_ID,0))</f>
        <v>#N/A</v>
      </c>
      <c r="T5" s="841" t="s">
        <v>409</v>
      </c>
      <c r="U5" s="834"/>
      <c r="V5" s="1188"/>
      <c r="W5" s="1188"/>
      <c r="X5" s="1188"/>
      <c r="Y5" s="1188"/>
      <c r="Z5" s="1188"/>
      <c r="AA5" s="1189"/>
      <c r="AB5" s="1187" t="e">
        <f>INDEX(PT_DIFFERENTIATION_IST_TE,MATCH(D5,PT_DIFFERENTIATION_IST_TE_ID,0))</f>
        <v>#N/A</v>
      </c>
      <c r="AC5" s="1188"/>
      <c r="AD5" s="1188"/>
      <c r="AE5" s="1188"/>
      <c r="AF5" s="1188"/>
      <c r="AG5" s="1188"/>
      <c r="AH5" s="1188"/>
      <c r="AI5" s="1188"/>
      <c r="AJ5" s="1188"/>
      <c r="AK5" s="1188"/>
      <c r="AL5" s="1188"/>
      <c r="AM5" s="1188"/>
      <c r="AN5" s="1188"/>
      <c r="AO5" s="1188"/>
      <c r="AP5" s="1188"/>
      <c r="AQ5" s="1188"/>
      <c r="AR5" s="1188"/>
      <c r="AS5" s="1188"/>
      <c r="AT5" s="1189"/>
      <c r="AU5" s="836" t="s">
        <v>410</v>
      </c>
      <c r="AX5" s="583" t="str">
        <f t="shared" si="0"/>
        <v xml:space="preserve">Источник тепловой энергии  </v>
      </c>
      <c r="BA5" s="539">
        <v>0</v>
      </c>
    </row>
    <row r="6" spans="5:53" ht="0.75" hidden="1" customHeight="1">
      <c r="E6" s="1193"/>
      <c r="F6" s="1193"/>
      <c r="G6" s="1193"/>
      <c r="H6" s="1193"/>
      <c r="I6" s="1194" t="e">
        <f>S5&amp;".1"</f>
        <v>#N/A</v>
      </c>
      <c r="L6" s="864" t="s">
        <v>411</v>
      </c>
      <c r="P6" s="1196">
        <v>1</v>
      </c>
      <c r="R6" s="843"/>
      <c r="S6" s="636"/>
      <c r="T6" s="860"/>
      <c r="U6" s="861"/>
      <c r="V6" s="1224"/>
      <c r="W6" s="1224"/>
      <c r="X6" s="1224"/>
      <c r="Y6" s="1224"/>
      <c r="Z6" s="1224"/>
      <c r="AA6" s="1225"/>
      <c r="AB6" s="1223"/>
      <c r="AC6" s="1224"/>
      <c r="AD6" s="1224"/>
      <c r="AE6" s="1224"/>
      <c r="AF6" s="1224"/>
      <c r="AG6" s="1224"/>
      <c r="AH6" s="1224"/>
      <c r="AI6" s="1224"/>
      <c r="AJ6" s="1224"/>
      <c r="AK6" s="1224"/>
      <c r="AL6" s="1224"/>
      <c r="AM6" s="1224"/>
      <c r="AN6" s="1224"/>
      <c r="AO6" s="1224"/>
      <c r="AP6" s="1224"/>
      <c r="AQ6" s="1224"/>
      <c r="AR6" s="1224"/>
      <c r="AS6" s="1224"/>
      <c r="AT6" s="1225"/>
      <c r="AU6" s="863"/>
      <c r="AX6" s="583" t="str">
        <f t="shared" si="0"/>
        <v/>
      </c>
      <c r="BA6" s="578">
        <v>0</v>
      </c>
    </row>
    <row r="7" spans="5:53" ht="0.75" hidden="1" customHeight="1">
      <c r="E7" s="1193"/>
      <c r="F7" s="1193"/>
      <c r="G7" s="1193"/>
      <c r="H7" s="1193"/>
      <c r="I7" s="1195"/>
      <c r="J7" s="1194" t="e">
        <f>S5&amp;".1"</f>
        <v>#N/A</v>
      </c>
      <c r="P7" s="1038"/>
      <c r="Q7" s="1196">
        <v>1</v>
      </c>
      <c r="R7" s="845"/>
      <c r="S7" s="636"/>
      <c r="T7" s="881"/>
      <c r="U7" s="861"/>
      <c r="V7" s="1224"/>
      <c r="W7" s="1224"/>
      <c r="X7" s="1224"/>
      <c r="Y7" s="1224"/>
      <c r="Z7" s="1224"/>
      <c r="AA7" s="1225"/>
      <c r="AB7" s="1223"/>
      <c r="AC7" s="1224"/>
      <c r="AD7" s="1224"/>
      <c r="AE7" s="1224"/>
      <c r="AF7" s="1224"/>
      <c r="AG7" s="1224"/>
      <c r="AH7" s="1224"/>
      <c r="AI7" s="1224"/>
      <c r="AJ7" s="1224"/>
      <c r="AK7" s="1224"/>
      <c r="AL7" s="1224"/>
      <c r="AM7" s="1224"/>
      <c r="AN7" s="1224"/>
      <c r="AO7" s="1224"/>
      <c r="AP7" s="1224"/>
      <c r="AQ7" s="1224"/>
      <c r="AR7" s="1224"/>
      <c r="AS7" s="1224"/>
      <c r="AT7" s="1225"/>
      <c r="AU7" s="863"/>
      <c r="AX7" s="583" t="str">
        <f t="shared" si="0"/>
        <v/>
      </c>
      <c r="BA7" s="578">
        <v>0</v>
      </c>
    </row>
    <row r="8" spans="5:53" ht="21" hidden="1" customHeight="1">
      <c r="E8" s="1193"/>
      <c r="F8" s="1193"/>
      <c r="G8" s="1193"/>
      <c r="H8" s="1193"/>
      <c r="I8" s="1195"/>
      <c r="J8" s="1195"/>
      <c r="K8" s="1194" t="e">
        <f>S5&amp;".1"</f>
        <v>#N/A</v>
      </c>
      <c r="P8" s="1038"/>
      <c r="Q8" s="1038"/>
      <c r="R8" s="1252">
        <v>1</v>
      </c>
      <c r="S8" s="1249" t="e">
        <f>$K8</f>
        <v>#N/A</v>
      </c>
      <c r="T8" s="1246"/>
      <c r="U8" s="834"/>
      <c r="V8" s="312"/>
      <c r="W8" s="314"/>
      <c r="X8" s="1197"/>
      <c r="Y8" s="1079" t="s">
        <v>61</v>
      </c>
      <c r="Z8" s="1197"/>
      <c r="AA8" s="1079" t="s">
        <v>61</v>
      </c>
      <c r="AB8" s="1079" t="s">
        <v>19</v>
      </c>
      <c r="AC8" s="1245"/>
      <c r="AD8" s="1151">
        <v>1</v>
      </c>
      <c r="AE8" s="1259"/>
      <c r="AF8" s="1079" t="s">
        <v>19</v>
      </c>
      <c r="AG8" s="1245"/>
      <c r="AH8" s="1151">
        <v>1</v>
      </c>
      <c r="AI8" s="1259"/>
      <c r="AJ8" s="1079" t="s">
        <v>19</v>
      </c>
      <c r="AK8" s="883"/>
      <c r="AL8" s="92">
        <v>1</v>
      </c>
      <c r="AM8" s="569"/>
      <c r="AN8" s="312"/>
      <c r="AO8" s="314"/>
      <c r="AP8" s="203"/>
      <c r="AQ8" s="56" t="s">
        <v>61</v>
      </c>
      <c r="AR8" s="203"/>
      <c r="AS8" s="56" t="s">
        <v>61</v>
      </c>
      <c r="AT8" s="332"/>
      <c r="AU8" s="1215" t="s">
        <v>472</v>
      </c>
      <c r="AV8" s="578" t="e">
        <f ca="1">STRCHECKDATE(V11:AT11)</f>
        <v>#NAME?</v>
      </c>
      <c r="AX8" s="583" t="str">
        <f t="shared" si="0"/>
        <v/>
      </c>
      <c r="BA8" s="539">
        <v>0</v>
      </c>
    </row>
    <row r="9" spans="5:53" ht="11.25" hidden="1" customHeight="1">
      <c r="E9" s="1193"/>
      <c r="F9" s="1193"/>
      <c r="G9" s="1193"/>
      <c r="H9" s="1193"/>
      <c r="I9" s="1195"/>
      <c r="J9" s="1195"/>
      <c r="K9" s="1194"/>
      <c r="P9" s="1038"/>
      <c r="Q9" s="1038"/>
      <c r="R9" s="1252"/>
      <c r="S9" s="1250"/>
      <c r="T9" s="1247"/>
      <c r="U9" s="834"/>
      <c r="V9" s="345"/>
      <c r="W9" s="351"/>
      <c r="X9" s="1197"/>
      <c r="Y9" s="1079"/>
      <c r="Z9" s="1197"/>
      <c r="AA9" s="1079"/>
      <c r="AB9" s="1079"/>
      <c r="AC9" s="1245"/>
      <c r="AD9" s="1151"/>
      <c r="AE9" s="1259"/>
      <c r="AF9" s="1079"/>
      <c r="AG9" s="1245"/>
      <c r="AH9" s="1151"/>
      <c r="AI9" s="1259"/>
      <c r="AJ9" s="1079"/>
      <c r="AK9" s="265"/>
      <c r="AL9" s="49"/>
      <c r="AM9" s="44" t="s">
        <v>473</v>
      </c>
      <c r="AN9" s="345"/>
      <c r="AO9" s="352"/>
      <c r="AP9" s="345"/>
      <c r="AQ9" s="345"/>
      <c r="AR9" s="345"/>
      <c r="AS9" s="345"/>
      <c r="AT9" s="353"/>
      <c r="AU9" s="1216"/>
      <c r="BA9" s="539">
        <v>0</v>
      </c>
    </row>
    <row r="10" spans="5:53" ht="11.25" hidden="1" customHeight="1">
      <c r="E10" s="1193"/>
      <c r="F10" s="1193"/>
      <c r="G10" s="1193"/>
      <c r="H10" s="1193"/>
      <c r="I10" s="1195"/>
      <c r="J10" s="1195"/>
      <c r="K10" s="1194"/>
      <c r="P10" s="1038"/>
      <c r="Q10" s="1038"/>
      <c r="R10" s="1252"/>
      <c r="S10" s="1250"/>
      <c r="T10" s="1247"/>
      <c r="U10" s="834"/>
      <c r="V10" s="345"/>
      <c r="W10" s="351"/>
      <c r="X10" s="1197"/>
      <c r="Y10" s="1079"/>
      <c r="Z10" s="1197"/>
      <c r="AA10" s="1079"/>
      <c r="AB10" s="1079"/>
      <c r="AC10" s="1245"/>
      <c r="AD10" s="1151"/>
      <c r="AE10" s="1259"/>
      <c r="AF10" s="1079"/>
      <c r="AG10" s="354"/>
      <c r="AH10" s="44"/>
      <c r="AI10" s="44" t="s">
        <v>474</v>
      </c>
      <c r="AJ10" s="345"/>
      <c r="AK10" s="345"/>
      <c r="AL10" s="345"/>
      <c r="AM10" s="345"/>
      <c r="AN10" s="345"/>
      <c r="AO10" s="352"/>
      <c r="AP10" s="345"/>
      <c r="AQ10" s="345"/>
      <c r="AR10" s="345"/>
      <c r="AS10" s="345"/>
      <c r="AT10" s="353"/>
      <c r="AU10" s="1216"/>
      <c r="BA10" s="539">
        <v>0</v>
      </c>
    </row>
    <row r="11" spans="5:53" ht="11.25" hidden="1" customHeight="1">
      <c r="E11" s="1193"/>
      <c r="F11" s="1193"/>
      <c r="G11" s="1193"/>
      <c r="H11" s="1193"/>
      <c r="I11" s="1195"/>
      <c r="J11" s="1195"/>
      <c r="K11" s="1194"/>
      <c r="P11" s="1038"/>
      <c r="Q11" s="1038"/>
      <c r="R11" s="1252"/>
      <c r="S11" s="1251"/>
      <c r="T11" s="1248"/>
      <c r="U11" s="834"/>
      <c r="V11" s="345"/>
      <c r="W11" s="355" t="str">
        <f>X8&amp;"-"&amp;Z8</f>
        <v>-</v>
      </c>
      <c r="X11" s="1198"/>
      <c r="Y11" s="1079"/>
      <c r="Z11" s="1198"/>
      <c r="AA11" s="1079"/>
      <c r="AB11" s="1079"/>
      <c r="AC11" s="356"/>
      <c r="AD11" s="357"/>
      <c r="AE11" s="44" t="s">
        <v>475</v>
      </c>
      <c r="AF11" s="345"/>
      <c r="AG11" s="345"/>
      <c r="AH11" s="345"/>
      <c r="AI11" s="345"/>
      <c r="AJ11" s="345"/>
      <c r="AK11" s="345"/>
      <c r="AL11" s="345"/>
      <c r="AM11" s="345"/>
      <c r="AN11" s="345"/>
      <c r="AO11" s="346" t="str">
        <f>AP8&amp;"-"&amp;AR8</f>
        <v>-</v>
      </c>
      <c r="AP11" s="345"/>
      <c r="AQ11" s="345"/>
      <c r="AR11" s="345"/>
      <c r="AS11" s="345"/>
      <c r="AT11" s="333"/>
      <c r="AU11" s="1216"/>
      <c r="AX11" s="583" t="str">
        <f t="shared" ref="AX11:AX17" si="1">IF(T11="","",T11)</f>
        <v/>
      </c>
      <c r="BA11" s="539">
        <v>0</v>
      </c>
    </row>
    <row r="12" spans="5:53" ht="11.25" hidden="1" customHeight="1">
      <c r="E12" s="1193"/>
      <c r="F12" s="1193"/>
      <c r="G12" s="1193"/>
      <c r="H12" s="1193"/>
      <c r="I12" s="1195"/>
      <c r="J12" s="1194"/>
      <c r="P12" s="1038"/>
      <c r="Q12" s="1038"/>
      <c r="R12" s="843"/>
      <c r="S12" s="316"/>
      <c r="T12" s="319" t="s">
        <v>476</v>
      </c>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318"/>
      <c r="AU12" s="1217"/>
      <c r="AX12" s="583" t="str">
        <f t="shared" si="1"/>
        <v>Добавить строку</v>
      </c>
      <c r="BA12" s="539">
        <v>0</v>
      </c>
    </row>
    <row r="13" spans="5:53" ht="0.75" hidden="1" customHeight="1">
      <c r="E13" s="1193"/>
      <c r="F13" s="1193"/>
      <c r="G13" s="1193"/>
      <c r="H13" s="1193"/>
      <c r="I13" s="1194"/>
      <c r="P13" s="1038"/>
      <c r="R13" s="843"/>
      <c r="S13" s="335"/>
      <c r="T13" s="33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8"/>
      <c r="AX13" s="583" t="str">
        <f t="shared" si="1"/>
        <v/>
      </c>
      <c r="BA13" s="578">
        <v>0</v>
      </c>
    </row>
    <row r="14" spans="5:53" ht="0.75" hidden="1" customHeight="1">
      <c r="E14" s="1193"/>
      <c r="F14" s="1193"/>
      <c r="G14" s="1193"/>
      <c r="H14" s="1192"/>
      <c r="R14" s="358"/>
      <c r="S14" s="335"/>
      <c r="T14" s="336"/>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8"/>
      <c r="AX14" s="583" t="str">
        <f t="shared" si="1"/>
        <v/>
      </c>
      <c r="BA14" s="578">
        <v>0</v>
      </c>
    </row>
    <row r="15" spans="5:53" ht="0.75" hidden="1" customHeight="1">
      <c r="E15" s="1193"/>
      <c r="F15" s="1193"/>
      <c r="G15" s="1192"/>
      <c r="T15" s="327" t="s">
        <v>422</v>
      </c>
      <c r="AX15" s="583" t="str">
        <f t="shared" si="1"/>
        <v>Добавить источник для дифференциации</v>
      </c>
      <c r="BA15" s="578">
        <v>0</v>
      </c>
    </row>
    <row r="16" spans="5:53" ht="0.75" hidden="1" customHeight="1">
      <c r="E16" s="1193"/>
      <c r="F16" s="1192"/>
      <c r="T16" s="327" t="s">
        <v>423</v>
      </c>
      <c r="AX16" s="583" t="str">
        <f t="shared" si="1"/>
        <v>Добавить централизованную систему для дифференциации</v>
      </c>
      <c r="BA16" s="578">
        <v>0</v>
      </c>
    </row>
    <row r="17" spans="5:53" ht="0.75" hidden="1" customHeight="1">
      <c r="E17" s="1192"/>
      <c r="T17" s="327" t="s">
        <v>424</v>
      </c>
      <c r="AX17" s="583" t="str">
        <f t="shared" si="1"/>
        <v>Добавить территорию для дифференциации</v>
      </c>
      <c r="BA17" s="578">
        <v>0</v>
      </c>
    </row>
    <row r="18" spans="5:53" ht="14.25" hidden="1" customHeight="1">
      <c r="BA18" s="539">
        <v>0</v>
      </c>
    </row>
    <row r="19" spans="5:53" ht="14.25" hidden="1" customHeight="1">
      <c r="AB19" s="359" t="s">
        <v>19</v>
      </c>
      <c r="AD19" s="359">
        <v>1</v>
      </c>
      <c r="AF19" s="359" t="s">
        <v>19</v>
      </c>
      <c r="AH19" s="359">
        <v>1</v>
      </c>
      <c r="AJ19" s="359" t="s">
        <v>19</v>
      </c>
      <c r="AL19" s="359">
        <v>1</v>
      </c>
      <c r="AM19" s="884"/>
      <c r="AN19" s="266"/>
      <c r="AO19" s="360"/>
      <c r="AP19" s="361"/>
      <c r="AQ19" s="286" t="s">
        <v>61</v>
      </c>
      <c r="AR19" s="361"/>
      <c r="AS19" s="286" t="s">
        <v>61</v>
      </c>
      <c r="BA19" s="539">
        <v>0</v>
      </c>
    </row>
    <row r="20" spans="5:53" ht="14.25" hidden="1" customHeight="1">
      <c r="BA20" s="539">
        <v>0</v>
      </c>
    </row>
    <row r="21" spans="5:53" ht="14.25" hidden="1" customHeight="1">
      <c r="O21" s="329" t="s">
        <v>425</v>
      </c>
      <c r="X21" s="349"/>
      <c r="Z21" s="349"/>
      <c r="AP21" s="349"/>
      <c r="AR21" s="349"/>
      <c r="BA21" s="539">
        <v>0</v>
      </c>
    </row>
    <row r="22" spans="5:53" ht="14.25" hidden="1" customHeight="1">
      <c r="BA22" s="539">
        <v>0</v>
      </c>
    </row>
    <row r="23" spans="5:53" ht="14.25" hidden="1" customHeight="1">
      <c r="O23" s="885" t="s">
        <v>426</v>
      </c>
      <c r="Y23" s="885" t="s">
        <v>428</v>
      </c>
      <c r="AA23" s="885" t="s">
        <v>429</v>
      </c>
      <c r="AB23" s="885" t="s">
        <v>477</v>
      </c>
      <c r="AE23" s="885" t="s">
        <v>478</v>
      </c>
      <c r="AF23" s="885" t="s">
        <v>477</v>
      </c>
      <c r="AI23" s="885" t="s">
        <v>479</v>
      </c>
      <c r="AJ23" s="885" t="s">
        <v>477</v>
      </c>
      <c r="AM23" s="885" t="s">
        <v>480</v>
      </c>
      <c r="AQ23" s="885" t="s">
        <v>428</v>
      </c>
      <c r="AS23" s="885" t="s">
        <v>429</v>
      </c>
      <c r="BA23" s="885">
        <v>0</v>
      </c>
    </row>
    <row r="24" spans="5:53" ht="14.25" hidden="1" customHeight="1">
      <c r="BA24" s="539">
        <v>0</v>
      </c>
    </row>
    <row r="25" spans="5:53" ht="14.25" hidden="1" customHeight="1">
      <c r="BA25" s="539">
        <v>0</v>
      </c>
    </row>
    <row r="26" spans="5:53" ht="14.65" customHeight="1">
      <c r="Q26" s="886"/>
      <c r="R26" s="757"/>
      <c r="S26" s="848"/>
      <c r="T26" s="557"/>
      <c r="U26" s="557"/>
      <c r="BA26" s="539">
        <v>14</v>
      </c>
    </row>
    <row r="27" spans="5:53" ht="27.4" customHeight="1">
      <c r="Q27" s="886"/>
      <c r="R27" s="757"/>
      <c r="S27" s="1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174"/>
      <c r="U27" s="1174"/>
      <c r="V27" s="1174"/>
      <c r="W27" s="1174"/>
      <c r="X27" s="1174"/>
      <c r="Y27" s="1174"/>
      <c r="Z27" s="1174"/>
      <c r="AA27" s="1174"/>
      <c r="AB27" s="1174"/>
      <c r="AC27" s="1174"/>
      <c r="AD27" s="1174"/>
      <c r="AE27" s="1174"/>
      <c r="AF27" s="1174"/>
      <c r="AG27" s="1174"/>
      <c r="AH27" s="1174"/>
      <c r="AI27" s="1174"/>
      <c r="AJ27" s="1174"/>
      <c r="AK27" s="1174"/>
      <c r="AL27" s="1174"/>
      <c r="AM27" s="1174"/>
      <c r="AN27" s="1174"/>
      <c r="AO27" s="1174"/>
      <c r="AP27" s="1174"/>
      <c r="AQ27" s="1174"/>
      <c r="AR27" s="1174"/>
      <c r="BA27" s="539">
        <v>26</v>
      </c>
    </row>
    <row r="28" spans="5:53" ht="14.65" customHeight="1">
      <c r="Q28" s="886"/>
      <c r="R28" s="757"/>
      <c r="S28" s="1148" t="str">
        <f>IF(org=0,"Не определено",org)</f>
        <v>АО "НИЖЕГОРОДСКИЙ ВОДОКАНАЛ"</v>
      </c>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BA28" s="539">
        <v>14</v>
      </c>
    </row>
    <row r="29" spans="5:53" ht="14.25" hidden="1" customHeight="1">
      <c r="Q29" s="886"/>
      <c r="R29" s="757"/>
      <c r="S29" s="848"/>
      <c r="T29" s="557"/>
      <c r="U29" s="55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BA29" s="539">
        <v>0</v>
      </c>
    </row>
    <row r="30" spans="5:53" ht="25.5" hidden="1" customHeight="1">
      <c r="S30" s="1184" t="s">
        <v>41</v>
      </c>
      <c r="T30" s="1184"/>
      <c r="U30" s="850"/>
      <c r="V30" s="1186" t="str">
        <f>IF(TITLE_NAME_OR_PR_CHANGE="",IF(TITLE_NAME_OR_PR="","",TITLE_NAME_OR_PR),TITLE_NAME_OR_PR_CHANGE)</f>
        <v/>
      </c>
      <c r="W30" s="1186"/>
      <c r="X30" s="1186"/>
      <c r="Y30" s="1186"/>
      <c r="Z30" s="1186"/>
      <c r="AB30" s="1186" t="str">
        <f>IF(TITLE_NAME_OR_PR_CHANGE="",IF(TITLE_NAME_OR_PR="","",TITLE_NAME_OR_PR),TITLE_NAME_OR_PR_CHANGE)</f>
        <v/>
      </c>
      <c r="AC30" s="1186"/>
      <c r="AD30" s="1186"/>
      <c r="AE30" s="1186"/>
      <c r="AF30" s="1186"/>
      <c r="AG30" s="1186"/>
      <c r="AH30" s="1186"/>
      <c r="AI30" s="1186"/>
      <c r="AJ30" s="1186"/>
      <c r="AK30" s="1186"/>
      <c r="AL30" s="1186"/>
      <c r="AM30" s="1186"/>
      <c r="AN30" s="1186"/>
      <c r="AO30" s="1186"/>
      <c r="AP30" s="1186"/>
      <c r="AQ30" s="1186"/>
      <c r="AR30" s="1186"/>
      <c r="BA30" s="593">
        <v>0</v>
      </c>
    </row>
    <row r="31" spans="5:53" ht="18.75" hidden="1" customHeight="1">
      <c r="S31" s="1184" t="s">
        <v>431</v>
      </c>
      <c r="T31" s="1184"/>
      <c r="U31" s="850"/>
      <c r="V31" s="1185" t="str">
        <f>IF(TITLE_DATE_PR_CHANGE="",IF(TITLE_DATE_PR="","",TITLE_DATE_PR),TITLE_DATE_PR_CHANGE)</f>
        <v/>
      </c>
      <c r="W31" s="1185"/>
      <c r="X31" s="1185"/>
      <c r="Y31" s="1185"/>
      <c r="Z31" s="1185"/>
      <c r="AB31" s="1185" t="str">
        <f>IF(TITLE_DATE_PR_CHANGE="",IF(TITLE_DATE_PR="","",TITLE_DATE_PR),TITLE_DATE_PR_CHANGE)</f>
        <v/>
      </c>
      <c r="AC31" s="1185"/>
      <c r="AD31" s="1185"/>
      <c r="AE31" s="1185"/>
      <c r="AF31" s="1185"/>
      <c r="AG31" s="1185"/>
      <c r="AH31" s="1185"/>
      <c r="AI31" s="1185"/>
      <c r="AJ31" s="1185"/>
      <c r="AK31" s="1185"/>
      <c r="AL31" s="1185"/>
      <c r="AM31" s="1185"/>
      <c r="AN31" s="1185"/>
      <c r="AO31" s="1185"/>
      <c r="AP31" s="1185"/>
      <c r="AQ31" s="1185"/>
      <c r="AR31" s="1185"/>
      <c r="BA31" s="593">
        <v>0</v>
      </c>
    </row>
    <row r="32" spans="5:53" ht="18.75" hidden="1" customHeight="1">
      <c r="S32" s="1184" t="s">
        <v>432</v>
      </c>
      <c r="T32" s="1184"/>
      <c r="U32" s="850"/>
      <c r="V32" s="1186" t="str">
        <f>IF(TITLE_NUMBER_PR_CHANGE="",IF(TITLE_NUMBER_PR="","",TITLE_NUMBER_PR),TITLE_NUMBER_PR_CHANGE)</f>
        <v/>
      </c>
      <c r="W32" s="1186"/>
      <c r="X32" s="1186"/>
      <c r="Y32" s="1186"/>
      <c r="Z32" s="1186"/>
      <c r="AB32" s="1186" t="str">
        <f>IF(TITLE_NUMBER_PR_CHANGE="",IF(TITLE_NUMBER_PR="","",TITLE_NUMBER_PR),TITLE_NUMBER_PR_CHANGE)</f>
        <v/>
      </c>
      <c r="AC32" s="1186"/>
      <c r="AD32" s="1186"/>
      <c r="AE32" s="1186"/>
      <c r="AF32" s="1186"/>
      <c r="AG32" s="1186"/>
      <c r="AH32" s="1186"/>
      <c r="AI32" s="1186"/>
      <c r="AJ32" s="1186"/>
      <c r="AK32" s="1186"/>
      <c r="AL32" s="1186"/>
      <c r="AM32" s="1186"/>
      <c r="AN32" s="1186"/>
      <c r="AO32" s="1186"/>
      <c r="AP32" s="1186"/>
      <c r="AQ32" s="1186"/>
      <c r="AR32" s="1186"/>
      <c r="BA32" s="593">
        <v>0</v>
      </c>
    </row>
    <row r="33" spans="1:53" ht="18.75" hidden="1" customHeight="1">
      <c r="S33" s="1184" t="s">
        <v>42</v>
      </c>
      <c r="T33" s="1184"/>
      <c r="U33" s="850"/>
      <c r="V33" s="1186" t="str">
        <f>IF(TITLE_IST_PUB_CHANGE="",IF(TITLE_IST_PUB="","",TITLE_IST_PUB),TITLE_IST_PUB_CHANGE)</f>
        <v/>
      </c>
      <c r="W33" s="1186"/>
      <c r="X33" s="1186"/>
      <c r="Y33" s="1186"/>
      <c r="Z33" s="1186"/>
      <c r="AB33" s="1186" t="str">
        <f>IF(TITLE_IST_PUB_CHANGE="",IF(TITLE_IST_PUB="","",TITLE_IST_PUB),TITLE_IST_PUB_CHANGE)</f>
        <v/>
      </c>
      <c r="AC33" s="1186"/>
      <c r="AD33" s="1186"/>
      <c r="AE33" s="1186"/>
      <c r="AF33" s="1186"/>
      <c r="AG33" s="1186"/>
      <c r="AH33" s="1186"/>
      <c r="AI33" s="1186"/>
      <c r="AJ33" s="1186"/>
      <c r="AK33" s="1186"/>
      <c r="AL33" s="1186"/>
      <c r="AM33" s="1186"/>
      <c r="AN33" s="1186"/>
      <c r="AO33" s="1186"/>
      <c r="AP33" s="1186"/>
      <c r="AQ33" s="1186"/>
      <c r="AR33" s="1186"/>
      <c r="BA33" s="593">
        <v>0</v>
      </c>
    </row>
    <row r="34" spans="1:53" ht="14.25" hidden="1" customHeight="1">
      <c r="Q34" s="886"/>
      <c r="R34" s="757"/>
      <c r="S34" s="848"/>
      <c r="T34" s="557"/>
      <c r="U34" s="55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BA34" s="539">
        <v>0</v>
      </c>
    </row>
    <row r="35" spans="1:53" ht="18.75" hidden="1" customHeight="1">
      <c r="S35" s="1184" t="s">
        <v>431</v>
      </c>
      <c r="T35" s="1184"/>
      <c r="U35" s="850"/>
      <c r="V35" s="1185" t="str">
        <f>IF(TITLE_DATE_PR_CHANGE="",IF(TITLE_DATE_PR="","",TITLE_DATE_PR),TITLE_DATE_PR_CHANGE)</f>
        <v/>
      </c>
      <c r="W35" s="1185"/>
      <c r="X35" s="1185"/>
      <c r="Y35" s="1185"/>
      <c r="Z35" s="1185"/>
      <c r="AB35" s="1185" t="str">
        <f>IF(TITLE_DATE_PR_CHANGE="",IF(TITLE_DATE_PR="","",TITLE_DATE_PR),TITLE_DATE_PR_CHANGE)</f>
        <v/>
      </c>
      <c r="AC35" s="1185"/>
      <c r="AD35" s="1185"/>
      <c r="AE35" s="1185"/>
      <c r="AF35" s="1185"/>
      <c r="AG35" s="1185"/>
      <c r="AH35" s="1185"/>
      <c r="AI35" s="1185"/>
      <c r="AJ35" s="1185"/>
      <c r="AK35" s="1185"/>
      <c r="AL35" s="1185"/>
      <c r="AM35" s="1185"/>
      <c r="AN35" s="1185"/>
      <c r="AO35" s="1185"/>
      <c r="AP35" s="1185"/>
      <c r="AQ35" s="1185"/>
      <c r="AR35" s="1185"/>
      <c r="BA35" s="593">
        <v>0</v>
      </c>
    </row>
    <row r="36" spans="1:53" ht="18" hidden="1" customHeight="1">
      <c r="S36" s="1184" t="s">
        <v>432</v>
      </c>
      <c r="T36" s="1184"/>
      <c r="U36" s="850"/>
      <c r="V36" s="1186" t="str">
        <f>IF(TITLE_NUMBER_PR_CHANGE="",IF(TITLE_NUMBER_PR="","",TITLE_NUMBER_PR),TITLE_NUMBER_PR_CHANGE)</f>
        <v/>
      </c>
      <c r="W36" s="1186"/>
      <c r="X36" s="1186"/>
      <c r="Y36" s="1186"/>
      <c r="Z36" s="1186"/>
      <c r="AB36" s="1186" t="str">
        <f>IF(TITLE_NUMBER_PR_CHANGE="",IF(TITLE_NUMBER_PR="","",TITLE_NUMBER_PR),TITLE_NUMBER_PR_CHANGE)</f>
        <v/>
      </c>
      <c r="AC36" s="1186"/>
      <c r="AD36" s="1186"/>
      <c r="AE36" s="1186"/>
      <c r="AF36" s="1186"/>
      <c r="AG36" s="1186"/>
      <c r="AH36" s="1186"/>
      <c r="AI36" s="1186"/>
      <c r="AJ36" s="1186"/>
      <c r="AK36" s="1186"/>
      <c r="AL36" s="1186"/>
      <c r="AM36" s="1186"/>
      <c r="AN36" s="1186"/>
      <c r="AO36" s="1186"/>
      <c r="AP36" s="1186"/>
      <c r="AQ36" s="1186"/>
      <c r="AR36" s="1186"/>
      <c r="BA36" s="593">
        <v>0</v>
      </c>
    </row>
    <row r="37" spans="1:53" ht="1.1499999999999999" customHeight="1">
      <c r="AA37" s="578" t="s">
        <v>435</v>
      </c>
      <c r="AS37" s="578" t="s">
        <v>435</v>
      </c>
      <c r="BA37" s="593">
        <v>1</v>
      </c>
    </row>
    <row r="38" spans="1:53" ht="14.65" customHeight="1">
      <c r="Q38" s="886"/>
      <c r="R38" s="757"/>
      <c r="S38" s="848"/>
      <c r="T38" s="557"/>
      <c r="U38" s="851"/>
      <c r="V38" s="1204"/>
      <c r="W38" s="1204"/>
      <c r="X38" s="1204"/>
      <c r="Y38" s="1204"/>
      <c r="Z38" s="1204"/>
      <c r="AA38" s="1204"/>
      <c r="AB38" s="1204"/>
      <c r="AC38" s="1204"/>
      <c r="AD38" s="1204"/>
      <c r="AE38" s="1204"/>
      <c r="AF38" s="1204"/>
      <c r="AG38" s="1204"/>
      <c r="AH38" s="1204"/>
      <c r="AI38" s="1204"/>
      <c r="AJ38" s="1204"/>
      <c r="AK38" s="1204"/>
      <c r="AL38" s="1204"/>
      <c r="AM38" s="1204"/>
      <c r="AN38" s="1204"/>
      <c r="AO38" s="1204"/>
      <c r="AP38" s="1204"/>
      <c r="AQ38" s="1204"/>
      <c r="AR38" s="1204"/>
      <c r="AS38" s="1204"/>
      <c r="BA38" s="539">
        <v>14</v>
      </c>
    </row>
    <row r="39" spans="1:53" ht="14.65" customHeight="1">
      <c r="Q39" s="886"/>
      <c r="R39" s="757"/>
      <c r="S39" s="1070" t="s">
        <v>308</v>
      </c>
      <c r="T39" s="1070"/>
      <c r="U39" s="1070"/>
      <c r="V39" s="1070"/>
      <c r="W39" s="1070"/>
      <c r="X39" s="1070"/>
      <c r="Y39" s="1070"/>
      <c r="Z39" s="1070"/>
      <c r="AA39" s="1070"/>
      <c r="AB39" s="1128"/>
      <c r="AC39" s="1128"/>
      <c r="AD39" s="1128"/>
      <c r="AE39" s="1128"/>
      <c r="AF39" s="1070"/>
      <c r="AG39" s="1070"/>
      <c r="AH39" s="1070"/>
      <c r="AI39" s="1070"/>
      <c r="AJ39" s="1070"/>
      <c r="AK39" s="1070"/>
      <c r="AL39" s="1070"/>
      <c r="AM39" s="1070"/>
      <c r="AN39" s="1070"/>
      <c r="AO39" s="1070"/>
      <c r="AP39" s="1070"/>
      <c r="AQ39" s="1070"/>
      <c r="AR39" s="1070"/>
      <c r="AS39" s="1070"/>
      <c r="AT39" s="1070"/>
      <c r="AU39" s="1070" t="s">
        <v>309</v>
      </c>
      <c r="BA39" s="539">
        <v>14</v>
      </c>
    </row>
    <row r="40" spans="1:53" ht="14.65" customHeight="1">
      <c r="Q40" s="886"/>
      <c r="R40" s="757"/>
      <c r="S40" s="1205" t="s">
        <v>87</v>
      </c>
      <c r="T40" s="1155" t="s">
        <v>481</v>
      </c>
      <c r="U40" s="818"/>
      <c r="V40" s="1207"/>
      <c r="W40" s="1207"/>
      <c r="X40" s="1207"/>
      <c r="Y40" s="1207"/>
      <c r="Z40" s="1208"/>
      <c r="AA40" s="1254" t="s">
        <v>438</v>
      </c>
      <c r="AB40" s="1238" t="s">
        <v>482</v>
      </c>
      <c r="AC40" s="1222"/>
      <c r="AD40" s="1222"/>
      <c r="AE40" s="1239"/>
      <c r="AF40" s="1222" t="s">
        <v>483</v>
      </c>
      <c r="AG40" s="1222"/>
      <c r="AH40" s="1222"/>
      <c r="AI40" s="1239"/>
      <c r="AJ40" s="1238" t="s">
        <v>484</v>
      </c>
      <c r="AK40" s="1222"/>
      <c r="AL40" s="1222"/>
      <c r="AM40" s="1239"/>
      <c r="AN40" s="1238" t="s">
        <v>437</v>
      </c>
      <c r="AO40" s="1222"/>
      <c r="AP40" s="1207"/>
      <c r="AQ40" s="1207"/>
      <c r="AR40" s="1208"/>
      <c r="AS40" s="1209" t="s">
        <v>438</v>
      </c>
      <c r="AT40" s="1212" t="s">
        <v>440</v>
      </c>
      <c r="AU40" s="1070"/>
      <c r="BA40" s="539">
        <v>14</v>
      </c>
    </row>
    <row r="41" spans="1:53" ht="35.65" customHeight="1">
      <c r="Q41" s="886"/>
      <c r="R41" s="757"/>
      <c r="S41" s="1205"/>
      <c r="T41" s="1155"/>
      <c r="U41" s="823"/>
      <c r="V41" s="1070" t="s">
        <v>485</v>
      </c>
      <c r="W41" s="1070"/>
      <c r="X41" s="1129" t="s">
        <v>444</v>
      </c>
      <c r="Y41" s="1234"/>
      <c r="Z41" s="1130"/>
      <c r="AA41" s="1255"/>
      <c r="AB41" s="1240"/>
      <c r="AC41" s="1241"/>
      <c r="AD41" s="1241"/>
      <c r="AE41" s="1253"/>
      <c r="AF41" s="1241"/>
      <c r="AG41" s="1241"/>
      <c r="AH41" s="1241"/>
      <c r="AI41" s="1253"/>
      <c r="AJ41" s="1240"/>
      <c r="AK41" s="1241"/>
      <c r="AL41" s="1241"/>
      <c r="AM41" s="1241"/>
      <c r="AN41" s="1070" t="s">
        <v>485</v>
      </c>
      <c r="AO41" s="1070"/>
      <c r="AP41" s="1234" t="s">
        <v>444</v>
      </c>
      <c r="AQ41" s="1234"/>
      <c r="AR41" s="1130"/>
      <c r="AS41" s="1210"/>
      <c r="AT41" s="1213"/>
      <c r="AU41" s="1070"/>
      <c r="BA41" s="539">
        <v>34</v>
      </c>
    </row>
    <row r="42" spans="1:53" ht="14.65" customHeight="1">
      <c r="Q42" s="886"/>
      <c r="R42" s="757"/>
      <c r="S42" s="1205"/>
      <c r="T42" s="1155"/>
      <c r="U42" s="823"/>
      <c r="V42" s="1258" t="str">
        <f>IF($AN$42&lt;&gt;"",$AN$42,"")</f>
        <v/>
      </c>
      <c r="W42" s="1258"/>
      <c r="X42" s="1134"/>
      <c r="Y42" s="1235"/>
      <c r="Z42" s="1135"/>
      <c r="AA42" s="1255"/>
      <c r="AB42" s="1240"/>
      <c r="AC42" s="1241"/>
      <c r="AD42" s="1241"/>
      <c r="AE42" s="1253"/>
      <c r="AF42" s="1241"/>
      <c r="AG42" s="1241"/>
      <c r="AH42" s="1241"/>
      <c r="AI42" s="1253"/>
      <c r="AJ42" s="1240"/>
      <c r="AK42" s="1241"/>
      <c r="AL42" s="1241"/>
      <c r="AM42" s="1241"/>
      <c r="AN42" s="1257"/>
      <c r="AO42" s="1257"/>
      <c r="AP42" s="1235"/>
      <c r="AQ42" s="1235"/>
      <c r="AR42" s="1135"/>
      <c r="AS42" s="1210"/>
      <c r="AT42" s="1213"/>
      <c r="AU42" s="1070"/>
      <c r="BA42" s="539">
        <v>14</v>
      </c>
    </row>
    <row r="43" spans="1:53" ht="14.65" customHeight="1">
      <c r="B43" s="599" t="s">
        <v>145</v>
      </c>
      <c r="C43" s="599" t="s">
        <v>146</v>
      </c>
      <c r="D43" s="599" t="s">
        <v>147</v>
      </c>
      <c r="E43" s="842" t="s">
        <v>445</v>
      </c>
      <c r="F43" s="842" t="s">
        <v>446</v>
      </c>
      <c r="G43" s="842" t="s">
        <v>447</v>
      </c>
      <c r="H43" s="842" t="s">
        <v>448</v>
      </c>
      <c r="I43" s="842" t="s">
        <v>449</v>
      </c>
      <c r="J43" s="842" t="s">
        <v>450</v>
      </c>
      <c r="K43" s="842" t="s">
        <v>451</v>
      </c>
      <c r="L43" s="842" t="s">
        <v>426</v>
      </c>
      <c r="Q43" s="886"/>
      <c r="R43" s="757"/>
      <c r="S43" s="1205"/>
      <c r="T43" s="1155"/>
      <c r="U43" s="853"/>
      <c r="V43" s="633" t="s">
        <v>486</v>
      </c>
      <c r="W43" s="633" t="s">
        <v>487</v>
      </c>
      <c r="X43" s="603" t="s">
        <v>454</v>
      </c>
      <c r="Y43" s="1160" t="s">
        <v>455</v>
      </c>
      <c r="Z43" s="1173"/>
      <c r="AA43" s="1256"/>
      <c r="AB43" s="1242"/>
      <c r="AC43" s="1243"/>
      <c r="AD43" s="1243"/>
      <c r="AE43" s="1244"/>
      <c r="AF43" s="1243"/>
      <c r="AG43" s="1243"/>
      <c r="AH43" s="1243"/>
      <c r="AI43" s="1244"/>
      <c r="AJ43" s="1242"/>
      <c r="AK43" s="1243"/>
      <c r="AL43" s="1243"/>
      <c r="AM43" s="1244"/>
      <c r="AN43" s="831" t="s">
        <v>486</v>
      </c>
      <c r="AO43" s="831" t="s">
        <v>487</v>
      </c>
      <c r="AP43" s="603" t="s">
        <v>454</v>
      </c>
      <c r="AQ43" s="1160" t="s">
        <v>455</v>
      </c>
      <c r="AR43" s="1173"/>
      <c r="AS43" s="1211"/>
      <c r="AT43" s="1214"/>
      <c r="AU43" s="1070"/>
      <c r="BA43" s="539">
        <v>14</v>
      </c>
    </row>
    <row r="44" spans="1:53" ht="11.25" hidden="1" customHeight="1">
      <c r="Q44" s="855"/>
      <c r="R44" s="855">
        <v>1</v>
      </c>
      <c r="S44" s="330" t="s">
        <v>114</v>
      </c>
      <c r="T44" s="331" t="s">
        <v>102</v>
      </c>
      <c r="U44" s="856" t="str">
        <f ca="1">OFFSET(U44,0,-1)</f>
        <v>2</v>
      </c>
      <c r="V44" s="857">
        <f ca="1">OFFSET(V44,0,-1)+1</f>
        <v>3</v>
      </c>
      <c r="W44" s="857">
        <f ca="1">OFFSET(W44,0,-1)+1</f>
        <v>4</v>
      </c>
      <c r="X44" s="857">
        <f ca="1">OFFSET(X44,0,-1)+1</f>
        <v>5</v>
      </c>
      <c r="Y44" s="1203">
        <f ca="1">OFFSET(Y44,0,-1)+1</f>
        <v>6</v>
      </c>
      <c r="Z44" s="1203"/>
      <c r="AA44" s="857">
        <f ca="1">OFFSET(AA44,0,-2)+1</f>
        <v>7</v>
      </c>
      <c r="AB44" s="681">
        <f ca="1">OFFSET(AB44,0,-1)+1</f>
        <v>8</v>
      </c>
      <c r="AC44" s="681"/>
      <c r="AD44" s="681"/>
      <c r="AE44" s="681"/>
      <c r="AF44" s="857"/>
      <c r="AG44" s="857"/>
      <c r="AH44" s="857"/>
      <c r="AI44" s="857"/>
      <c r="AJ44" s="857"/>
      <c r="AK44" s="857"/>
      <c r="AL44" s="857"/>
      <c r="AM44" s="857"/>
      <c r="AN44" s="857">
        <f ca="1">OFFSET(AN44,0,-1)+1</f>
        <v>1</v>
      </c>
      <c r="AO44" s="857">
        <f ca="1">OFFSET(AO44,0,-1)+1</f>
        <v>2</v>
      </c>
      <c r="AP44" s="857">
        <f ca="1">OFFSET(AP44,0,-1)+1</f>
        <v>3</v>
      </c>
      <c r="AQ44" s="1203">
        <f ca="1">OFFSET(AQ44,0,-1)+1</f>
        <v>4</v>
      </c>
      <c r="AR44" s="1203"/>
      <c r="AS44" s="857">
        <f ca="1">OFFSET(AS44,0,-2)+1</f>
        <v>5</v>
      </c>
      <c r="AT44" s="856">
        <f ca="1">OFFSET(AT44,0,-1)</f>
        <v>5</v>
      </c>
      <c r="AU44" s="857">
        <f ca="1">OFFSET(AU44,0,-1)+1</f>
        <v>6</v>
      </c>
      <c r="BA44" s="682">
        <v>0</v>
      </c>
    </row>
    <row r="45" spans="1:53" ht="107.25" customHeight="1">
      <c r="A45" s="858" t="s">
        <v>208</v>
      </c>
      <c r="E45" s="1192">
        <v>1</v>
      </c>
      <c r="R45" s="311"/>
      <c r="S45" s="833">
        <f>INDEX(PT_DIFFERENTIATION_NUM_NTAR,MATCH(A45,PT_DIFFERENTIATION_NTAR_ID,0))</f>
        <v>0</v>
      </c>
      <c r="T45" s="796" t="s">
        <v>133</v>
      </c>
      <c r="U45" s="834"/>
      <c r="V45" s="1188"/>
      <c r="W45" s="1188"/>
      <c r="X45" s="1188"/>
      <c r="Y45" s="1188"/>
      <c r="Z45" s="1188"/>
      <c r="AA45" s="1189"/>
      <c r="AB45" s="1187" t="str">
        <f>INDEX(PT_DIFFERENTIATION_NTAR,MATCH(A45,PT_DIFFERENTIATION_NTAR_ID,0))</f>
        <v/>
      </c>
      <c r="AC45" s="1188"/>
      <c r="AD45" s="1188"/>
      <c r="AE45" s="1188"/>
      <c r="AF45" s="1188"/>
      <c r="AG45" s="1188"/>
      <c r="AH45" s="1188"/>
      <c r="AI45" s="1188"/>
      <c r="AJ45" s="1188"/>
      <c r="AK45" s="1188"/>
      <c r="AL45" s="1188"/>
      <c r="AM45" s="1188"/>
      <c r="AN45" s="1188"/>
      <c r="AO45" s="1188"/>
      <c r="AP45" s="1188"/>
      <c r="AQ45" s="1188"/>
      <c r="AR45" s="1188"/>
      <c r="AS45" s="1188"/>
      <c r="AT45" s="1189"/>
      <c r="AU45" s="83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X45" s="583" t="str">
        <f t="shared" ref="AX45:AX51" si="2">IF(T45="","",T45)</f>
        <v>Наименование тарифа</v>
      </c>
      <c r="BA45" s="539">
        <v>102</v>
      </c>
    </row>
    <row r="46" spans="1:53" ht="21.95" customHeight="1">
      <c r="A46" s="858" t="s">
        <v>208</v>
      </c>
      <c r="B46" s="858" t="s">
        <v>209</v>
      </c>
      <c r="E46" s="1193"/>
      <c r="F46" s="1192">
        <v>1</v>
      </c>
      <c r="Q46" s="880"/>
      <c r="R46" s="838"/>
      <c r="S46" s="833" t="str">
        <f>INDEX(PT_DIFFERENTIATION_NUM_TER,MATCH(B46,PT_DIFFERENTIATION_TER_ID,0))</f>
        <v>.</v>
      </c>
      <c r="T46" s="839" t="s">
        <v>405</v>
      </c>
      <c r="U46" s="834"/>
      <c r="V46" s="1188"/>
      <c r="W46" s="1188"/>
      <c r="X46" s="1188"/>
      <c r="Y46" s="1188"/>
      <c r="Z46" s="1188"/>
      <c r="AA46" s="1189"/>
      <c r="AB46" s="1187" t="str">
        <f>INDEX(PT_DIFFERENTIATION_TER,MATCH(B46,PT_DIFFERENTIATION_TER_ID,0))</f>
        <v/>
      </c>
      <c r="AC46" s="1188"/>
      <c r="AD46" s="1188"/>
      <c r="AE46" s="1188"/>
      <c r="AF46" s="1188"/>
      <c r="AG46" s="1188"/>
      <c r="AH46" s="1188"/>
      <c r="AI46" s="1188"/>
      <c r="AJ46" s="1188"/>
      <c r="AK46" s="1188"/>
      <c r="AL46" s="1188"/>
      <c r="AM46" s="1188"/>
      <c r="AN46" s="1188"/>
      <c r="AO46" s="1188"/>
      <c r="AP46" s="1188"/>
      <c r="AQ46" s="1188"/>
      <c r="AR46" s="1188"/>
      <c r="AS46" s="1188"/>
      <c r="AT46" s="1189"/>
      <c r="AU46" s="836" t="s">
        <v>406</v>
      </c>
      <c r="AX46" s="583" t="str">
        <f t="shared" si="2"/>
        <v>Территория действия тарифа</v>
      </c>
      <c r="BA46" s="539">
        <v>21</v>
      </c>
    </row>
    <row r="47" spans="1:53" ht="24" customHeight="1">
      <c r="A47" s="858" t="s">
        <v>208</v>
      </c>
      <c r="B47" s="858" t="s">
        <v>209</v>
      </c>
      <c r="C47" s="858" t="s">
        <v>210</v>
      </c>
      <c r="E47" s="1193"/>
      <c r="F47" s="1193"/>
      <c r="G47" s="1192">
        <v>1</v>
      </c>
      <c r="Q47" s="880"/>
      <c r="R47" s="838"/>
      <c r="S47" s="833" t="str">
        <f>INDEX(PT_DIFFERENTIATION_NUM_CS,MATCH(C47,PT_DIFFERENTIATION_CS_ID,0))</f>
        <v>..</v>
      </c>
      <c r="T47" s="840" t="s">
        <v>407</v>
      </c>
      <c r="U47" s="834"/>
      <c r="V47" s="1188"/>
      <c r="W47" s="1188"/>
      <c r="X47" s="1188"/>
      <c r="Y47" s="1188"/>
      <c r="Z47" s="1188"/>
      <c r="AA47" s="1189"/>
      <c r="AB47" s="1187" t="str">
        <f>INDEX(PT_DIFFERENTIATION_CS,MATCH(C47,PT_DIFFERENTIATION_CS_ID,0))</f>
        <v/>
      </c>
      <c r="AC47" s="1188"/>
      <c r="AD47" s="1188"/>
      <c r="AE47" s="1188"/>
      <c r="AF47" s="1188"/>
      <c r="AG47" s="1188"/>
      <c r="AH47" s="1188"/>
      <c r="AI47" s="1188"/>
      <c r="AJ47" s="1188"/>
      <c r="AK47" s="1188"/>
      <c r="AL47" s="1188"/>
      <c r="AM47" s="1188"/>
      <c r="AN47" s="1188"/>
      <c r="AO47" s="1188"/>
      <c r="AP47" s="1188"/>
      <c r="AQ47" s="1188"/>
      <c r="AR47" s="1188"/>
      <c r="AS47" s="1188"/>
      <c r="AT47" s="1189"/>
      <c r="AU47" s="836" t="s">
        <v>408</v>
      </c>
      <c r="AX47" s="583" t="str">
        <f t="shared" si="2"/>
        <v xml:space="preserve">Наименование системы теплоснабжения </v>
      </c>
      <c r="BA47" s="539">
        <v>23</v>
      </c>
    </row>
    <row r="48" spans="1:53" ht="21" customHeight="1">
      <c r="A48" s="858" t="s">
        <v>208</v>
      </c>
      <c r="B48" s="858" t="s">
        <v>209</v>
      </c>
      <c r="C48" s="858" t="s">
        <v>210</v>
      </c>
      <c r="D48" s="858" t="s">
        <v>211</v>
      </c>
      <c r="E48" s="1193"/>
      <c r="F48" s="1193"/>
      <c r="G48" s="1193"/>
      <c r="H48" s="1192">
        <v>1</v>
      </c>
      <c r="Q48" s="880"/>
      <c r="R48" s="838"/>
      <c r="S48" s="833" t="str">
        <f>INDEX(PT_DIFFERENTIATION_NUM_IST_TE,MATCH(D48,PT_DIFFERENTIATION_IST_TE_ID,0))</f>
        <v>...</v>
      </c>
      <c r="T48" s="841" t="s">
        <v>409</v>
      </c>
      <c r="U48" s="834"/>
      <c r="V48" s="1188"/>
      <c r="W48" s="1188"/>
      <c r="X48" s="1188"/>
      <c r="Y48" s="1188"/>
      <c r="Z48" s="1188"/>
      <c r="AA48" s="1189"/>
      <c r="AB48" s="1187" t="str">
        <f>INDEX(PT_DIFFERENTIATION_IST_TE,MATCH(D48,PT_DIFFERENTIATION_IST_TE_ID,0))</f>
        <v/>
      </c>
      <c r="AC48" s="1188"/>
      <c r="AD48" s="1188"/>
      <c r="AE48" s="1188"/>
      <c r="AF48" s="1188"/>
      <c r="AG48" s="1188"/>
      <c r="AH48" s="1188"/>
      <c r="AI48" s="1188"/>
      <c r="AJ48" s="1188"/>
      <c r="AK48" s="1188"/>
      <c r="AL48" s="1188"/>
      <c r="AM48" s="1188"/>
      <c r="AN48" s="1188"/>
      <c r="AO48" s="1188"/>
      <c r="AP48" s="1188"/>
      <c r="AQ48" s="1188"/>
      <c r="AR48" s="1188"/>
      <c r="AS48" s="1188"/>
      <c r="AT48" s="1189"/>
      <c r="AU48" s="836" t="s">
        <v>410</v>
      </c>
      <c r="AX48" s="583" t="str">
        <f t="shared" si="2"/>
        <v xml:space="preserve">Источник тепловой энергии  </v>
      </c>
      <c r="BA48" s="539">
        <v>20</v>
      </c>
    </row>
    <row r="49" spans="1:53" ht="1.1499999999999999" customHeight="1">
      <c r="A49" s="575" t="s">
        <v>208</v>
      </c>
      <c r="B49" s="575" t="s">
        <v>209</v>
      </c>
      <c r="C49" s="575" t="s">
        <v>210</v>
      </c>
      <c r="D49" s="575" t="s">
        <v>211</v>
      </c>
      <c r="E49" s="1193"/>
      <c r="F49" s="1193"/>
      <c r="G49" s="1193"/>
      <c r="H49" s="1193"/>
      <c r="I49" s="1194" t="str">
        <f>S48&amp;".1"</f>
        <v>....1</v>
      </c>
      <c r="L49" s="864" t="s">
        <v>411</v>
      </c>
      <c r="P49" s="1196">
        <v>1</v>
      </c>
      <c r="R49" s="843"/>
      <c r="S49" s="636"/>
      <c r="T49" s="860"/>
      <c r="U49" s="861"/>
      <c r="V49" s="1224"/>
      <c r="W49" s="1224"/>
      <c r="X49" s="1224"/>
      <c r="Y49" s="1224"/>
      <c r="Z49" s="1224"/>
      <c r="AA49" s="1225"/>
      <c r="AB49" s="1223"/>
      <c r="AC49" s="1224"/>
      <c r="AD49" s="1224"/>
      <c r="AE49" s="1224"/>
      <c r="AF49" s="1224"/>
      <c r="AG49" s="1224"/>
      <c r="AH49" s="1224"/>
      <c r="AI49" s="1224"/>
      <c r="AJ49" s="1224"/>
      <c r="AK49" s="1224"/>
      <c r="AL49" s="1224"/>
      <c r="AM49" s="1224"/>
      <c r="AN49" s="1224"/>
      <c r="AO49" s="1224"/>
      <c r="AP49" s="1224"/>
      <c r="AQ49" s="1224"/>
      <c r="AR49" s="1224"/>
      <c r="AS49" s="1224"/>
      <c r="AT49" s="1225"/>
      <c r="AU49" s="863"/>
      <c r="AX49" s="583" t="str">
        <f t="shared" si="2"/>
        <v/>
      </c>
      <c r="BA49" s="578">
        <v>1</v>
      </c>
    </row>
    <row r="50" spans="1:53" ht="1.1499999999999999" customHeight="1">
      <c r="A50" s="575" t="s">
        <v>208</v>
      </c>
      <c r="B50" s="575" t="s">
        <v>209</v>
      </c>
      <c r="C50" s="575" t="s">
        <v>210</v>
      </c>
      <c r="D50" s="575" t="s">
        <v>211</v>
      </c>
      <c r="E50" s="1193"/>
      <c r="F50" s="1193"/>
      <c r="G50" s="1193"/>
      <c r="H50" s="1193"/>
      <c r="I50" s="1195"/>
      <c r="J50" s="1194" t="str">
        <f>S48&amp;".1"</f>
        <v>....1</v>
      </c>
      <c r="P50" s="1038"/>
      <c r="Q50" s="1196">
        <v>1</v>
      </c>
      <c r="R50" s="845"/>
      <c r="S50" s="636"/>
      <c r="T50" s="881"/>
      <c r="U50" s="861"/>
      <c r="V50" s="1224"/>
      <c r="W50" s="1224"/>
      <c r="X50" s="1224"/>
      <c r="Y50" s="1224"/>
      <c r="Z50" s="1224"/>
      <c r="AA50" s="1225"/>
      <c r="AB50" s="1223"/>
      <c r="AC50" s="1224"/>
      <c r="AD50" s="1224"/>
      <c r="AE50" s="1224"/>
      <c r="AF50" s="1224"/>
      <c r="AG50" s="1224"/>
      <c r="AH50" s="1224"/>
      <c r="AI50" s="1224"/>
      <c r="AJ50" s="1224"/>
      <c r="AK50" s="1224"/>
      <c r="AL50" s="1224"/>
      <c r="AM50" s="1224"/>
      <c r="AN50" s="1224"/>
      <c r="AO50" s="1224"/>
      <c r="AP50" s="1224"/>
      <c r="AQ50" s="1224"/>
      <c r="AR50" s="1224"/>
      <c r="AS50" s="1224"/>
      <c r="AT50" s="1225"/>
      <c r="AU50" s="863"/>
      <c r="AX50" s="583" t="str">
        <f t="shared" si="2"/>
        <v/>
      </c>
      <c r="BA50" s="578">
        <v>1</v>
      </c>
    </row>
    <row r="51" spans="1:53" ht="21.95" customHeight="1">
      <c r="A51" s="858" t="s">
        <v>208</v>
      </c>
      <c r="B51" s="858" t="s">
        <v>209</v>
      </c>
      <c r="C51" s="858" t="s">
        <v>210</v>
      </c>
      <c r="D51" s="858" t="s">
        <v>211</v>
      </c>
      <c r="E51" s="1193"/>
      <c r="F51" s="1193"/>
      <c r="G51" s="1193"/>
      <c r="H51" s="1193"/>
      <c r="I51" s="1195"/>
      <c r="J51" s="1195"/>
      <c r="K51" s="1194" t="str">
        <f>S48&amp;".1"</f>
        <v>....1</v>
      </c>
      <c r="P51" s="1038"/>
      <c r="Q51" s="1038"/>
      <c r="R51" s="845">
        <v>1</v>
      </c>
      <c r="S51" s="1249" t="str">
        <f>$K51</f>
        <v>....1</v>
      </c>
      <c r="T51" s="1246"/>
      <c r="U51" s="834"/>
      <c r="V51" s="312"/>
      <c r="W51" s="314"/>
      <c r="X51" s="203"/>
      <c r="Y51" s="56" t="s">
        <v>61</v>
      </c>
      <c r="Z51" s="203"/>
      <c r="AA51" s="56" t="s">
        <v>61</v>
      </c>
      <c r="AB51" s="1079" t="s">
        <v>19</v>
      </c>
      <c r="AC51" s="1245"/>
      <c r="AD51" s="1151">
        <v>1</v>
      </c>
      <c r="AE51" s="1237" t="s">
        <v>22</v>
      </c>
      <c r="AF51" s="1079" t="s">
        <v>19</v>
      </c>
      <c r="AG51" s="1245"/>
      <c r="AH51" s="1151">
        <v>1</v>
      </c>
      <c r="AI51" s="1237" t="s">
        <v>22</v>
      </c>
      <c r="AJ51" s="1079" t="s">
        <v>19</v>
      </c>
      <c r="AK51" s="883"/>
      <c r="AL51" s="92">
        <v>1</v>
      </c>
      <c r="AM51" s="889"/>
      <c r="AN51" s="312"/>
      <c r="AO51" s="314"/>
      <c r="AP51" s="203"/>
      <c r="AQ51" s="56" t="s">
        <v>61</v>
      </c>
      <c r="AR51" s="203"/>
      <c r="AS51" s="56" t="s">
        <v>61</v>
      </c>
      <c r="AT51" s="332"/>
      <c r="AU51" s="1215" t="s">
        <v>488</v>
      </c>
      <c r="AV51" s="578" t="e">
        <f ca="1">STRCHECKDATE(V54:AT54)</f>
        <v>#NAME?</v>
      </c>
      <c r="AX51" s="583" t="str">
        <f t="shared" si="2"/>
        <v/>
      </c>
      <c r="BA51" s="539">
        <v>21</v>
      </c>
    </row>
    <row r="52" spans="1:53" ht="11.45" customHeight="1">
      <c r="A52" s="858" t="s">
        <v>208</v>
      </c>
      <c r="E52" s="1193"/>
      <c r="F52" s="1193"/>
      <c r="G52" s="1193"/>
      <c r="H52" s="1193"/>
      <c r="I52" s="1195"/>
      <c r="J52" s="1195"/>
      <c r="K52" s="1194"/>
      <c r="P52" s="1038"/>
      <c r="Q52" s="1038"/>
      <c r="R52" s="845"/>
      <c r="S52" s="1250"/>
      <c r="T52" s="1247"/>
      <c r="U52" s="834"/>
      <c r="V52" s="345"/>
      <c r="W52" s="352"/>
      <c r="X52" s="345"/>
      <c r="Y52" s="345"/>
      <c r="Z52" s="345"/>
      <c r="AA52" s="345"/>
      <c r="AB52" s="1079"/>
      <c r="AC52" s="1245"/>
      <c r="AD52" s="1151"/>
      <c r="AE52" s="1237"/>
      <c r="AF52" s="1079"/>
      <c r="AG52" s="1245"/>
      <c r="AH52" s="1151"/>
      <c r="AI52" s="1237"/>
      <c r="AJ52" s="1079"/>
      <c r="AK52" s="265"/>
      <c r="AL52" s="49"/>
      <c r="AM52" s="44" t="s">
        <v>473</v>
      </c>
      <c r="AN52" s="345"/>
      <c r="AO52" s="352"/>
      <c r="AP52" s="345"/>
      <c r="AQ52" s="345"/>
      <c r="AR52" s="345"/>
      <c r="AS52" s="345"/>
      <c r="AT52" s="353"/>
      <c r="AU52" s="1216"/>
      <c r="BA52" s="539">
        <v>11</v>
      </c>
    </row>
    <row r="53" spans="1:53" ht="11.45" customHeight="1">
      <c r="A53" s="858" t="s">
        <v>208</v>
      </c>
      <c r="E53" s="1193"/>
      <c r="F53" s="1193"/>
      <c r="G53" s="1193"/>
      <c r="H53" s="1193"/>
      <c r="I53" s="1195"/>
      <c r="J53" s="1195"/>
      <c r="K53" s="1194"/>
      <c r="P53" s="1038"/>
      <c r="Q53" s="1038"/>
      <c r="R53" s="845"/>
      <c r="S53" s="1250"/>
      <c r="T53" s="1247"/>
      <c r="U53" s="834"/>
      <c r="V53" s="345"/>
      <c r="W53" s="352"/>
      <c r="X53" s="345"/>
      <c r="Y53" s="345"/>
      <c r="Z53" s="345"/>
      <c r="AA53" s="345"/>
      <c r="AB53" s="1079"/>
      <c r="AC53" s="1245"/>
      <c r="AD53" s="1151"/>
      <c r="AE53" s="1237"/>
      <c r="AF53" s="1079"/>
      <c r="AG53" s="354"/>
      <c r="AH53" s="44"/>
      <c r="AI53" s="44" t="s">
        <v>474</v>
      </c>
      <c r="AJ53" s="345"/>
      <c r="AK53" s="345"/>
      <c r="AL53" s="345"/>
      <c r="AM53" s="345"/>
      <c r="AN53" s="345"/>
      <c r="AO53" s="352"/>
      <c r="AP53" s="345"/>
      <c r="AQ53" s="345"/>
      <c r="AR53" s="345"/>
      <c r="AS53" s="345"/>
      <c r="AT53" s="353"/>
      <c r="AU53" s="1216"/>
      <c r="BA53" s="539">
        <v>11</v>
      </c>
    </row>
    <row r="54" spans="1:53" ht="11.45" customHeight="1">
      <c r="A54" s="858" t="s">
        <v>208</v>
      </c>
      <c r="B54" s="858" t="s">
        <v>209</v>
      </c>
      <c r="C54" s="858" t="s">
        <v>210</v>
      </c>
      <c r="D54" s="858" t="s">
        <v>211</v>
      </c>
      <c r="E54" s="1193"/>
      <c r="F54" s="1193"/>
      <c r="G54" s="1193"/>
      <c r="H54" s="1193"/>
      <c r="I54" s="1195"/>
      <c r="J54" s="1195"/>
      <c r="K54" s="1194"/>
      <c r="P54" s="1038"/>
      <c r="Q54" s="1038"/>
      <c r="R54" s="845"/>
      <c r="S54" s="1251"/>
      <c r="T54" s="1248"/>
      <c r="U54" s="834"/>
      <c r="V54" s="345"/>
      <c r="W54" s="346" t="str">
        <f>X51&amp;"-"&amp;Z51</f>
        <v>-</v>
      </c>
      <c r="X54" s="345"/>
      <c r="Y54" s="345"/>
      <c r="Z54" s="345"/>
      <c r="AA54" s="345"/>
      <c r="AB54" s="1079"/>
      <c r="AC54" s="356"/>
      <c r="AD54" s="357"/>
      <c r="AE54" s="44" t="s">
        <v>475</v>
      </c>
      <c r="AF54" s="345"/>
      <c r="AG54" s="345"/>
      <c r="AH54" s="345"/>
      <c r="AI54" s="345"/>
      <c r="AJ54" s="345"/>
      <c r="AK54" s="345"/>
      <c r="AL54" s="345"/>
      <c r="AM54" s="345"/>
      <c r="AN54" s="345"/>
      <c r="AO54" s="346" t="str">
        <f>AP51&amp;"-"&amp;AR51</f>
        <v>-</v>
      </c>
      <c r="AP54" s="345"/>
      <c r="AQ54" s="345"/>
      <c r="AR54" s="345"/>
      <c r="AS54" s="345"/>
      <c r="AT54" s="333"/>
      <c r="AU54" s="1216"/>
      <c r="AX54" s="583" t="str">
        <f t="shared" ref="AX54:AX62" si="3">IF(T54="","",T54)</f>
        <v/>
      </c>
      <c r="BA54" s="539">
        <v>11</v>
      </c>
    </row>
    <row r="55" spans="1:53" ht="11.45" customHeight="1">
      <c r="A55" s="858" t="s">
        <v>208</v>
      </c>
      <c r="B55" s="858" t="s">
        <v>209</v>
      </c>
      <c r="C55" s="858" t="s">
        <v>210</v>
      </c>
      <c r="D55" s="858" t="s">
        <v>211</v>
      </c>
      <c r="E55" s="1193"/>
      <c r="F55" s="1193"/>
      <c r="G55" s="1193"/>
      <c r="H55" s="1193"/>
      <c r="I55" s="1195"/>
      <c r="J55" s="1194"/>
      <c r="P55" s="1038"/>
      <c r="Q55" s="1038"/>
      <c r="R55" s="843"/>
      <c r="S55" s="316"/>
      <c r="T55" s="319" t="s">
        <v>476</v>
      </c>
      <c r="U55" s="52"/>
      <c r="V55" s="52"/>
      <c r="W55" s="52"/>
      <c r="X55" s="52"/>
      <c r="Y55" s="52"/>
      <c r="Z55" s="52"/>
      <c r="AA55" s="318"/>
      <c r="AB55" s="362"/>
      <c r="AC55" s="52"/>
      <c r="AD55" s="52"/>
      <c r="AE55" s="52"/>
      <c r="AF55" s="52"/>
      <c r="AG55" s="52"/>
      <c r="AH55" s="52"/>
      <c r="AI55" s="52"/>
      <c r="AJ55" s="52"/>
      <c r="AK55" s="52"/>
      <c r="AL55" s="52"/>
      <c r="AM55" s="52"/>
      <c r="AN55" s="52"/>
      <c r="AO55" s="52"/>
      <c r="AP55" s="52"/>
      <c r="AQ55" s="52"/>
      <c r="AR55" s="52"/>
      <c r="AS55" s="52"/>
      <c r="AT55" s="318"/>
      <c r="AU55" s="1217"/>
      <c r="AX55" s="583" t="str">
        <f t="shared" si="3"/>
        <v>Добавить строку</v>
      </c>
      <c r="BA55" s="539">
        <v>11</v>
      </c>
    </row>
    <row r="56" spans="1:53" ht="1.1499999999999999" customHeight="1">
      <c r="A56" s="575" t="s">
        <v>208</v>
      </c>
      <c r="B56" s="575" t="s">
        <v>209</v>
      </c>
      <c r="C56" s="575" t="s">
        <v>210</v>
      </c>
      <c r="D56" s="575" t="s">
        <v>211</v>
      </c>
      <c r="E56" s="1193"/>
      <c r="F56" s="1193"/>
      <c r="G56" s="1193"/>
      <c r="H56" s="1193"/>
      <c r="I56" s="1194"/>
      <c r="P56" s="1038"/>
      <c r="R56" s="843"/>
      <c r="S56" s="335"/>
      <c r="T56" s="336" t="s">
        <v>420</v>
      </c>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c r="AS56" s="337"/>
      <c r="AT56" s="337"/>
      <c r="AU56" s="338"/>
      <c r="AX56" s="583" t="str">
        <f t="shared" si="3"/>
        <v>Добавить группу потребителей</v>
      </c>
      <c r="BA56" s="578">
        <v>1</v>
      </c>
    </row>
    <row r="57" spans="1:53" ht="1.1499999999999999" customHeight="1">
      <c r="A57" s="575" t="s">
        <v>208</v>
      </c>
      <c r="B57" s="575" t="s">
        <v>209</v>
      </c>
      <c r="C57" s="575" t="s">
        <v>210</v>
      </c>
      <c r="D57" s="575" t="s">
        <v>211</v>
      </c>
      <c r="E57" s="1193"/>
      <c r="F57" s="1193"/>
      <c r="G57" s="1193"/>
      <c r="H57" s="1192"/>
      <c r="R57" s="363"/>
      <c r="S57" s="335"/>
      <c r="T57" s="336"/>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c r="AS57" s="337"/>
      <c r="AT57" s="337"/>
      <c r="AU57" s="338"/>
      <c r="AX57" s="583" t="str">
        <f t="shared" si="3"/>
        <v/>
      </c>
      <c r="BA57" s="682">
        <v>1</v>
      </c>
    </row>
    <row r="58" spans="1:53" ht="1.1499999999999999" customHeight="1">
      <c r="A58" s="575" t="s">
        <v>208</v>
      </c>
      <c r="B58" s="575" t="s">
        <v>209</v>
      </c>
      <c r="C58" s="575" t="s">
        <v>210</v>
      </c>
      <c r="E58" s="1193"/>
      <c r="F58" s="1193"/>
      <c r="G58" s="1192"/>
      <c r="T58" s="327" t="s">
        <v>422</v>
      </c>
      <c r="AX58" s="583" t="str">
        <f t="shared" si="3"/>
        <v>Добавить источник для дифференциации</v>
      </c>
      <c r="BA58" s="578">
        <v>1</v>
      </c>
    </row>
    <row r="59" spans="1:53" ht="1.1499999999999999" customHeight="1">
      <c r="A59" s="575" t="s">
        <v>208</v>
      </c>
      <c r="B59" s="575" t="s">
        <v>209</v>
      </c>
      <c r="E59" s="1193"/>
      <c r="F59" s="1192"/>
      <c r="T59" s="327" t="s">
        <v>423</v>
      </c>
      <c r="AX59" s="583" t="str">
        <f t="shared" si="3"/>
        <v>Добавить централизованную систему для дифференциации</v>
      </c>
      <c r="BA59" s="578">
        <v>1</v>
      </c>
    </row>
    <row r="60" spans="1:53" ht="1.1499999999999999" customHeight="1">
      <c r="A60" s="575" t="s">
        <v>208</v>
      </c>
      <c r="E60" s="1193"/>
      <c r="T60" s="327" t="s">
        <v>424</v>
      </c>
      <c r="AX60" s="583" t="str">
        <f t="shared" si="3"/>
        <v>Добавить территорию для дифференциации</v>
      </c>
      <c r="BA60" s="578">
        <v>1</v>
      </c>
    </row>
    <row r="61" spans="1:53" ht="1.1499999999999999" customHeight="1">
      <c r="A61" s="575" t="s">
        <v>208</v>
      </c>
      <c r="E61" s="1192"/>
      <c r="T61" s="327" t="s">
        <v>424</v>
      </c>
      <c r="AX61" s="583" t="str">
        <f t="shared" si="3"/>
        <v>Добавить территорию для дифференциации</v>
      </c>
      <c r="BA61" s="578">
        <v>1</v>
      </c>
    </row>
    <row r="62" spans="1:53" ht="1.1499999999999999" customHeight="1">
      <c r="T62" s="327" t="s">
        <v>456</v>
      </c>
      <c r="AX62" s="583" t="str">
        <f t="shared" si="3"/>
        <v>Добавить наименование тарифа</v>
      </c>
      <c r="BA62" s="578">
        <v>1</v>
      </c>
    </row>
    <row r="63" spans="1:53" ht="11.45" customHeight="1">
      <c r="BA63" s="539">
        <v>11</v>
      </c>
    </row>
    <row r="64" spans="1:53" ht="19.899999999999999" customHeight="1">
      <c r="T64" s="1038"/>
      <c r="U64" s="1038"/>
      <c r="V64" s="1038"/>
      <c r="W64" s="1038"/>
      <c r="X64" s="1038"/>
      <c r="Y64" s="1038"/>
      <c r="Z64" s="1038"/>
      <c r="AA64" s="1038"/>
      <c r="AB64" s="1038"/>
      <c r="AC64" s="1038"/>
      <c r="AD64" s="1038"/>
      <c r="AE64" s="1038"/>
      <c r="AF64" s="1038"/>
      <c r="AG64" s="1038"/>
      <c r="AH64" s="1038"/>
      <c r="AI64" s="1038"/>
      <c r="AJ64" s="1038"/>
      <c r="AK64" s="1038"/>
      <c r="AL64" s="1038"/>
      <c r="AM64" s="1038"/>
      <c r="AN64" s="1038"/>
      <c r="AO64" s="1038"/>
      <c r="AP64" s="1038"/>
      <c r="AQ64" s="1038"/>
      <c r="AR64" s="1038"/>
      <c r="AS64" s="1038"/>
      <c r="AT64" s="1038"/>
      <c r="AU64" s="1038"/>
      <c r="BA64" s="539">
        <v>19</v>
      </c>
    </row>
    <row r="65" spans="1:53" ht="21" customHeight="1">
      <c r="T65" s="1038"/>
      <c r="U65" s="1038"/>
      <c r="V65" s="1038"/>
      <c r="W65" s="1038"/>
      <c r="X65" s="1038"/>
      <c r="Y65" s="1038"/>
      <c r="Z65" s="1038"/>
      <c r="AA65" s="1038"/>
      <c r="AB65" s="1038"/>
      <c r="AC65" s="1038"/>
      <c r="AD65" s="1038"/>
      <c r="AE65" s="1038"/>
      <c r="AF65" s="1038"/>
      <c r="AG65" s="1038"/>
      <c r="AH65" s="1038"/>
      <c r="AI65" s="1038"/>
      <c r="AJ65" s="1038"/>
      <c r="AK65" s="1038"/>
      <c r="AL65" s="1038"/>
      <c r="AM65" s="1038"/>
      <c r="AN65" s="1038"/>
      <c r="AO65" s="1038"/>
      <c r="AP65" s="1038"/>
      <c r="AQ65" s="1038"/>
      <c r="AR65" s="1038"/>
      <c r="AS65" s="1038"/>
      <c r="AT65" s="1038"/>
      <c r="AU65" s="1038"/>
      <c r="BA65" s="539">
        <v>20</v>
      </c>
    </row>
    <row r="66" spans="1:53" ht="14.65" customHeight="1">
      <c r="BA66" s="539">
        <v>14</v>
      </c>
    </row>
    <row r="67" spans="1:53" ht="19.899999999999999" customHeight="1">
      <c r="T67" s="1038"/>
      <c r="U67" s="1038"/>
      <c r="V67" s="1038"/>
      <c r="W67" s="1038"/>
      <c r="X67" s="1038"/>
      <c r="Y67" s="1038"/>
      <c r="Z67" s="1038"/>
      <c r="AA67" s="1038"/>
      <c r="AB67" s="1038"/>
      <c r="AC67" s="1038"/>
      <c r="AD67" s="1038"/>
      <c r="AE67" s="1038"/>
      <c r="AF67" s="1038"/>
      <c r="AG67" s="1038"/>
      <c r="AH67" s="1038"/>
      <c r="AI67" s="1038"/>
      <c r="AJ67" s="1038"/>
      <c r="AK67" s="1038"/>
      <c r="AL67" s="1038"/>
      <c r="AM67" s="1038"/>
      <c r="AN67" s="1038"/>
      <c r="AO67" s="1038"/>
      <c r="AP67" s="1038"/>
      <c r="AQ67" s="1038"/>
      <c r="AR67" s="1038"/>
      <c r="AS67" s="1038"/>
      <c r="AT67" s="1038"/>
      <c r="AU67" s="1038"/>
      <c r="BA67" s="539">
        <v>19</v>
      </c>
    </row>
    <row r="68" spans="1:53" ht="16.899999999999999" customHeight="1">
      <c r="T68" s="1038"/>
      <c r="U68" s="1038"/>
      <c r="V68" s="1038"/>
      <c r="W68" s="1038"/>
      <c r="X68" s="1038"/>
      <c r="Y68" s="1038"/>
      <c r="Z68" s="1038"/>
      <c r="AA68" s="1038"/>
      <c r="AB68" s="1038"/>
      <c r="AC68" s="1038"/>
      <c r="AD68" s="1038"/>
      <c r="AE68" s="1038"/>
      <c r="AF68" s="1038"/>
      <c r="AG68" s="1038"/>
      <c r="AH68" s="1038"/>
      <c r="AI68" s="1038"/>
      <c r="AJ68" s="1038"/>
      <c r="AK68" s="1038"/>
      <c r="AL68" s="1038"/>
      <c r="AM68" s="1038"/>
      <c r="AN68" s="1038"/>
      <c r="AO68" s="1038"/>
      <c r="AP68" s="1038"/>
      <c r="AQ68" s="1038"/>
      <c r="AR68" s="1038"/>
      <c r="AS68" s="1038"/>
      <c r="AT68" s="1038"/>
      <c r="AU68" s="1038"/>
      <c r="BA68" s="539">
        <v>16</v>
      </c>
    </row>
    <row r="69" spans="1:53" ht="14.65" customHeight="1">
      <c r="BA69" s="539">
        <v>14</v>
      </c>
    </row>
    <row r="70" spans="1:53" ht="22.5" hidden="1" customHeight="1">
      <c r="A70" s="556" t="s">
        <v>81</v>
      </c>
      <c r="B70" s="556">
        <v>0</v>
      </c>
      <c r="C70" s="556">
        <v>0</v>
      </c>
      <c r="D70" s="556">
        <v>0</v>
      </c>
      <c r="E70" s="556">
        <v>0</v>
      </c>
      <c r="F70" s="556">
        <v>0</v>
      </c>
      <c r="G70" s="556">
        <v>0</v>
      </c>
      <c r="H70" s="556">
        <v>0</v>
      </c>
      <c r="I70" s="556">
        <v>0</v>
      </c>
      <c r="J70" s="556">
        <v>0</v>
      </c>
      <c r="K70" s="556">
        <v>0</v>
      </c>
      <c r="L70" s="668">
        <v>0</v>
      </c>
      <c r="M70" s="12">
        <v>0</v>
      </c>
      <c r="N70" s="12">
        <v>0</v>
      </c>
      <c r="O70" s="12">
        <v>0</v>
      </c>
      <c r="P70" s="12">
        <v>3</v>
      </c>
      <c r="Q70" s="890">
        <v>3</v>
      </c>
      <c r="R70" s="822">
        <v>3</v>
      </c>
      <c r="S70" s="554">
        <v>12</v>
      </c>
      <c r="T70" s="539">
        <v>31</v>
      </c>
      <c r="U70" s="539">
        <v>0</v>
      </c>
      <c r="V70" s="539">
        <v>0</v>
      </c>
      <c r="W70" s="539">
        <v>0</v>
      </c>
      <c r="X70" s="539">
        <v>0</v>
      </c>
      <c r="Y70" s="539">
        <v>0</v>
      </c>
      <c r="Z70" s="539">
        <v>0</v>
      </c>
      <c r="AA70" s="539">
        <v>0</v>
      </c>
      <c r="AB70" s="539">
        <v>5</v>
      </c>
      <c r="AC70" s="539">
        <v>3</v>
      </c>
      <c r="AD70" s="539">
        <v>3</v>
      </c>
      <c r="AE70" s="539">
        <v>24</v>
      </c>
      <c r="AF70" s="539">
        <v>3</v>
      </c>
      <c r="AG70" s="539">
        <v>3</v>
      </c>
      <c r="AH70" s="539">
        <v>3</v>
      </c>
      <c r="AI70" s="539">
        <v>24</v>
      </c>
      <c r="AJ70" s="539">
        <v>3</v>
      </c>
      <c r="AK70" s="539">
        <v>3</v>
      </c>
      <c r="AL70" s="539">
        <v>3</v>
      </c>
      <c r="AM70" s="539">
        <v>18</v>
      </c>
      <c r="AN70" s="539">
        <v>21</v>
      </c>
      <c r="AO70" s="539">
        <v>21</v>
      </c>
      <c r="AP70" s="539">
        <v>11</v>
      </c>
      <c r="AQ70" s="539">
        <v>3</v>
      </c>
      <c r="AR70" s="539">
        <v>11</v>
      </c>
      <c r="AS70" s="539">
        <v>8</v>
      </c>
      <c r="AT70" s="539">
        <v>4</v>
      </c>
      <c r="AU70" s="539">
        <v>115</v>
      </c>
      <c r="AV70" s="578">
        <v>10</v>
      </c>
      <c r="AW70" s="578">
        <v>10</v>
      </c>
      <c r="AX70" s="578">
        <v>10</v>
      </c>
      <c r="AY70" s="578">
        <v>10</v>
      </c>
      <c r="AZ70" s="578">
        <v>10</v>
      </c>
      <c r="BA70" s="539">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4.140625" style="1030" hidden="1" customWidth="1"/>
    <col min="10" max="10" width="9.85546875" style="1030" hidden="1" customWidth="1"/>
    <col min="11" max="11" width="14.710937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5" style="1030" customWidth="1"/>
    <col min="21" max="21" width="0.140625" style="1030" customWidth="1"/>
    <col min="22" max="24" width="24.7109375" style="1030" hidden="1" customWidth="1"/>
    <col min="25" max="25" width="11.7109375" style="1030" hidden="1" customWidth="1"/>
    <col min="26" max="26" width="3.7109375" style="1030" hidden="1" customWidth="1"/>
    <col min="27" max="27" width="11.7109375" style="1030" hidden="1" customWidth="1"/>
    <col min="28" max="28" width="8.5703125" style="1030" hidden="1" customWidth="1"/>
    <col min="29" max="29" width="24.7109375" style="1030" customWidth="1"/>
    <col min="30" max="31" width="24" style="1030" customWidth="1"/>
    <col min="32" max="32" width="11" style="1030" customWidth="1"/>
    <col min="33" max="33" width="3.7109375" style="1030" customWidth="1"/>
    <col min="34" max="34" width="11" style="1030" customWidth="1"/>
    <col min="35" max="35" width="8.5703125" style="1030" hidden="1" customWidth="1"/>
    <col min="36" max="36" width="4" style="1030" customWidth="1"/>
    <col min="37" max="37" width="115" style="1030" customWidth="1"/>
    <col min="38" max="42" width="10" style="1030" customWidth="1"/>
    <col min="43" max="43" width="10.5703125" style="1030" hidden="1"/>
  </cols>
  <sheetData>
    <row r="1" spans="5:43" ht="22.5" hidden="1" customHeight="1">
      <c r="AQ1" s="539" t="s">
        <v>14</v>
      </c>
    </row>
    <row r="2" spans="5:43" ht="23.25" hidden="1" customHeight="1">
      <c r="E2" s="1192">
        <v>1</v>
      </c>
      <c r="R2" s="311"/>
      <c r="S2" s="833" t="e">
        <f>INDEX(PT_DIFFERENTIATION_NUM_NTAR,MATCH(A2,PT_DIFFERENTIATION_NTAR_ID,0))</f>
        <v>#N/A</v>
      </c>
      <c r="T2" s="796" t="s">
        <v>133</v>
      </c>
      <c r="U2" s="834"/>
      <c r="V2" s="1187"/>
      <c r="W2" s="1188"/>
      <c r="X2" s="1188"/>
      <c r="Y2" s="1188"/>
      <c r="Z2" s="1188"/>
      <c r="AA2" s="1188"/>
      <c r="AB2" s="1189"/>
      <c r="AC2" s="1187" t="e">
        <f>INDEX(PT_DIFFERENTIATION_NTAR,MATCH(A2,PT_DIFFERENTIATION_NTAR_ID,0))</f>
        <v>#N/A</v>
      </c>
      <c r="AD2" s="1188"/>
      <c r="AE2" s="1188"/>
      <c r="AF2" s="1188"/>
      <c r="AG2" s="1188"/>
      <c r="AH2" s="1188"/>
      <c r="AI2" s="1188"/>
      <c r="AJ2" s="1189"/>
      <c r="AK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3" t="str">
        <f t="shared" ref="AN2:AN13" si="0">IF(T2="","",T2)</f>
        <v>Наименование тарифа</v>
      </c>
      <c r="AQ2" s="539">
        <v>0</v>
      </c>
    </row>
    <row r="3" spans="5:43" ht="23.25"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9"/>
      <c r="AC3" s="1187" t="e">
        <f>INDEX(PT_DIFFERENTIATION_TER,MATCH(B3,PT_DIFFERENTIATION_TER_ID,0))</f>
        <v>#N/A</v>
      </c>
      <c r="AD3" s="1188"/>
      <c r="AE3" s="1188"/>
      <c r="AF3" s="1188"/>
      <c r="AG3" s="1188"/>
      <c r="AH3" s="1188"/>
      <c r="AI3" s="1188"/>
      <c r="AJ3" s="1189"/>
      <c r="AK3" s="836" t="s">
        <v>406</v>
      </c>
      <c r="AN3" s="583" t="str">
        <f t="shared" si="0"/>
        <v>Территория действия тарифа</v>
      </c>
      <c r="AQ3" s="539">
        <v>0</v>
      </c>
    </row>
    <row r="4" spans="5:43" ht="23.25" hidden="1" customHeight="1">
      <c r="E4" s="1193"/>
      <c r="F4" s="1193"/>
      <c r="G4" s="1192">
        <v>1</v>
      </c>
      <c r="Q4" s="837"/>
      <c r="R4" s="838"/>
      <c r="S4" s="833" t="e">
        <f>INDEX(PT_DIFFERENTIATION_NUM_CS,MATCH(C4,PT_DIFFERENTIATION_CS_ID,0))</f>
        <v>#N/A</v>
      </c>
      <c r="T4" s="840" t="s">
        <v>489</v>
      </c>
      <c r="U4" s="834"/>
      <c r="V4" s="1187"/>
      <c r="W4" s="1188"/>
      <c r="X4" s="1188"/>
      <c r="Y4" s="1188"/>
      <c r="Z4" s="1188"/>
      <c r="AA4" s="1188"/>
      <c r="AB4" s="1189"/>
      <c r="AC4" s="1187" t="e">
        <f>INDEX(PT_DIFFERENTIATION_CS,MATCH(C4,PT_DIFFERENTIATION_CS_ID,0))</f>
        <v>#N/A</v>
      </c>
      <c r="AD4" s="1188"/>
      <c r="AE4" s="1188"/>
      <c r="AF4" s="1188"/>
      <c r="AG4" s="1188"/>
      <c r="AH4" s="1188"/>
      <c r="AI4" s="1188"/>
      <c r="AJ4" s="1189"/>
      <c r="AK4" s="836" t="s">
        <v>490</v>
      </c>
      <c r="AN4" s="583" t="str">
        <f t="shared" si="0"/>
        <v>Наименование централизованной системы холодного водоснабжения</v>
      </c>
      <c r="AQ4" s="539">
        <v>0</v>
      </c>
    </row>
    <row r="5" spans="5:43" ht="23.25" hidden="1" customHeight="1">
      <c r="E5" s="1193"/>
      <c r="F5" s="1193"/>
      <c r="G5" s="1193"/>
      <c r="H5" s="1193"/>
      <c r="I5" s="1194" t="e">
        <f>S4&amp;".1"</f>
        <v>#N/A</v>
      </c>
      <c r="P5" s="1196">
        <v>1</v>
      </c>
      <c r="R5" s="843"/>
      <c r="S5" s="833" t="e">
        <f>$I5</f>
        <v>#N/A</v>
      </c>
      <c r="T5" s="844" t="s">
        <v>491</v>
      </c>
      <c r="U5" s="834"/>
      <c r="V5" s="1260"/>
      <c r="W5" s="1261"/>
      <c r="X5" s="1261"/>
      <c r="Y5" s="1261"/>
      <c r="Z5" s="1261"/>
      <c r="AA5" s="1261"/>
      <c r="AB5" s="1262"/>
      <c r="AC5" s="1263"/>
      <c r="AD5" s="1264"/>
      <c r="AE5" s="1264"/>
      <c r="AF5" s="1264"/>
      <c r="AG5" s="1264"/>
      <c r="AH5" s="1264"/>
      <c r="AI5" s="1264"/>
      <c r="AJ5" s="1265"/>
      <c r="AK5" s="836" t="s">
        <v>492</v>
      </c>
      <c r="AN5" s="583" t="str">
        <f t="shared" si="0"/>
        <v>Наименование признака дифференциации</v>
      </c>
      <c r="AQ5" s="539">
        <v>0</v>
      </c>
    </row>
    <row r="6" spans="5:43" ht="23.25" hidden="1" customHeight="1">
      <c r="E6" s="1193"/>
      <c r="F6" s="1193"/>
      <c r="G6" s="1193"/>
      <c r="H6" s="1193"/>
      <c r="I6" s="1195"/>
      <c r="J6" s="1194" t="e">
        <f>I5&amp;".1"</f>
        <v>#N/A</v>
      </c>
      <c r="L6" s="842" t="s">
        <v>414</v>
      </c>
      <c r="P6" s="1038"/>
      <c r="Q6" s="1196">
        <v>1</v>
      </c>
      <c r="R6" s="845"/>
      <c r="S6" s="833" t="e">
        <f>$J6</f>
        <v>#N/A</v>
      </c>
      <c r="T6" s="846" t="s">
        <v>415</v>
      </c>
      <c r="U6" s="834"/>
      <c r="V6" s="1181"/>
      <c r="W6" s="1182"/>
      <c r="X6" s="1182"/>
      <c r="Y6" s="1182"/>
      <c r="Z6" s="1182"/>
      <c r="AA6" s="1182"/>
      <c r="AB6" s="1183"/>
      <c r="AC6" s="1181"/>
      <c r="AD6" s="1182"/>
      <c r="AE6" s="1182"/>
      <c r="AF6" s="1182"/>
      <c r="AG6" s="1182"/>
      <c r="AH6" s="1182"/>
      <c r="AI6" s="1182"/>
      <c r="AJ6" s="1183"/>
      <c r="AK6" s="875" t="s">
        <v>493</v>
      </c>
      <c r="AN6" s="583" t="str">
        <f t="shared" si="0"/>
        <v>Группа потребителей</v>
      </c>
      <c r="AQ6" s="539">
        <v>0</v>
      </c>
    </row>
    <row r="7" spans="5:43" ht="23.25" hidden="1" customHeight="1">
      <c r="E7" s="1193"/>
      <c r="F7" s="1193"/>
      <c r="G7" s="1193"/>
      <c r="H7" s="1193"/>
      <c r="I7" s="1195"/>
      <c r="J7" s="1195"/>
      <c r="K7" s="1194" t="e">
        <f>J6&amp;".1"</f>
        <v>#N/A</v>
      </c>
      <c r="P7" s="1038"/>
      <c r="Q7" s="1038"/>
      <c r="R7" s="845">
        <v>1</v>
      </c>
      <c r="S7" s="833" t="e">
        <f>$K7</f>
        <v>#N/A</v>
      </c>
      <c r="T7" s="398"/>
      <c r="U7" s="834"/>
      <c r="V7" s="312"/>
      <c r="W7" s="312"/>
      <c r="X7" s="314"/>
      <c r="Y7" s="1197"/>
      <c r="Z7" s="1079" t="s">
        <v>61</v>
      </c>
      <c r="AA7" s="1197"/>
      <c r="AB7" s="1079" t="s">
        <v>61</v>
      </c>
      <c r="AC7" s="312"/>
      <c r="AD7" s="312"/>
      <c r="AE7" s="314"/>
      <c r="AF7" s="1197"/>
      <c r="AG7" s="1079" t="s">
        <v>61</v>
      </c>
      <c r="AH7" s="1199"/>
      <c r="AI7" s="1079" t="s">
        <v>61</v>
      </c>
      <c r="AJ7" s="399"/>
      <c r="AK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8" t="e">
        <f ca="1">STRCHECKDATE(V8:AJ8)</f>
        <v>#NAME?</v>
      </c>
      <c r="AN7" s="583" t="str">
        <f t="shared" si="0"/>
        <v/>
      </c>
      <c r="AQ7" s="539">
        <v>0</v>
      </c>
    </row>
    <row r="8" spans="5:43" ht="14.25" hidden="1" customHeight="1">
      <c r="E8" s="1193"/>
      <c r="F8" s="1193"/>
      <c r="G8" s="1193"/>
      <c r="H8" s="1193"/>
      <c r="I8" s="1195"/>
      <c r="J8" s="1195"/>
      <c r="K8" s="1194"/>
      <c r="P8" s="1038"/>
      <c r="Q8" s="1038"/>
      <c r="R8" s="845"/>
      <c r="S8" s="127"/>
      <c r="T8" s="834"/>
      <c r="U8" s="834"/>
      <c r="V8" s="313"/>
      <c r="W8" s="313"/>
      <c r="X8" s="315" t="str">
        <f>Y7&amp;"-"&amp;AA7</f>
        <v>-</v>
      </c>
      <c r="Y8" s="1198"/>
      <c r="Z8" s="1079"/>
      <c r="AA8" s="1198"/>
      <c r="AB8" s="1079"/>
      <c r="AC8" s="313"/>
      <c r="AD8" s="313"/>
      <c r="AE8" s="315" t="str">
        <f>AF7&amp;"-"&amp;AH7</f>
        <v>-</v>
      </c>
      <c r="AF8" s="1198"/>
      <c r="AG8" s="1079"/>
      <c r="AH8" s="1200"/>
      <c r="AI8" s="1079"/>
      <c r="AJ8" s="388"/>
      <c r="AK8" s="1266"/>
      <c r="AN8" s="583" t="str">
        <f t="shared" si="0"/>
        <v/>
      </c>
      <c r="AQ8" s="539">
        <v>0</v>
      </c>
    </row>
    <row r="9" spans="5:43" ht="21" hidden="1" customHeight="1">
      <c r="E9" s="1193"/>
      <c r="F9" s="1193"/>
      <c r="G9" s="1193"/>
      <c r="H9" s="1193"/>
      <c r="I9" s="1195"/>
      <c r="J9" s="1194"/>
      <c r="P9" s="1038"/>
      <c r="Q9" s="1038"/>
      <c r="R9" s="843"/>
      <c r="S9" s="316"/>
      <c r="T9" s="319" t="s">
        <v>494</v>
      </c>
      <c r="U9" s="52"/>
      <c r="V9" s="52"/>
      <c r="W9" s="52"/>
      <c r="X9" s="52"/>
      <c r="Y9" s="52"/>
      <c r="Z9" s="52"/>
      <c r="AA9" s="52"/>
      <c r="AB9" s="52"/>
      <c r="AC9" s="52"/>
      <c r="AD9" s="52"/>
      <c r="AE9" s="52"/>
      <c r="AF9" s="52"/>
      <c r="AG9" s="52"/>
      <c r="AH9" s="52"/>
      <c r="AI9" s="52"/>
      <c r="AJ9" s="52"/>
      <c r="AK9" s="836" t="s">
        <v>495</v>
      </c>
      <c r="AN9" s="583" t="str">
        <f t="shared" si="0"/>
        <v>Добавить значение признака дифференциации</v>
      </c>
      <c r="AQ9" s="539">
        <v>0</v>
      </c>
    </row>
    <row r="10" spans="5:43" ht="21" hidden="1" customHeight="1">
      <c r="E10" s="1193"/>
      <c r="F10" s="1193"/>
      <c r="G10" s="1193"/>
      <c r="H10" s="1193"/>
      <c r="I10" s="1194"/>
      <c r="P10" s="1038"/>
      <c r="R10" s="843"/>
      <c r="S10" s="316"/>
      <c r="T10" s="322" t="s">
        <v>420</v>
      </c>
      <c r="U10" s="52"/>
      <c r="V10" s="52"/>
      <c r="W10" s="52"/>
      <c r="X10" s="52"/>
      <c r="Y10" s="52"/>
      <c r="Z10" s="52"/>
      <c r="AA10" s="52"/>
      <c r="AB10" s="320"/>
      <c r="AC10" s="52"/>
      <c r="AD10" s="52"/>
      <c r="AE10" s="52"/>
      <c r="AF10" s="52"/>
      <c r="AG10" s="52"/>
      <c r="AH10" s="52"/>
      <c r="AI10" s="320"/>
      <c r="AJ10" s="52"/>
      <c r="AK10" s="400"/>
      <c r="AN10" s="583" t="str">
        <f t="shared" si="0"/>
        <v>Добавить группу потребителей</v>
      </c>
      <c r="AQ10" s="539">
        <v>0</v>
      </c>
    </row>
    <row r="11" spans="5:43" ht="14.25" hidden="1" customHeight="1">
      <c r="E11" s="1193"/>
      <c r="F11" s="1193"/>
      <c r="G11" s="1193"/>
      <c r="H11" s="1192"/>
      <c r="R11" s="311"/>
      <c r="S11" s="316"/>
      <c r="T11" s="377" t="s">
        <v>496</v>
      </c>
      <c r="U11" s="52"/>
      <c r="V11" s="52"/>
      <c r="W11" s="52"/>
      <c r="X11" s="52"/>
      <c r="Y11" s="52"/>
      <c r="Z11" s="52"/>
      <c r="AA11" s="52"/>
      <c r="AB11" s="320"/>
      <c r="AC11" s="52"/>
      <c r="AD11" s="52"/>
      <c r="AE11" s="52"/>
      <c r="AF11" s="52"/>
      <c r="AG11" s="52"/>
      <c r="AH11" s="52"/>
      <c r="AI11" s="320"/>
      <c r="AJ11" s="52"/>
      <c r="AK11" s="321"/>
      <c r="AN11" s="583" t="str">
        <f t="shared" si="0"/>
        <v>Добавить наименование признака дифференциации</v>
      </c>
      <c r="AQ11" s="539">
        <v>0</v>
      </c>
    </row>
    <row r="12" spans="5:43" ht="14.25" hidden="1" customHeight="1">
      <c r="E12" s="1193"/>
      <c r="F12" s="1192"/>
      <c r="T12" s="327" t="s">
        <v>423</v>
      </c>
      <c r="AN12" s="583" t="str">
        <f t="shared" si="0"/>
        <v>Добавить централизованную систему для дифференциации</v>
      </c>
      <c r="AQ12" s="578">
        <v>0</v>
      </c>
    </row>
    <row r="13" spans="5:43" ht="14.25" hidden="1" customHeight="1">
      <c r="E13" s="1192"/>
      <c r="T13" s="327" t="s">
        <v>424</v>
      </c>
      <c r="AN13" s="583" t="str">
        <f t="shared" si="0"/>
        <v>Добавить территорию для дифференциации</v>
      </c>
      <c r="AQ13" s="578">
        <v>0</v>
      </c>
    </row>
    <row r="14" spans="5:43" ht="14.25" hidden="1" customHeight="1">
      <c r="AQ14" s="539">
        <v>0</v>
      </c>
    </row>
    <row r="15" spans="5:43" ht="14.25" hidden="1" customHeight="1">
      <c r="AC15" s="276"/>
      <c r="AD15" s="276"/>
      <c r="AE15" s="328"/>
      <c r="AF15" s="1191"/>
      <c r="AG15" s="1190" t="s">
        <v>61</v>
      </c>
      <c r="AH15" s="1191"/>
      <c r="AI15" s="1190" t="s">
        <v>61</v>
      </c>
      <c r="AQ15" s="539">
        <v>0</v>
      </c>
    </row>
    <row r="16" spans="5:43" ht="14.25" hidden="1" customHeight="1">
      <c r="AC16" s="276"/>
      <c r="AD16" s="276"/>
      <c r="AE16" s="315" t="str">
        <f>AF15&amp;"-"&amp;AH15</f>
        <v>-</v>
      </c>
      <c r="AF16" s="1190"/>
      <c r="AG16" s="1190"/>
      <c r="AH16" s="1190"/>
      <c r="AI16" s="1190"/>
      <c r="AQ16" s="539">
        <v>0</v>
      </c>
    </row>
    <row r="17" spans="15:43" ht="14.25" hidden="1" customHeight="1">
      <c r="AQ17" s="539">
        <v>0</v>
      </c>
    </row>
    <row r="18" spans="15:43" ht="22.5" hidden="1" customHeight="1">
      <c r="O18" s="329" t="s">
        <v>425</v>
      </c>
      <c r="Y18" s="329"/>
      <c r="AA18" s="329"/>
      <c r="AF18" s="329"/>
      <c r="AH18" s="329"/>
      <c r="AQ18" s="556">
        <v>0</v>
      </c>
    </row>
    <row r="19" spans="15:43" ht="14.25" hidden="1" customHeight="1">
      <c r="AQ19" s="556">
        <v>0</v>
      </c>
    </row>
    <row r="20" spans="15:43" ht="12" hidden="1" customHeight="1">
      <c r="O20" s="842" t="s">
        <v>426</v>
      </c>
      <c r="T20" s="556" t="s">
        <v>427</v>
      </c>
      <c r="Z20" s="599" t="s">
        <v>428</v>
      </c>
      <c r="AB20" s="599" t="s">
        <v>429</v>
      </c>
      <c r="AC20" s="556" t="s">
        <v>427</v>
      </c>
      <c r="AG20" s="599" t="s">
        <v>430</v>
      </c>
      <c r="AI20" s="599" t="s">
        <v>429</v>
      </c>
      <c r="AQ20" s="556">
        <v>0</v>
      </c>
    </row>
    <row r="21" spans="15:43" ht="14.25" hidden="1" customHeight="1">
      <c r="AQ21" s="539">
        <v>0</v>
      </c>
    </row>
    <row r="22" spans="15:43" ht="14.25" hidden="1" customHeight="1">
      <c r="AQ22" s="539">
        <v>0</v>
      </c>
    </row>
    <row r="23" spans="15:43" ht="14.65" customHeight="1">
      <c r="Q23" s="757"/>
      <c r="R23" s="757"/>
      <c r="S23" s="848"/>
      <c r="T23" s="557"/>
      <c r="U23" s="557"/>
      <c r="AQ23" s="539">
        <v>14</v>
      </c>
    </row>
    <row r="24" spans="15:43" ht="14.65" customHeight="1">
      <c r="Q24" s="757"/>
      <c r="R24" s="757"/>
      <c r="S24" s="1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74"/>
      <c r="U24" s="1174"/>
      <c r="V24" s="1174"/>
      <c r="W24" s="1174"/>
      <c r="X24" s="1174"/>
      <c r="Y24" s="1174"/>
      <c r="Z24" s="1174"/>
      <c r="AA24" s="1174"/>
      <c r="AB24" s="1174"/>
      <c r="AC24" s="1174"/>
      <c r="AD24" s="1174"/>
      <c r="AE24" s="1174"/>
      <c r="AF24" s="1174"/>
      <c r="AG24" s="1174"/>
      <c r="AH24" s="1174"/>
      <c r="AQ24" s="539">
        <v>14</v>
      </c>
    </row>
    <row r="25" spans="15:43" ht="14.65" customHeight="1">
      <c r="Q25" s="757"/>
      <c r="R25" s="757"/>
      <c r="S25" s="1148" t="str">
        <f>IF(org=0,"Не определено",org)</f>
        <v>АО "НИЖЕГОРОДСКИЙ ВОДОКАНАЛ"</v>
      </c>
      <c r="T25" s="1148"/>
      <c r="U25" s="1148"/>
      <c r="V25" s="1148"/>
      <c r="W25" s="1148"/>
      <c r="X25" s="1148"/>
      <c r="Y25" s="1148"/>
      <c r="Z25" s="1148"/>
      <c r="AA25" s="1148"/>
      <c r="AB25" s="1148"/>
      <c r="AC25" s="1148"/>
      <c r="AD25" s="1148"/>
      <c r="AE25" s="1148"/>
      <c r="AF25" s="1148"/>
      <c r="AG25" s="1148"/>
      <c r="AH25" s="1148"/>
      <c r="AQ25" s="539">
        <v>14</v>
      </c>
    </row>
    <row r="26" spans="15:43" ht="14.25" hidden="1" customHeight="1">
      <c r="Q26" s="757"/>
      <c r="R26" s="757"/>
      <c r="S26" s="848"/>
      <c r="T26" s="557"/>
      <c r="U26" s="557"/>
      <c r="V26" s="827"/>
      <c r="W26" s="827"/>
      <c r="X26" s="827"/>
      <c r="Y26" s="827"/>
      <c r="Z26" s="827"/>
      <c r="AA26" s="827"/>
      <c r="AB26" s="827"/>
      <c r="AC26" s="827"/>
      <c r="AD26" s="827"/>
      <c r="AE26" s="827"/>
      <c r="AF26" s="827"/>
      <c r="AG26" s="827"/>
      <c r="AH26" s="827"/>
      <c r="AI26" s="827"/>
      <c r="AQ26" s="539">
        <v>0</v>
      </c>
    </row>
    <row r="27" spans="15:43" ht="25.5" hidden="1" customHeight="1">
      <c r="S27" s="1184" t="s">
        <v>41</v>
      </c>
      <c r="T27" s="1184"/>
      <c r="U27" s="850"/>
      <c r="V27" s="1186" t="str">
        <f>IF(TITLE_NAME_OR_PR_CHANGE="",IF(TITLE_NAME_OR_PR="","",TITLE_NAME_OR_PR),TITLE_NAME_OR_PR_CHANGE)</f>
        <v/>
      </c>
      <c r="W27" s="1186"/>
      <c r="X27" s="1186"/>
      <c r="Y27" s="1186"/>
      <c r="Z27" s="1186"/>
      <c r="AA27" s="1186"/>
      <c r="AC27" s="1186" t="str">
        <f>IF(TITLE_NAME_OR_PR_CHANGE="",IF(TITLE_NAME_OR_PR="","",TITLE_NAME_OR_PR),TITLE_NAME_OR_PR_CHANGE)</f>
        <v/>
      </c>
      <c r="AD27" s="1186"/>
      <c r="AE27" s="1186"/>
      <c r="AF27" s="1186"/>
      <c r="AG27" s="1186"/>
      <c r="AH27" s="1186"/>
      <c r="AQ27" s="593">
        <v>0</v>
      </c>
    </row>
    <row r="28" spans="15:43" ht="18.75" hidden="1" customHeight="1">
      <c r="S28" s="1184" t="s">
        <v>431</v>
      </c>
      <c r="T28" s="1184"/>
      <c r="U28" s="850"/>
      <c r="V28" s="1185" t="str">
        <f>IF(TITLE_DATE_PR_CHANGE="",IF(TITLE_DATE_PR="","",TITLE_DATE_PR),TITLE_DATE_PR_CHANGE)</f>
        <v/>
      </c>
      <c r="W28" s="1185"/>
      <c r="X28" s="1185"/>
      <c r="Y28" s="1185"/>
      <c r="Z28" s="1185"/>
      <c r="AA28" s="1185"/>
      <c r="AC28" s="1185" t="str">
        <f>IF(TITLE_DATE_PR_CHANGE="",IF(TITLE_DATE_PR="","",TITLE_DATE_PR),TITLE_DATE_PR_CHANGE)</f>
        <v/>
      </c>
      <c r="AD28" s="1185"/>
      <c r="AE28" s="1185"/>
      <c r="AF28" s="1185"/>
      <c r="AG28" s="1185"/>
      <c r="AH28" s="1185"/>
      <c r="AQ28" s="593">
        <v>0</v>
      </c>
    </row>
    <row r="29" spans="15:43" ht="18.75" hidden="1" customHeight="1">
      <c r="S29" s="1184" t="s">
        <v>432</v>
      </c>
      <c r="T29" s="1184"/>
      <c r="U29" s="850"/>
      <c r="V29" s="1186" t="str">
        <f>IF(TITLE_NUMBER_PR_CHANGE="",IF(TITLE_NUMBER_PR="","",TITLE_NUMBER_PR),TITLE_NUMBER_PR_CHANGE)</f>
        <v/>
      </c>
      <c r="W29" s="1186"/>
      <c r="X29" s="1186"/>
      <c r="Y29" s="1186"/>
      <c r="Z29" s="1186"/>
      <c r="AA29" s="1186"/>
      <c r="AC29" s="1186" t="str">
        <f>IF(TITLE_NUMBER_PR_CHANGE="",IF(TITLE_NUMBER_PR="","",TITLE_NUMBER_PR),TITLE_NUMBER_PR_CHANGE)</f>
        <v/>
      </c>
      <c r="AD29" s="1186"/>
      <c r="AE29" s="1186"/>
      <c r="AF29" s="1186"/>
      <c r="AG29" s="1186"/>
      <c r="AH29" s="1186"/>
      <c r="AQ29" s="593">
        <v>0</v>
      </c>
    </row>
    <row r="30" spans="15:43" ht="18.75" hidden="1" customHeight="1">
      <c r="S30" s="1184" t="s">
        <v>42</v>
      </c>
      <c r="T30" s="1184"/>
      <c r="U30" s="850"/>
      <c r="V30" s="1186" t="str">
        <f>IF(TITLE_IST_PUB_CHANGE="",IF(TITLE_IST_PUB="","",TITLE_IST_PUB),TITLE_IST_PUB_CHANGE)</f>
        <v/>
      </c>
      <c r="W30" s="1186"/>
      <c r="X30" s="1186"/>
      <c r="Y30" s="1186"/>
      <c r="Z30" s="1186"/>
      <c r="AA30" s="1186"/>
      <c r="AC30" s="1186" t="str">
        <f>IF(TITLE_IST_PUB_CHANGE="",IF(TITLE_IST_PUB="","",TITLE_IST_PUB),TITLE_IST_PUB_CHANGE)</f>
        <v/>
      </c>
      <c r="AD30" s="1186"/>
      <c r="AE30" s="1186"/>
      <c r="AF30" s="1186"/>
      <c r="AG30" s="1186"/>
      <c r="AH30" s="1186"/>
      <c r="AQ30" s="593">
        <v>0</v>
      </c>
    </row>
    <row r="31" spans="15:43" ht="14.25" hidden="1" customHeight="1">
      <c r="Q31" s="757"/>
      <c r="R31" s="757"/>
      <c r="S31" s="848"/>
      <c r="T31" s="557"/>
      <c r="U31" s="557"/>
      <c r="V31" s="827"/>
      <c r="W31" s="827"/>
      <c r="X31" s="827"/>
      <c r="Y31" s="827"/>
      <c r="Z31" s="827"/>
      <c r="AA31" s="827"/>
      <c r="AB31" s="827"/>
      <c r="AC31" s="827"/>
      <c r="AD31" s="827"/>
      <c r="AE31" s="827"/>
      <c r="AF31" s="827"/>
      <c r="AG31" s="827"/>
      <c r="AH31" s="827"/>
      <c r="AI31" s="827"/>
      <c r="AQ31" s="539">
        <v>0</v>
      </c>
    </row>
    <row r="32" spans="15:43" ht="18.75" hidden="1" customHeight="1">
      <c r="S32" s="1184" t="s">
        <v>433</v>
      </c>
      <c r="T32" s="1184"/>
      <c r="U32" s="850"/>
      <c r="V32" s="1185" t="str">
        <f>IF(TITLE_DATE_PR_CHANGE="",IF(TITLE_DATE_PR="","",TITLE_DATE_PR),TITLE_DATE_PR_CHANGE)</f>
        <v/>
      </c>
      <c r="W32" s="1185"/>
      <c r="X32" s="1185"/>
      <c r="Y32" s="1185"/>
      <c r="Z32" s="1185"/>
      <c r="AA32" s="1185"/>
      <c r="AC32" s="1185" t="str">
        <f>IF(TITLE_DATE_PR_CHANGE="",IF(TITLE_DATE_PR="","",TITLE_DATE_PR),TITLE_DATE_PR_CHANGE)</f>
        <v/>
      </c>
      <c r="AD32" s="1185"/>
      <c r="AE32" s="1185"/>
      <c r="AF32" s="1185"/>
      <c r="AG32" s="1185"/>
      <c r="AH32" s="1185"/>
      <c r="AQ32" s="593">
        <v>0</v>
      </c>
    </row>
    <row r="33" spans="1:43" ht="18.75" hidden="1" customHeight="1">
      <c r="S33" s="1184" t="s">
        <v>434</v>
      </c>
      <c r="T33" s="1184"/>
      <c r="U33" s="850"/>
      <c r="V33" s="1186" t="str">
        <f>IF(TITLE_NUMBER_PR_CHANGE="",IF(TITLE_NUMBER_PR="","",TITLE_NUMBER_PR),TITLE_NUMBER_PR_CHANGE)</f>
        <v/>
      </c>
      <c r="W33" s="1186"/>
      <c r="X33" s="1186"/>
      <c r="Y33" s="1186"/>
      <c r="Z33" s="1186"/>
      <c r="AA33" s="1186"/>
      <c r="AC33" s="1186" t="str">
        <f>IF(TITLE_NUMBER_PR_CHANGE="",IF(TITLE_NUMBER_PR="","",TITLE_NUMBER_PR),TITLE_NUMBER_PR_CHANGE)</f>
        <v/>
      </c>
      <c r="AD33" s="1186"/>
      <c r="AE33" s="1186"/>
      <c r="AF33" s="1186"/>
      <c r="AG33" s="1186"/>
      <c r="AH33" s="1186"/>
      <c r="AQ33" s="593">
        <v>0</v>
      </c>
    </row>
    <row r="34" spans="1:43" ht="1.1499999999999999" customHeight="1">
      <c r="AB34" s="578" t="s">
        <v>435</v>
      </c>
      <c r="AI34" s="578" t="s">
        <v>435</v>
      </c>
      <c r="AQ34" s="593">
        <v>1</v>
      </c>
    </row>
    <row r="35" spans="1:43" ht="14.65" customHeight="1">
      <c r="Q35" s="757"/>
      <c r="R35" s="757"/>
      <c r="S35" s="848"/>
      <c r="T35" s="557"/>
      <c r="U35" s="851"/>
      <c r="V35" s="1204"/>
      <c r="W35" s="1204"/>
      <c r="X35" s="1204"/>
      <c r="Y35" s="1204"/>
      <c r="Z35" s="1204"/>
      <c r="AA35" s="1204"/>
      <c r="AB35" s="1204"/>
      <c r="AC35" s="1204"/>
      <c r="AD35" s="1204"/>
      <c r="AE35" s="1204"/>
      <c r="AF35" s="1204"/>
      <c r="AG35" s="1204"/>
      <c r="AH35" s="1204"/>
      <c r="AI35" s="1204"/>
      <c r="AQ35" s="539">
        <v>14</v>
      </c>
    </row>
    <row r="36" spans="1:43" ht="14.65" customHeight="1">
      <c r="Q36" s="757"/>
      <c r="R36" s="757"/>
      <c r="S36" s="1070" t="s">
        <v>308</v>
      </c>
      <c r="T36" s="1070"/>
      <c r="U36" s="1070"/>
      <c r="V36" s="1070"/>
      <c r="W36" s="1070"/>
      <c r="X36" s="1070"/>
      <c r="Y36" s="1070"/>
      <c r="Z36" s="1070"/>
      <c r="AA36" s="1070"/>
      <c r="AB36" s="1070"/>
      <c r="AC36" s="1070"/>
      <c r="AD36" s="1070"/>
      <c r="AE36" s="1070"/>
      <c r="AF36" s="1070"/>
      <c r="AG36" s="1070"/>
      <c r="AH36" s="1070"/>
      <c r="AI36" s="1070"/>
      <c r="AJ36" s="1070"/>
      <c r="AK36" s="1070" t="s">
        <v>309</v>
      </c>
      <c r="AQ36" s="539">
        <v>14</v>
      </c>
    </row>
    <row r="37" spans="1:43" ht="14.65" customHeight="1">
      <c r="Q37" s="757"/>
      <c r="R37" s="757"/>
      <c r="S37" s="1205" t="s">
        <v>87</v>
      </c>
      <c r="T37" s="1155" t="s">
        <v>436</v>
      </c>
      <c r="U37" s="818"/>
      <c r="V37" s="1206" t="s">
        <v>437</v>
      </c>
      <c r="W37" s="1207"/>
      <c r="X37" s="1207"/>
      <c r="Y37" s="1207"/>
      <c r="Z37" s="1207"/>
      <c r="AA37" s="1208"/>
      <c r="AB37" s="1209" t="s">
        <v>438</v>
      </c>
      <c r="AC37" s="1206" t="s">
        <v>437</v>
      </c>
      <c r="AD37" s="1207"/>
      <c r="AE37" s="1207"/>
      <c r="AF37" s="1207"/>
      <c r="AG37" s="1207"/>
      <c r="AH37" s="1208"/>
      <c r="AI37" s="1209" t="s">
        <v>439</v>
      </c>
      <c r="AJ37" s="1212" t="s">
        <v>440</v>
      </c>
      <c r="AK37" s="1070"/>
      <c r="AQ37" s="539">
        <v>14</v>
      </c>
    </row>
    <row r="38" spans="1:43" ht="35.65" customHeight="1">
      <c r="Q38" s="757"/>
      <c r="R38" s="757"/>
      <c r="S38" s="1205"/>
      <c r="T38" s="1155"/>
      <c r="U38" s="823"/>
      <c r="V38" s="618" t="s">
        <v>497</v>
      </c>
      <c r="W38" s="1051" t="s">
        <v>443</v>
      </c>
      <c r="X38" s="1050"/>
      <c r="Y38" s="1051" t="s">
        <v>444</v>
      </c>
      <c r="Z38" s="1056"/>
      <c r="AA38" s="1050"/>
      <c r="AB38" s="1210"/>
      <c r="AC38" s="618" t="s">
        <v>497</v>
      </c>
      <c r="AD38" s="1051" t="s">
        <v>443</v>
      </c>
      <c r="AE38" s="1050"/>
      <c r="AF38" s="1051" t="s">
        <v>444</v>
      </c>
      <c r="AG38" s="1056"/>
      <c r="AH38" s="1050"/>
      <c r="AI38" s="1210"/>
      <c r="AJ38" s="1213"/>
      <c r="AK38" s="1070"/>
      <c r="AQ38" s="539">
        <v>34</v>
      </c>
    </row>
    <row r="39" spans="1:43" ht="35.65" customHeight="1">
      <c r="B39" s="599" t="s">
        <v>145</v>
      </c>
      <c r="C39" s="599" t="s">
        <v>146</v>
      </c>
      <c r="D39" s="599" t="s">
        <v>147</v>
      </c>
      <c r="E39" s="842" t="s">
        <v>445</v>
      </c>
      <c r="F39" s="842" t="s">
        <v>446</v>
      </c>
      <c r="G39" s="842" t="s">
        <v>447</v>
      </c>
      <c r="I39" s="842" t="s">
        <v>498</v>
      </c>
      <c r="J39" s="842" t="s">
        <v>450</v>
      </c>
      <c r="K39" s="842" t="s">
        <v>499</v>
      </c>
      <c r="L39" s="842" t="s">
        <v>426</v>
      </c>
      <c r="Q39" s="757"/>
      <c r="R39" s="757"/>
      <c r="S39" s="1205"/>
      <c r="T39" s="1155"/>
      <c r="U39" s="853"/>
      <c r="V39" s="618" t="s">
        <v>500</v>
      </c>
      <c r="W39" s="603" t="s">
        <v>501</v>
      </c>
      <c r="X39" s="603" t="s">
        <v>502</v>
      </c>
      <c r="Y39" s="603" t="s">
        <v>454</v>
      </c>
      <c r="Z39" s="1160" t="s">
        <v>455</v>
      </c>
      <c r="AA39" s="1173"/>
      <c r="AB39" s="1211"/>
      <c r="AC39" s="618" t="s">
        <v>500</v>
      </c>
      <c r="AD39" s="603" t="s">
        <v>501</v>
      </c>
      <c r="AE39" s="603" t="s">
        <v>502</v>
      </c>
      <c r="AF39" s="603" t="s">
        <v>454</v>
      </c>
      <c r="AG39" s="1160" t="s">
        <v>455</v>
      </c>
      <c r="AH39" s="1173"/>
      <c r="AI39" s="1211"/>
      <c r="AJ39" s="1214"/>
      <c r="AK39" s="1070"/>
      <c r="AQ39" s="539">
        <v>34</v>
      </c>
    </row>
    <row r="40" spans="1:43" ht="11.25" hidden="1" customHeight="1">
      <c r="Q40" s="854"/>
      <c r="R40" s="855">
        <v>1</v>
      </c>
      <c r="S40" s="330" t="s">
        <v>114</v>
      </c>
      <c r="T40" s="331" t="s">
        <v>102</v>
      </c>
      <c r="U40" s="856" t="str">
        <f ca="1">OFFSET(U40,0,-1)</f>
        <v>2</v>
      </c>
      <c r="V40" s="857">
        <f ca="1">OFFSET(V40,0,-1)+1</f>
        <v>3</v>
      </c>
      <c r="W40" s="857">
        <f ca="1">OFFSET(W40,0,-1)+1</f>
        <v>4</v>
      </c>
      <c r="X40" s="857">
        <f ca="1">OFFSET(X40,0,-1)+1</f>
        <v>5</v>
      </c>
      <c r="Y40" s="857">
        <f ca="1">OFFSET(Y40,0,-1)+1</f>
        <v>6</v>
      </c>
      <c r="Z40" s="1203">
        <f ca="1">OFFSET(Z40,0,-1)+1</f>
        <v>7</v>
      </c>
      <c r="AA40" s="1203"/>
      <c r="AB40" s="857">
        <f ca="1">OFFSET(AB40,0,-2)+1</f>
        <v>8</v>
      </c>
      <c r="AC40" s="857">
        <f ca="1">OFFSET(AC40,0,-1)+1</f>
        <v>9</v>
      </c>
      <c r="AD40" s="857">
        <f ca="1">OFFSET(AD40,0,-1)+1</f>
        <v>10</v>
      </c>
      <c r="AE40" s="857">
        <f ca="1">OFFSET(AE40,0,-1)+1</f>
        <v>11</v>
      </c>
      <c r="AF40" s="857">
        <f ca="1">OFFSET(AF40,0,-1)+1</f>
        <v>12</v>
      </c>
      <c r="AG40" s="1203">
        <f ca="1">OFFSET(AG40,0,-1)+1</f>
        <v>13</v>
      </c>
      <c r="AH40" s="1203"/>
      <c r="AI40" s="857">
        <f ca="1">OFFSET(AI40,0,-2)+1</f>
        <v>14</v>
      </c>
      <c r="AJ40" s="856">
        <f ca="1">OFFSET(AJ40,0,-1)</f>
        <v>14</v>
      </c>
      <c r="AK40" s="857">
        <f ca="1">OFFSET(AK40,0,-1)+1</f>
        <v>15</v>
      </c>
      <c r="AQ40" s="682">
        <v>0</v>
      </c>
    </row>
    <row r="41" spans="1:43" ht="24" customHeight="1">
      <c r="A41" s="858" t="s">
        <v>234</v>
      </c>
      <c r="E41" s="1192">
        <v>1</v>
      </c>
      <c r="R41" s="311"/>
      <c r="S41" s="833">
        <f>INDEX(PT_DIFFERENTIATION_NUM_NTAR,MATCH(A41,PT_DIFFERENTIATION_NTAR_ID,0))</f>
        <v>0</v>
      </c>
      <c r="T41" s="796" t="s">
        <v>133</v>
      </c>
      <c r="U41" s="834"/>
      <c r="V41" s="1187"/>
      <c r="W41" s="1188"/>
      <c r="X41" s="1188"/>
      <c r="Y41" s="1188"/>
      <c r="Z41" s="1188"/>
      <c r="AA41" s="1188"/>
      <c r="AB41" s="1189"/>
      <c r="AC41" s="1187" t="str">
        <f>INDEX(PT_DIFFERENTIATION_NTAR,MATCH(A41,PT_DIFFERENTIATION_NTAR_ID,0))</f>
        <v/>
      </c>
      <c r="AD41" s="1188"/>
      <c r="AE41" s="1188"/>
      <c r="AF41" s="1188"/>
      <c r="AG41" s="1188"/>
      <c r="AH41" s="1188"/>
      <c r="AI41" s="1188"/>
      <c r="AJ41" s="1189"/>
      <c r="AK41"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3" t="str">
        <f t="shared" ref="AN41:AN53" si="1">IF(T41="","",T41)</f>
        <v>Наименование тарифа</v>
      </c>
      <c r="AQ41" s="539">
        <v>23</v>
      </c>
    </row>
    <row r="42" spans="1:43" ht="24" customHeight="1">
      <c r="A42" s="858" t="s">
        <v>234</v>
      </c>
      <c r="B42" s="858" t="s">
        <v>235</v>
      </c>
      <c r="E42" s="1193"/>
      <c r="F42" s="1192">
        <v>1</v>
      </c>
      <c r="Q42" s="837"/>
      <c r="R42" s="838"/>
      <c r="S42" s="833" t="str">
        <f>INDEX(PT_DIFFERENTIATION_NUM_TER,MATCH(B42,PT_DIFFERENTIATION_TER_ID,0))</f>
        <v>.</v>
      </c>
      <c r="T42" s="839" t="s">
        <v>405</v>
      </c>
      <c r="U42" s="834"/>
      <c r="V42" s="1187"/>
      <c r="W42" s="1188"/>
      <c r="X42" s="1188"/>
      <c r="Y42" s="1188"/>
      <c r="Z42" s="1188"/>
      <c r="AA42" s="1188"/>
      <c r="AB42" s="1189"/>
      <c r="AC42" s="1187" t="str">
        <f>INDEX(PT_DIFFERENTIATION_TER,MATCH(B42,PT_DIFFERENTIATION_TER_ID,0))</f>
        <v/>
      </c>
      <c r="AD42" s="1188"/>
      <c r="AE42" s="1188"/>
      <c r="AF42" s="1188"/>
      <c r="AG42" s="1188"/>
      <c r="AH42" s="1188"/>
      <c r="AI42" s="1188"/>
      <c r="AJ42" s="1189"/>
      <c r="AK42" s="836" t="s">
        <v>406</v>
      </c>
      <c r="AN42" s="583" t="str">
        <f t="shared" si="1"/>
        <v>Территория действия тарифа</v>
      </c>
      <c r="AQ42" s="539">
        <v>23</v>
      </c>
    </row>
    <row r="43" spans="1:43" ht="24" customHeight="1">
      <c r="A43" s="858" t="s">
        <v>234</v>
      </c>
      <c r="B43" s="858" t="s">
        <v>235</v>
      </c>
      <c r="C43" s="858" t="s">
        <v>236</v>
      </c>
      <c r="E43" s="1193"/>
      <c r="F43" s="1193"/>
      <c r="G43" s="1192">
        <v>1</v>
      </c>
      <c r="Q43" s="837"/>
      <c r="R43" s="838"/>
      <c r="S43" s="833" t="str">
        <f>INDEX(PT_DIFFERENTIATION_NUM_CS,MATCH(C43,PT_DIFFERENTIATION_CS_ID,0))</f>
        <v>..</v>
      </c>
      <c r="T43" s="840" t="s">
        <v>489</v>
      </c>
      <c r="U43" s="834"/>
      <c r="V43" s="1187"/>
      <c r="W43" s="1188"/>
      <c r="X43" s="1188"/>
      <c r="Y43" s="1188"/>
      <c r="Z43" s="1188"/>
      <c r="AA43" s="1188"/>
      <c r="AB43" s="1189"/>
      <c r="AC43" s="1187" t="str">
        <f>INDEX(PT_DIFFERENTIATION_CS,MATCH(C43,PT_DIFFERENTIATION_CS_ID,0))</f>
        <v/>
      </c>
      <c r="AD43" s="1188"/>
      <c r="AE43" s="1188"/>
      <c r="AF43" s="1188"/>
      <c r="AG43" s="1188"/>
      <c r="AH43" s="1188"/>
      <c r="AI43" s="1188"/>
      <c r="AJ43" s="1189"/>
      <c r="AK43" s="836" t="s">
        <v>490</v>
      </c>
      <c r="AN43" s="583" t="str">
        <f t="shared" si="1"/>
        <v>Наименование централизованной системы холодного водоснабжения</v>
      </c>
      <c r="AQ43" s="539">
        <v>23</v>
      </c>
    </row>
    <row r="44" spans="1:43" ht="24" customHeight="1">
      <c r="A44" s="858" t="s">
        <v>234</v>
      </c>
      <c r="B44" s="858" t="s">
        <v>235</v>
      </c>
      <c r="C44" s="858" t="s">
        <v>236</v>
      </c>
      <c r="D44" s="858" t="s">
        <v>503</v>
      </c>
      <c r="E44" s="1193"/>
      <c r="F44" s="1193"/>
      <c r="G44" s="1193"/>
      <c r="H44" s="1193"/>
      <c r="I44" s="1194" t="str">
        <f>S43&amp;".1"</f>
        <v>...1</v>
      </c>
      <c r="P44" s="1196">
        <v>1</v>
      </c>
      <c r="R44" s="843"/>
      <c r="S44" s="833" t="str">
        <f>$I44</f>
        <v>...1</v>
      </c>
      <c r="T44" s="844" t="s">
        <v>491</v>
      </c>
      <c r="U44" s="834"/>
      <c r="V44" s="1260"/>
      <c r="W44" s="1261"/>
      <c r="X44" s="1261"/>
      <c r="Y44" s="1261"/>
      <c r="Z44" s="1261"/>
      <c r="AA44" s="1261"/>
      <c r="AB44" s="1262"/>
      <c r="AC44" s="1263"/>
      <c r="AD44" s="1264"/>
      <c r="AE44" s="1264"/>
      <c r="AF44" s="1264"/>
      <c r="AG44" s="1264"/>
      <c r="AH44" s="1264"/>
      <c r="AI44" s="1264"/>
      <c r="AJ44" s="1265"/>
      <c r="AK44" s="836" t="s">
        <v>492</v>
      </c>
      <c r="AN44" s="583" t="str">
        <f t="shared" si="1"/>
        <v>Наименование признака дифференциации</v>
      </c>
      <c r="AQ44" s="539">
        <v>23</v>
      </c>
    </row>
    <row r="45" spans="1:43" ht="24" customHeight="1">
      <c r="A45" s="858" t="s">
        <v>234</v>
      </c>
      <c r="B45" s="858" t="s">
        <v>235</v>
      </c>
      <c r="C45" s="858" t="s">
        <v>236</v>
      </c>
      <c r="D45" s="858" t="s">
        <v>503</v>
      </c>
      <c r="E45" s="1193"/>
      <c r="F45" s="1193"/>
      <c r="G45" s="1193"/>
      <c r="H45" s="1193"/>
      <c r="I45" s="1195"/>
      <c r="J45" s="1194" t="str">
        <f>I44&amp;".1"</f>
        <v>...1.1</v>
      </c>
      <c r="L45" s="842" t="s">
        <v>414</v>
      </c>
      <c r="P45" s="1038"/>
      <c r="Q45" s="1196">
        <v>1</v>
      </c>
      <c r="R45" s="845"/>
      <c r="S45" s="833" t="str">
        <f>$J45</f>
        <v>...1.1</v>
      </c>
      <c r="T45" s="846" t="s">
        <v>415</v>
      </c>
      <c r="U45" s="834"/>
      <c r="V45" s="1181"/>
      <c r="W45" s="1182"/>
      <c r="X45" s="1182"/>
      <c r="Y45" s="1182"/>
      <c r="Z45" s="1182"/>
      <c r="AA45" s="1182"/>
      <c r="AB45" s="1183"/>
      <c r="AC45" s="1181"/>
      <c r="AD45" s="1182"/>
      <c r="AE45" s="1182"/>
      <c r="AF45" s="1182"/>
      <c r="AG45" s="1182"/>
      <c r="AH45" s="1182"/>
      <c r="AI45" s="1182"/>
      <c r="AJ45" s="1183"/>
      <c r="AK45" s="875" t="s">
        <v>493</v>
      </c>
      <c r="AN45" s="583" t="str">
        <f t="shared" si="1"/>
        <v>Группа потребителей</v>
      </c>
      <c r="AQ45" s="539">
        <v>23</v>
      </c>
    </row>
    <row r="46" spans="1:43" ht="24" customHeight="1">
      <c r="A46" s="858" t="s">
        <v>234</v>
      </c>
      <c r="B46" s="858" t="s">
        <v>235</v>
      </c>
      <c r="C46" s="858" t="s">
        <v>236</v>
      </c>
      <c r="D46" s="858" t="s">
        <v>503</v>
      </c>
      <c r="E46" s="1193"/>
      <c r="F46" s="1193"/>
      <c r="G46" s="1193"/>
      <c r="H46" s="1193"/>
      <c r="I46" s="1195"/>
      <c r="J46" s="1195"/>
      <c r="K46" s="1194" t="str">
        <f>J45&amp;".1"</f>
        <v>...1.1.1</v>
      </c>
      <c r="P46" s="1038"/>
      <c r="Q46" s="1038"/>
      <c r="R46" s="845">
        <v>1</v>
      </c>
      <c r="S46" s="833" t="str">
        <f>$K46</f>
        <v>...1.1.1</v>
      </c>
      <c r="T46" s="398"/>
      <c r="U46" s="834"/>
      <c r="V46" s="276"/>
      <c r="W46" s="276"/>
      <c r="X46" s="328"/>
      <c r="Y46" s="1191"/>
      <c r="Z46" s="1190" t="s">
        <v>61</v>
      </c>
      <c r="AA46" s="1191"/>
      <c r="AB46" s="1190" t="s">
        <v>61</v>
      </c>
      <c r="AC46" s="312"/>
      <c r="AD46" s="312"/>
      <c r="AE46" s="314"/>
      <c r="AF46" s="1197"/>
      <c r="AG46" s="1079" t="s">
        <v>61</v>
      </c>
      <c r="AH46" s="1199"/>
      <c r="AI46" s="1079" t="s">
        <v>19</v>
      </c>
      <c r="AJ46" s="399"/>
      <c r="AK46"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8" t="e">
        <f ca="1">STRCHECKDATE(V47:AJ47)</f>
        <v>#NAME?</v>
      </c>
      <c r="AN46" s="583" t="str">
        <f t="shared" si="1"/>
        <v/>
      </c>
      <c r="AQ46" s="539">
        <v>23</v>
      </c>
    </row>
    <row r="47" spans="1:43" ht="0" hidden="1" customHeight="1">
      <c r="A47" s="858" t="s">
        <v>234</v>
      </c>
      <c r="B47" s="858" t="s">
        <v>235</v>
      </c>
      <c r="C47" s="858" t="s">
        <v>236</v>
      </c>
      <c r="D47" s="858" t="s">
        <v>503</v>
      </c>
      <c r="E47" s="1193"/>
      <c r="F47" s="1193"/>
      <c r="G47" s="1193"/>
      <c r="H47" s="1193"/>
      <c r="I47" s="1195"/>
      <c r="J47" s="1195"/>
      <c r="K47" s="1194"/>
      <c r="P47" s="1038"/>
      <c r="Q47" s="1038"/>
      <c r="R47" s="845"/>
      <c r="S47" s="127"/>
      <c r="T47" s="834"/>
      <c r="U47" s="834"/>
      <c r="V47" s="276"/>
      <c r="W47" s="276"/>
      <c r="X47" s="315" t="str">
        <f>Y46&amp;"-"&amp;AA46</f>
        <v>-</v>
      </c>
      <c r="Y47" s="1190"/>
      <c r="Z47" s="1190"/>
      <c r="AA47" s="1190"/>
      <c r="AB47" s="1190"/>
      <c r="AC47" s="313"/>
      <c r="AD47" s="313"/>
      <c r="AE47" s="315" t="str">
        <f>AF46&amp;"-"&amp;AH46</f>
        <v>-</v>
      </c>
      <c r="AF47" s="1198"/>
      <c r="AG47" s="1079"/>
      <c r="AH47" s="1200"/>
      <c r="AI47" s="1079"/>
      <c r="AJ47" s="388"/>
      <c r="AK47" s="1266"/>
      <c r="AN47" s="583" t="str">
        <f t="shared" si="1"/>
        <v/>
      </c>
      <c r="AQ47" s="539">
        <v>0</v>
      </c>
    </row>
    <row r="48" spans="1:43" ht="21" customHeight="1">
      <c r="A48" s="858" t="s">
        <v>234</v>
      </c>
      <c r="B48" s="858" t="s">
        <v>235</v>
      </c>
      <c r="C48" s="858" t="s">
        <v>236</v>
      </c>
      <c r="D48" s="858" t="s">
        <v>503</v>
      </c>
      <c r="E48" s="1193"/>
      <c r="F48" s="1193"/>
      <c r="G48" s="1193"/>
      <c r="H48" s="1193"/>
      <c r="I48" s="1195"/>
      <c r="J48" s="1194"/>
      <c r="P48" s="1038"/>
      <c r="Q48" s="1038"/>
      <c r="R48" s="843"/>
      <c r="S48" s="316"/>
      <c r="T48" s="319" t="s">
        <v>494</v>
      </c>
      <c r="U48" s="52"/>
      <c r="V48" s="52"/>
      <c r="W48" s="52"/>
      <c r="X48" s="52"/>
      <c r="Y48" s="52"/>
      <c r="Z48" s="52"/>
      <c r="AA48" s="52"/>
      <c r="AB48" s="52"/>
      <c r="AC48" s="52"/>
      <c r="AD48" s="52"/>
      <c r="AE48" s="52"/>
      <c r="AF48" s="52"/>
      <c r="AG48" s="52"/>
      <c r="AH48" s="52"/>
      <c r="AI48" s="52"/>
      <c r="AJ48" s="52"/>
      <c r="AK48" s="836" t="s">
        <v>495</v>
      </c>
      <c r="AN48" s="583" t="str">
        <f t="shared" si="1"/>
        <v>Добавить значение признака дифференциации</v>
      </c>
      <c r="AQ48" s="539">
        <v>20</v>
      </c>
    </row>
    <row r="49" spans="1:43" ht="21.95" customHeight="1">
      <c r="A49" s="858" t="s">
        <v>234</v>
      </c>
      <c r="B49" s="858" t="s">
        <v>235</v>
      </c>
      <c r="C49" s="858" t="s">
        <v>236</v>
      </c>
      <c r="D49" s="858" t="s">
        <v>503</v>
      </c>
      <c r="E49" s="1193"/>
      <c r="F49" s="1193"/>
      <c r="G49" s="1193"/>
      <c r="H49" s="1193"/>
      <c r="I49" s="1194"/>
      <c r="P49" s="1038"/>
      <c r="R49" s="843"/>
      <c r="S49" s="316"/>
      <c r="T49" s="322" t="s">
        <v>420</v>
      </c>
      <c r="U49" s="52"/>
      <c r="V49" s="52"/>
      <c r="W49" s="52"/>
      <c r="X49" s="52"/>
      <c r="Y49" s="52"/>
      <c r="Z49" s="52"/>
      <c r="AA49" s="52"/>
      <c r="AB49" s="320"/>
      <c r="AC49" s="52"/>
      <c r="AD49" s="52"/>
      <c r="AE49" s="52"/>
      <c r="AF49" s="52"/>
      <c r="AG49" s="52"/>
      <c r="AH49" s="52"/>
      <c r="AI49" s="320"/>
      <c r="AJ49" s="52"/>
      <c r="AK49" s="400"/>
      <c r="AN49" s="583" t="str">
        <f t="shared" si="1"/>
        <v>Добавить группу потребителей</v>
      </c>
      <c r="AQ49" s="539">
        <v>21</v>
      </c>
    </row>
    <row r="50" spans="1:43" ht="21.95" customHeight="1">
      <c r="A50" s="858" t="s">
        <v>234</v>
      </c>
      <c r="B50" s="858" t="s">
        <v>235</v>
      </c>
      <c r="C50" s="858" t="s">
        <v>236</v>
      </c>
      <c r="D50" s="858" t="s">
        <v>503</v>
      </c>
      <c r="E50" s="1193"/>
      <c r="F50" s="1193"/>
      <c r="G50" s="1193"/>
      <c r="H50" s="1192"/>
      <c r="R50" s="311"/>
      <c r="S50" s="316"/>
      <c r="T50" s="377" t="s">
        <v>496</v>
      </c>
      <c r="U50" s="52"/>
      <c r="V50" s="52"/>
      <c r="W50" s="52"/>
      <c r="X50" s="52"/>
      <c r="Y50" s="52"/>
      <c r="Z50" s="52"/>
      <c r="AA50" s="52"/>
      <c r="AB50" s="320"/>
      <c r="AC50" s="52"/>
      <c r="AD50" s="52"/>
      <c r="AE50" s="52"/>
      <c r="AF50" s="52"/>
      <c r="AG50" s="52"/>
      <c r="AH50" s="52"/>
      <c r="AI50" s="320"/>
      <c r="AJ50" s="52"/>
      <c r="AK50" s="321"/>
      <c r="AN50" s="583" t="str">
        <f t="shared" si="1"/>
        <v>Добавить наименование признака дифференциации</v>
      </c>
      <c r="AQ50" s="539">
        <v>21</v>
      </c>
    </row>
    <row r="51" spans="1:43" ht="0" hidden="1" customHeight="1">
      <c r="A51" s="575" t="s">
        <v>234</v>
      </c>
      <c r="B51" s="575" t="s">
        <v>235</v>
      </c>
      <c r="E51" s="1193"/>
      <c r="F51" s="1192"/>
      <c r="T51" s="327" t="s">
        <v>423</v>
      </c>
      <c r="AN51" s="583" t="str">
        <f t="shared" si="1"/>
        <v>Добавить централизованную систему для дифференциации</v>
      </c>
      <c r="AQ51" s="578">
        <v>0</v>
      </c>
    </row>
    <row r="52" spans="1:43" ht="0" hidden="1" customHeight="1">
      <c r="A52" s="575" t="s">
        <v>234</v>
      </c>
      <c r="E52" s="1192"/>
      <c r="T52" s="327" t="s">
        <v>424</v>
      </c>
      <c r="AN52" s="583" t="str">
        <f t="shared" si="1"/>
        <v>Добавить территорию для дифференциации</v>
      </c>
      <c r="AQ52" s="578">
        <v>0</v>
      </c>
    </row>
    <row r="53" spans="1:43" ht="0" hidden="1" customHeight="1">
      <c r="T53" s="327" t="s">
        <v>456</v>
      </c>
      <c r="AN53" s="583" t="str">
        <f t="shared" si="1"/>
        <v>Добавить наименование тарифа</v>
      </c>
      <c r="AQ53" s="578">
        <v>0</v>
      </c>
    </row>
    <row r="54" spans="1:43" ht="11.45" customHeight="1">
      <c r="AQ54" s="539">
        <v>11</v>
      </c>
    </row>
    <row r="55" spans="1:43" ht="14.65" customHeight="1">
      <c r="T55" s="1038"/>
      <c r="U55" s="1038"/>
      <c r="V55" s="1038"/>
      <c r="W55" s="1038"/>
      <c r="X55" s="1038"/>
      <c r="Y55" s="1038"/>
      <c r="Z55" s="1038"/>
      <c r="AA55" s="1038"/>
      <c r="AB55" s="1038"/>
      <c r="AC55" s="1038"/>
      <c r="AD55" s="1038"/>
      <c r="AE55" s="1038"/>
      <c r="AF55" s="1038"/>
      <c r="AG55" s="1038"/>
      <c r="AH55" s="1038"/>
      <c r="AI55" s="1038"/>
      <c r="AJ55" s="1038"/>
      <c r="AK55" s="1038"/>
      <c r="AQ55" s="539">
        <v>14</v>
      </c>
    </row>
    <row r="56" spans="1:43" ht="14.65" customHeight="1">
      <c r="AQ56" s="539">
        <v>14</v>
      </c>
    </row>
    <row r="57" spans="1:43" ht="14.65" customHeight="1">
      <c r="T57" s="1038"/>
      <c r="U57" s="1038"/>
      <c r="V57" s="1038"/>
      <c r="W57" s="1038"/>
      <c r="X57" s="1038"/>
      <c r="Y57" s="1038"/>
      <c r="Z57" s="1038"/>
      <c r="AA57" s="1038"/>
      <c r="AB57" s="1038"/>
      <c r="AC57" s="1038"/>
      <c r="AD57" s="1038"/>
      <c r="AE57" s="1038"/>
      <c r="AF57" s="1038"/>
      <c r="AG57" s="1038"/>
      <c r="AH57" s="1038"/>
      <c r="AI57" s="1038"/>
      <c r="AJ57" s="1038"/>
      <c r="AK57" s="1038"/>
      <c r="AQ57" s="539">
        <v>14</v>
      </c>
    </row>
    <row r="58" spans="1:43" ht="22.5" hidden="1" customHeight="1">
      <c r="A58" s="556" t="s">
        <v>81</v>
      </c>
      <c r="B58" s="556">
        <v>0</v>
      </c>
      <c r="C58" s="556">
        <v>0</v>
      </c>
      <c r="D58" s="556">
        <v>0</v>
      </c>
      <c r="E58" s="556">
        <v>0</v>
      </c>
      <c r="F58" s="556">
        <v>0</v>
      </c>
      <c r="G58" s="556">
        <v>0</v>
      </c>
      <c r="H58" s="556">
        <v>0</v>
      </c>
      <c r="I58" s="556">
        <v>0</v>
      </c>
      <c r="J58" s="556">
        <v>0</v>
      </c>
      <c r="K58" s="556">
        <v>0</v>
      </c>
      <c r="L58" s="668">
        <v>0</v>
      </c>
      <c r="M58" s="12">
        <v>0</v>
      </c>
      <c r="N58" s="12">
        <v>0</v>
      </c>
      <c r="O58" s="12">
        <v>0</v>
      </c>
      <c r="P58" s="301">
        <v>3</v>
      </c>
      <c r="Q58" s="822">
        <v>3</v>
      </c>
      <c r="R58" s="822">
        <v>3</v>
      </c>
      <c r="S58" s="554">
        <v>12</v>
      </c>
      <c r="T58" s="539">
        <v>35</v>
      </c>
      <c r="U58" s="539">
        <v>0</v>
      </c>
      <c r="V58" s="539">
        <v>0</v>
      </c>
      <c r="W58" s="539">
        <v>0</v>
      </c>
      <c r="X58" s="539">
        <v>0</v>
      </c>
      <c r="Y58" s="539">
        <v>0</v>
      </c>
      <c r="Z58" s="539">
        <v>0</v>
      </c>
      <c r="AA58" s="539">
        <v>0</v>
      </c>
      <c r="AB58" s="539">
        <v>0</v>
      </c>
      <c r="AC58" s="539">
        <v>24</v>
      </c>
      <c r="AD58" s="539">
        <v>24</v>
      </c>
      <c r="AE58" s="539">
        <v>24</v>
      </c>
      <c r="AF58" s="539">
        <v>11</v>
      </c>
      <c r="AG58" s="539">
        <v>3</v>
      </c>
      <c r="AH58" s="539">
        <v>11</v>
      </c>
      <c r="AI58" s="539">
        <v>0</v>
      </c>
      <c r="AJ58" s="539">
        <v>4</v>
      </c>
      <c r="AK58" s="539">
        <v>115</v>
      </c>
      <c r="AL58" s="578">
        <v>10</v>
      </c>
      <c r="AM58" s="578">
        <v>10</v>
      </c>
      <c r="AN58" s="578">
        <v>10</v>
      </c>
      <c r="AO58" s="578">
        <v>10</v>
      </c>
      <c r="AP58" s="578">
        <v>10</v>
      </c>
      <c r="AQ58" s="539">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4.140625" style="1030" hidden="1" customWidth="1"/>
    <col min="10" max="10" width="9.85546875" style="1030" hidden="1" customWidth="1"/>
    <col min="11" max="11" width="14.710937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5" style="1030" customWidth="1"/>
    <col min="21" max="21" width="0.140625" style="1030" customWidth="1"/>
    <col min="22" max="24" width="24.7109375" style="1030" hidden="1" customWidth="1"/>
    <col min="25" max="25" width="11.7109375" style="1030" hidden="1" customWidth="1"/>
    <col min="26" max="26" width="3.7109375" style="1030" hidden="1" customWidth="1"/>
    <col min="27" max="27" width="11.7109375" style="1030" hidden="1" customWidth="1"/>
    <col min="28" max="28" width="8.5703125" style="1030" hidden="1" customWidth="1"/>
    <col min="29" max="29" width="24.7109375" style="1030" customWidth="1"/>
    <col min="30" max="31" width="24" style="1030" customWidth="1"/>
    <col min="32" max="32" width="11" style="1030" customWidth="1"/>
    <col min="33" max="33" width="3.7109375" style="1030" customWidth="1"/>
    <col min="34" max="34" width="11" style="1030" customWidth="1"/>
    <col min="35" max="35" width="8.5703125" style="1030" hidden="1" customWidth="1"/>
    <col min="36" max="36" width="4" style="1030" customWidth="1"/>
    <col min="37" max="37" width="115" style="1030" customWidth="1"/>
    <col min="38" max="42" width="10" style="1030" customWidth="1"/>
    <col min="43" max="43" width="10.5703125" style="1030" hidden="1"/>
  </cols>
  <sheetData>
    <row r="1" spans="5:43" ht="22.5" hidden="1" customHeight="1">
      <c r="AQ1" s="539" t="s">
        <v>14</v>
      </c>
    </row>
    <row r="2" spans="5:43" ht="23.25" hidden="1" customHeight="1">
      <c r="E2" s="1192">
        <v>1</v>
      </c>
      <c r="R2" s="311"/>
      <c r="S2" s="833" t="e">
        <f>INDEX(PT_DIFFERENTIATION_NUM_NTAR,MATCH(A2,PT_DIFFERENTIATION_NTAR_ID,0))</f>
        <v>#N/A</v>
      </c>
      <c r="T2" s="796" t="s">
        <v>133</v>
      </c>
      <c r="U2" s="834"/>
      <c r="V2" s="1187"/>
      <c r="W2" s="1188"/>
      <c r="X2" s="1188"/>
      <c r="Y2" s="1188"/>
      <c r="Z2" s="1188"/>
      <c r="AA2" s="1188"/>
      <c r="AB2" s="1189"/>
      <c r="AC2" s="1187" t="e">
        <f>INDEX(PT_DIFFERENTIATION_NTAR,MATCH(A2,PT_DIFFERENTIATION_NTAR_ID,0))</f>
        <v>#N/A</v>
      </c>
      <c r="AD2" s="1188"/>
      <c r="AE2" s="1188"/>
      <c r="AF2" s="1188"/>
      <c r="AG2" s="1188"/>
      <c r="AH2" s="1188"/>
      <c r="AI2" s="1188"/>
      <c r="AJ2" s="1189"/>
      <c r="AK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3" t="str">
        <f t="shared" ref="AN2:AN13" si="0">IF(T2="","",T2)</f>
        <v>Наименование тарифа</v>
      </c>
      <c r="AQ2" s="539">
        <v>0</v>
      </c>
    </row>
    <row r="3" spans="5:43" ht="23.25"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9"/>
      <c r="AC3" s="1187" t="e">
        <f>INDEX(PT_DIFFERENTIATION_TER,MATCH(B3,PT_DIFFERENTIATION_TER_ID,0))</f>
        <v>#N/A</v>
      </c>
      <c r="AD3" s="1188"/>
      <c r="AE3" s="1188"/>
      <c r="AF3" s="1188"/>
      <c r="AG3" s="1188"/>
      <c r="AH3" s="1188"/>
      <c r="AI3" s="1188"/>
      <c r="AJ3" s="1189"/>
      <c r="AK3" s="836" t="s">
        <v>406</v>
      </c>
      <c r="AN3" s="583" t="str">
        <f t="shared" si="0"/>
        <v>Территория действия тарифа</v>
      </c>
      <c r="AQ3" s="539">
        <v>0</v>
      </c>
    </row>
    <row r="4" spans="5:43" ht="23.25" hidden="1" customHeight="1">
      <c r="E4" s="1193"/>
      <c r="F4" s="1193"/>
      <c r="G4" s="1192">
        <v>1</v>
      </c>
      <c r="Q4" s="837"/>
      <c r="R4" s="838"/>
      <c r="S4" s="833" t="e">
        <f>INDEX(PT_DIFFERENTIATION_NUM_CS,MATCH(C4,PT_DIFFERENTIATION_CS_ID,0))</f>
        <v>#N/A</v>
      </c>
      <c r="T4" s="840" t="s">
        <v>489</v>
      </c>
      <c r="U4" s="834"/>
      <c r="V4" s="1187"/>
      <c r="W4" s="1188"/>
      <c r="X4" s="1188"/>
      <c r="Y4" s="1188"/>
      <c r="Z4" s="1188"/>
      <c r="AA4" s="1188"/>
      <c r="AB4" s="1189"/>
      <c r="AC4" s="1187" t="e">
        <f>INDEX(PT_DIFFERENTIATION_CS,MATCH(C4,PT_DIFFERENTIATION_CS_ID,0))</f>
        <v>#N/A</v>
      </c>
      <c r="AD4" s="1188"/>
      <c r="AE4" s="1188"/>
      <c r="AF4" s="1188"/>
      <c r="AG4" s="1188"/>
      <c r="AH4" s="1188"/>
      <c r="AI4" s="1188"/>
      <c r="AJ4" s="1189"/>
      <c r="AK4" s="836" t="s">
        <v>490</v>
      </c>
      <c r="AN4" s="583" t="str">
        <f t="shared" si="0"/>
        <v>Наименование централизованной системы холодного водоснабжения</v>
      </c>
      <c r="AQ4" s="539">
        <v>0</v>
      </c>
    </row>
    <row r="5" spans="5:43" ht="23.25" hidden="1" customHeight="1">
      <c r="E5" s="1193"/>
      <c r="F5" s="1193"/>
      <c r="G5" s="1193"/>
      <c r="H5" s="1193"/>
      <c r="I5" s="1194" t="e">
        <f>S4&amp;".1"</f>
        <v>#N/A</v>
      </c>
      <c r="P5" s="1196">
        <v>1</v>
      </c>
      <c r="R5" s="843"/>
      <c r="S5" s="833" t="e">
        <f>$I5</f>
        <v>#N/A</v>
      </c>
      <c r="T5" s="844" t="s">
        <v>491</v>
      </c>
      <c r="U5" s="834"/>
      <c r="V5" s="1260"/>
      <c r="W5" s="1261"/>
      <c r="X5" s="1261"/>
      <c r="Y5" s="1261"/>
      <c r="Z5" s="1261"/>
      <c r="AA5" s="1261"/>
      <c r="AB5" s="1262"/>
      <c r="AC5" s="1263"/>
      <c r="AD5" s="1264"/>
      <c r="AE5" s="1264"/>
      <c r="AF5" s="1264"/>
      <c r="AG5" s="1264"/>
      <c r="AH5" s="1264"/>
      <c r="AI5" s="1264"/>
      <c r="AJ5" s="1265"/>
      <c r="AK5" s="836" t="s">
        <v>492</v>
      </c>
      <c r="AN5" s="583" t="str">
        <f t="shared" si="0"/>
        <v>Наименование признака дифференциации</v>
      </c>
      <c r="AQ5" s="539">
        <v>0</v>
      </c>
    </row>
    <row r="6" spans="5:43" ht="23.25" hidden="1" customHeight="1">
      <c r="E6" s="1193"/>
      <c r="F6" s="1193"/>
      <c r="G6" s="1193"/>
      <c r="H6" s="1193"/>
      <c r="I6" s="1195"/>
      <c r="J6" s="1194" t="e">
        <f>I5&amp;".1"</f>
        <v>#N/A</v>
      </c>
      <c r="L6" s="842" t="s">
        <v>414</v>
      </c>
      <c r="P6" s="1038"/>
      <c r="Q6" s="1196">
        <v>1</v>
      </c>
      <c r="R6" s="845"/>
      <c r="S6" s="833" t="e">
        <f>$J6</f>
        <v>#N/A</v>
      </c>
      <c r="T6" s="846" t="s">
        <v>415</v>
      </c>
      <c r="U6" s="834"/>
      <c r="V6" s="1181"/>
      <c r="W6" s="1182"/>
      <c r="X6" s="1182"/>
      <c r="Y6" s="1182"/>
      <c r="Z6" s="1182"/>
      <c r="AA6" s="1182"/>
      <c r="AB6" s="1183"/>
      <c r="AC6" s="1181"/>
      <c r="AD6" s="1182"/>
      <c r="AE6" s="1182"/>
      <c r="AF6" s="1182"/>
      <c r="AG6" s="1182"/>
      <c r="AH6" s="1182"/>
      <c r="AI6" s="1182"/>
      <c r="AJ6" s="1183"/>
      <c r="AK6" s="875" t="s">
        <v>493</v>
      </c>
      <c r="AN6" s="583" t="str">
        <f t="shared" si="0"/>
        <v>Группа потребителей</v>
      </c>
      <c r="AQ6" s="539">
        <v>0</v>
      </c>
    </row>
    <row r="7" spans="5:43" ht="23.25" hidden="1" customHeight="1">
      <c r="E7" s="1193"/>
      <c r="F7" s="1193"/>
      <c r="G7" s="1193"/>
      <c r="H7" s="1193"/>
      <c r="I7" s="1195"/>
      <c r="J7" s="1195"/>
      <c r="K7" s="1194" t="e">
        <f>J6&amp;".1"</f>
        <v>#N/A</v>
      </c>
      <c r="P7" s="1038"/>
      <c r="Q7" s="1038"/>
      <c r="R7" s="845">
        <v>1</v>
      </c>
      <c r="S7" s="833" t="e">
        <f>$K7</f>
        <v>#N/A</v>
      </c>
      <c r="T7" s="398"/>
      <c r="U7" s="834"/>
      <c r="V7" s="312"/>
      <c r="W7" s="312"/>
      <c r="X7" s="314"/>
      <c r="Y7" s="1197"/>
      <c r="Z7" s="1079" t="s">
        <v>61</v>
      </c>
      <c r="AA7" s="1197"/>
      <c r="AB7" s="1079" t="s">
        <v>61</v>
      </c>
      <c r="AC7" s="312"/>
      <c r="AD7" s="312"/>
      <c r="AE7" s="314"/>
      <c r="AF7" s="1197"/>
      <c r="AG7" s="1079" t="s">
        <v>61</v>
      </c>
      <c r="AH7" s="1199"/>
      <c r="AI7" s="1079" t="s">
        <v>61</v>
      </c>
      <c r="AJ7" s="399"/>
      <c r="AK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8" t="e">
        <f ca="1">STRCHECKDATE(V8:AJ8)</f>
        <v>#NAME?</v>
      </c>
      <c r="AN7" s="583" t="str">
        <f t="shared" si="0"/>
        <v/>
      </c>
      <c r="AQ7" s="539">
        <v>0</v>
      </c>
    </row>
    <row r="8" spans="5:43" ht="14.25" hidden="1" customHeight="1">
      <c r="E8" s="1193"/>
      <c r="F8" s="1193"/>
      <c r="G8" s="1193"/>
      <c r="H8" s="1193"/>
      <c r="I8" s="1195"/>
      <c r="J8" s="1195"/>
      <c r="K8" s="1194"/>
      <c r="P8" s="1038"/>
      <c r="Q8" s="1038"/>
      <c r="R8" s="845"/>
      <c r="S8" s="127"/>
      <c r="T8" s="834"/>
      <c r="U8" s="834"/>
      <c r="V8" s="313"/>
      <c r="W8" s="313"/>
      <c r="X8" s="315" t="str">
        <f>Y7&amp;"-"&amp;AA7</f>
        <v>-</v>
      </c>
      <c r="Y8" s="1198"/>
      <c r="Z8" s="1079"/>
      <c r="AA8" s="1198"/>
      <c r="AB8" s="1079"/>
      <c r="AC8" s="313"/>
      <c r="AD8" s="313"/>
      <c r="AE8" s="315" t="str">
        <f>AF7&amp;"-"&amp;AH7</f>
        <v>-</v>
      </c>
      <c r="AF8" s="1198"/>
      <c r="AG8" s="1079"/>
      <c r="AH8" s="1200"/>
      <c r="AI8" s="1079"/>
      <c r="AJ8" s="388"/>
      <c r="AK8" s="1266"/>
      <c r="AN8" s="583" t="str">
        <f t="shared" si="0"/>
        <v/>
      </c>
      <c r="AQ8" s="539">
        <v>0</v>
      </c>
    </row>
    <row r="9" spans="5:43" ht="21" hidden="1" customHeight="1">
      <c r="E9" s="1193"/>
      <c r="F9" s="1193"/>
      <c r="G9" s="1193"/>
      <c r="H9" s="1193"/>
      <c r="I9" s="1195"/>
      <c r="J9" s="1194"/>
      <c r="P9" s="1038"/>
      <c r="Q9" s="1038"/>
      <c r="R9" s="843"/>
      <c r="S9" s="316"/>
      <c r="T9" s="319" t="s">
        <v>494</v>
      </c>
      <c r="U9" s="52"/>
      <c r="V9" s="52"/>
      <c r="W9" s="52"/>
      <c r="X9" s="52"/>
      <c r="Y9" s="52"/>
      <c r="Z9" s="52"/>
      <c r="AA9" s="52"/>
      <c r="AB9" s="52"/>
      <c r="AC9" s="52"/>
      <c r="AD9" s="52"/>
      <c r="AE9" s="52"/>
      <c r="AF9" s="52"/>
      <c r="AG9" s="52"/>
      <c r="AH9" s="52"/>
      <c r="AI9" s="52"/>
      <c r="AJ9" s="52"/>
      <c r="AK9" s="836" t="s">
        <v>495</v>
      </c>
      <c r="AN9" s="583" t="str">
        <f t="shared" si="0"/>
        <v>Добавить значение признака дифференциации</v>
      </c>
      <c r="AQ9" s="539">
        <v>0</v>
      </c>
    </row>
    <row r="10" spans="5:43" ht="21" hidden="1" customHeight="1">
      <c r="E10" s="1193"/>
      <c r="F10" s="1193"/>
      <c r="G10" s="1193"/>
      <c r="H10" s="1193"/>
      <c r="I10" s="1194"/>
      <c r="P10" s="1038"/>
      <c r="R10" s="843"/>
      <c r="S10" s="316"/>
      <c r="T10" s="322" t="s">
        <v>420</v>
      </c>
      <c r="U10" s="52"/>
      <c r="V10" s="52"/>
      <c r="W10" s="52"/>
      <c r="X10" s="52"/>
      <c r="Y10" s="52"/>
      <c r="Z10" s="52"/>
      <c r="AA10" s="52"/>
      <c r="AB10" s="320"/>
      <c r="AC10" s="52"/>
      <c r="AD10" s="52"/>
      <c r="AE10" s="52"/>
      <c r="AF10" s="52"/>
      <c r="AG10" s="52"/>
      <c r="AH10" s="52"/>
      <c r="AI10" s="320"/>
      <c r="AJ10" s="52"/>
      <c r="AK10" s="400"/>
      <c r="AN10" s="583" t="str">
        <f t="shared" si="0"/>
        <v>Добавить группу потребителей</v>
      </c>
      <c r="AQ10" s="539">
        <v>0</v>
      </c>
    </row>
    <row r="11" spans="5:43" ht="21" hidden="1" customHeight="1">
      <c r="E11" s="1193"/>
      <c r="F11" s="1193"/>
      <c r="G11" s="1193"/>
      <c r="H11" s="1192"/>
      <c r="R11" s="311"/>
      <c r="S11" s="316"/>
      <c r="T11" s="377" t="s">
        <v>496</v>
      </c>
      <c r="U11" s="52"/>
      <c r="V11" s="52"/>
      <c r="W11" s="52"/>
      <c r="X11" s="52"/>
      <c r="Y11" s="52"/>
      <c r="Z11" s="52"/>
      <c r="AA11" s="52"/>
      <c r="AB11" s="320"/>
      <c r="AC11" s="52"/>
      <c r="AD11" s="52"/>
      <c r="AE11" s="52"/>
      <c r="AF11" s="52"/>
      <c r="AG11" s="52"/>
      <c r="AH11" s="52"/>
      <c r="AI11" s="320"/>
      <c r="AJ11" s="52"/>
      <c r="AK11" s="321"/>
      <c r="AN11" s="583" t="str">
        <f t="shared" si="0"/>
        <v>Добавить наименование признака дифференциации</v>
      </c>
      <c r="AQ11" s="539">
        <v>0</v>
      </c>
    </row>
    <row r="12" spans="5:43" ht="14.25" hidden="1" customHeight="1">
      <c r="E12" s="1193"/>
      <c r="F12" s="1192"/>
      <c r="T12" s="327" t="s">
        <v>423</v>
      </c>
      <c r="AN12" s="583" t="str">
        <f t="shared" si="0"/>
        <v>Добавить централизованную систему для дифференциации</v>
      </c>
      <c r="AQ12" s="578">
        <v>0</v>
      </c>
    </row>
    <row r="13" spans="5:43" ht="14.25" hidden="1" customHeight="1">
      <c r="E13" s="1192"/>
      <c r="T13" s="327" t="s">
        <v>424</v>
      </c>
      <c r="AN13" s="583" t="str">
        <f t="shared" si="0"/>
        <v>Добавить территорию для дифференциации</v>
      </c>
      <c r="AQ13" s="578">
        <v>0</v>
      </c>
    </row>
    <row r="14" spans="5:43" ht="14.25" hidden="1" customHeight="1">
      <c r="AQ14" s="539">
        <v>0</v>
      </c>
    </row>
    <row r="15" spans="5:43" ht="14.25" hidden="1" customHeight="1">
      <c r="AC15" s="276"/>
      <c r="AD15" s="276"/>
      <c r="AE15" s="328"/>
      <c r="AF15" s="1191"/>
      <c r="AG15" s="1190" t="s">
        <v>61</v>
      </c>
      <c r="AH15" s="1191"/>
      <c r="AI15" s="1190" t="s">
        <v>61</v>
      </c>
      <c r="AQ15" s="539">
        <v>0</v>
      </c>
    </row>
    <row r="16" spans="5:43" ht="14.25" hidden="1" customHeight="1">
      <c r="AC16" s="276"/>
      <c r="AD16" s="276"/>
      <c r="AE16" s="315" t="str">
        <f>AF15&amp;"-"&amp;AH15</f>
        <v>-</v>
      </c>
      <c r="AF16" s="1190"/>
      <c r="AG16" s="1190"/>
      <c r="AH16" s="1190"/>
      <c r="AI16" s="1190"/>
      <c r="AQ16" s="539">
        <v>0</v>
      </c>
    </row>
    <row r="17" spans="15:43" ht="14.25" hidden="1" customHeight="1">
      <c r="AQ17" s="539">
        <v>0</v>
      </c>
    </row>
    <row r="18" spans="15:43" ht="22.5" hidden="1" customHeight="1">
      <c r="O18" s="329" t="s">
        <v>425</v>
      </c>
      <c r="Y18" s="329"/>
      <c r="AA18" s="329"/>
      <c r="AF18" s="329"/>
      <c r="AH18" s="329"/>
      <c r="AQ18" s="556">
        <v>0</v>
      </c>
    </row>
    <row r="19" spans="15:43" ht="14.25" hidden="1" customHeight="1">
      <c r="AQ19" s="556">
        <v>0</v>
      </c>
    </row>
    <row r="20" spans="15:43" ht="12" hidden="1" customHeight="1">
      <c r="O20" s="842" t="s">
        <v>426</v>
      </c>
      <c r="T20" s="556" t="s">
        <v>427</v>
      </c>
      <c r="Z20" s="599" t="s">
        <v>428</v>
      </c>
      <c r="AB20" s="599" t="s">
        <v>429</v>
      </c>
      <c r="AC20" s="556" t="s">
        <v>427</v>
      </c>
      <c r="AG20" s="599" t="s">
        <v>430</v>
      </c>
      <c r="AI20" s="599" t="s">
        <v>429</v>
      </c>
      <c r="AQ20" s="556">
        <v>0</v>
      </c>
    </row>
    <row r="21" spans="15:43" ht="14.25" hidden="1" customHeight="1">
      <c r="AQ21" s="539">
        <v>0</v>
      </c>
    </row>
    <row r="22" spans="15:43" ht="14.25" hidden="1" customHeight="1">
      <c r="AQ22" s="539">
        <v>0</v>
      </c>
    </row>
    <row r="23" spans="15:43" ht="14.65" customHeight="1">
      <c r="Q23" s="757"/>
      <c r="R23" s="757"/>
      <c r="S23" s="848"/>
      <c r="T23" s="557"/>
      <c r="U23" s="557"/>
      <c r="AQ23" s="539">
        <v>14</v>
      </c>
    </row>
    <row r="24" spans="15:43" ht="14.65" customHeight="1">
      <c r="Q24" s="757"/>
      <c r="R24" s="757"/>
      <c r="S24" s="1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74"/>
      <c r="U24" s="1174"/>
      <c r="V24" s="1174"/>
      <c r="W24" s="1174"/>
      <c r="X24" s="1174"/>
      <c r="Y24" s="1174"/>
      <c r="Z24" s="1174"/>
      <c r="AA24" s="1174"/>
      <c r="AB24" s="1174"/>
      <c r="AC24" s="1174"/>
      <c r="AD24" s="1174"/>
      <c r="AE24" s="1174"/>
      <c r="AF24" s="1174"/>
      <c r="AG24" s="1174"/>
      <c r="AH24" s="1174"/>
      <c r="AQ24" s="539">
        <v>14</v>
      </c>
    </row>
    <row r="25" spans="15:43" ht="14.65" customHeight="1">
      <c r="Q25" s="757"/>
      <c r="R25" s="757"/>
      <c r="S25" s="1148" t="str">
        <f>IF(org=0,"Не определено",org)</f>
        <v>АО "НИЖЕГОРОДСКИЙ ВОДОКАНАЛ"</v>
      </c>
      <c r="T25" s="1148"/>
      <c r="U25" s="1148"/>
      <c r="V25" s="1148"/>
      <c r="W25" s="1148"/>
      <c r="X25" s="1148"/>
      <c r="Y25" s="1148"/>
      <c r="Z25" s="1148"/>
      <c r="AA25" s="1148"/>
      <c r="AB25" s="1148"/>
      <c r="AC25" s="1148"/>
      <c r="AD25" s="1148"/>
      <c r="AE25" s="1148"/>
      <c r="AF25" s="1148"/>
      <c r="AG25" s="1148"/>
      <c r="AH25" s="1148"/>
      <c r="AQ25" s="539">
        <v>14</v>
      </c>
    </row>
    <row r="26" spans="15:43" ht="14.25" hidden="1" customHeight="1">
      <c r="Q26" s="757"/>
      <c r="R26" s="757"/>
      <c r="S26" s="848"/>
      <c r="T26" s="557"/>
      <c r="U26" s="557"/>
      <c r="V26" s="827"/>
      <c r="W26" s="827"/>
      <c r="X26" s="827"/>
      <c r="Y26" s="827"/>
      <c r="Z26" s="827"/>
      <c r="AA26" s="827"/>
      <c r="AB26" s="827"/>
      <c r="AC26" s="827"/>
      <c r="AD26" s="827"/>
      <c r="AE26" s="827"/>
      <c r="AF26" s="827"/>
      <c r="AG26" s="827"/>
      <c r="AH26" s="827"/>
      <c r="AI26" s="827"/>
      <c r="AQ26" s="539">
        <v>0</v>
      </c>
    </row>
    <row r="27" spans="15:43" ht="25.5" hidden="1" customHeight="1">
      <c r="S27" s="1184" t="s">
        <v>41</v>
      </c>
      <c r="T27" s="1184"/>
      <c r="U27" s="850"/>
      <c r="V27" s="1186" t="str">
        <f>IF(TITLE_NAME_OR_PR_CHANGE="",IF(TITLE_NAME_OR_PR="","",TITLE_NAME_OR_PR),TITLE_NAME_OR_PR_CHANGE)</f>
        <v/>
      </c>
      <c r="W27" s="1186"/>
      <c r="X27" s="1186"/>
      <c r="Y27" s="1186"/>
      <c r="Z27" s="1186"/>
      <c r="AA27" s="1186"/>
      <c r="AC27" s="1186" t="str">
        <f>IF(TITLE_NAME_OR_PR_CHANGE="",IF(TITLE_NAME_OR_PR="","",TITLE_NAME_OR_PR),TITLE_NAME_OR_PR_CHANGE)</f>
        <v/>
      </c>
      <c r="AD27" s="1186"/>
      <c r="AE27" s="1186"/>
      <c r="AF27" s="1186"/>
      <c r="AG27" s="1186"/>
      <c r="AH27" s="1186"/>
      <c r="AQ27" s="593">
        <v>0</v>
      </c>
    </row>
    <row r="28" spans="15:43" ht="18.75" hidden="1" customHeight="1">
      <c r="S28" s="1184" t="s">
        <v>431</v>
      </c>
      <c r="T28" s="1184"/>
      <c r="U28" s="850"/>
      <c r="V28" s="1185" t="str">
        <f>IF(TITLE_DATE_PR_CHANGE="",IF(TITLE_DATE_PR="","",TITLE_DATE_PR),TITLE_DATE_PR_CHANGE)</f>
        <v/>
      </c>
      <c r="W28" s="1185"/>
      <c r="X28" s="1185"/>
      <c r="Y28" s="1185"/>
      <c r="Z28" s="1185"/>
      <c r="AA28" s="1185"/>
      <c r="AC28" s="1185" t="str">
        <f>IF(TITLE_DATE_PR_CHANGE="",IF(TITLE_DATE_PR="","",TITLE_DATE_PR),TITLE_DATE_PR_CHANGE)</f>
        <v/>
      </c>
      <c r="AD28" s="1185"/>
      <c r="AE28" s="1185"/>
      <c r="AF28" s="1185"/>
      <c r="AG28" s="1185"/>
      <c r="AH28" s="1185"/>
      <c r="AQ28" s="593">
        <v>0</v>
      </c>
    </row>
    <row r="29" spans="15:43" ht="18.75" hidden="1" customHeight="1">
      <c r="S29" s="1184" t="s">
        <v>432</v>
      </c>
      <c r="T29" s="1184"/>
      <c r="U29" s="850"/>
      <c r="V29" s="1186" t="str">
        <f>IF(TITLE_NUMBER_PR_CHANGE="",IF(TITLE_NUMBER_PR="","",TITLE_NUMBER_PR),TITLE_NUMBER_PR_CHANGE)</f>
        <v/>
      </c>
      <c r="W29" s="1186"/>
      <c r="X29" s="1186"/>
      <c r="Y29" s="1186"/>
      <c r="Z29" s="1186"/>
      <c r="AA29" s="1186"/>
      <c r="AC29" s="1186" t="str">
        <f>IF(TITLE_NUMBER_PR_CHANGE="",IF(TITLE_NUMBER_PR="","",TITLE_NUMBER_PR),TITLE_NUMBER_PR_CHANGE)</f>
        <v/>
      </c>
      <c r="AD29" s="1186"/>
      <c r="AE29" s="1186"/>
      <c r="AF29" s="1186"/>
      <c r="AG29" s="1186"/>
      <c r="AH29" s="1186"/>
      <c r="AQ29" s="593">
        <v>0</v>
      </c>
    </row>
    <row r="30" spans="15:43" ht="18.75" hidden="1" customHeight="1">
      <c r="S30" s="1184" t="s">
        <v>42</v>
      </c>
      <c r="T30" s="1184"/>
      <c r="U30" s="850"/>
      <c r="V30" s="1186" t="str">
        <f>IF(TITLE_IST_PUB_CHANGE="",IF(TITLE_IST_PUB="","",TITLE_IST_PUB),TITLE_IST_PUB_CHANGE)</f>
        <v/>
      </c>
      <c r="W30" s="1186"/>
      <c r="X30" s="1186"/>
      <c r="Y30" s="1186"/>
      <c r="Z30" s="1186"/>
      <c r="AA30" s="1186"/>
      <c r="AC30" s="1186" t="str">
        <f>IF(TITLE_IST_PUB_CHANGE="",IF(TITLE_IST_PUB="","",TITLE_IST_PUB),TITLE_IST_PUB_CHANGE)</f>
        <v/>
      </c>
      <c r="AD30" s="1186"/>
      <c r="AE30" s="1186"/>
      <c r="AF30" s="1186"/>
      <c r="AG30" s="1186"/>
      <c r="AH30" s="1186"/>
      <c r="AQ30" s="593">
        <v>0</v>
      </c>
    </row>
    <row r="31" spans="15:43" ht="14.25" hidden="1" customHeight="1">
      <c r="Q31" s="757"/>
      <c r="R31" s="757"/>
      <c r="S31" s="848"/>
      <c r="T31" s="557"/>
      <c r="U31" s="557"/>
      <c r="V31" s="827"/>
      <c r="W31" s="827"/>
      <c r="X31" s="827"/>
      <c r="Y31" s="827"/>
      <c r="Z31" s="827"/>
      <c r="AA31" s="827"/>
      <c r="AB31" s="827"/>
      <c r="AC31" s="827"/>
      <c r="AD31" s="827"/>
      <c r="AE31" s="827"/>
      <c r="AF31" s="827"/>
      <c r="AG31" s="827"/>
      <c r="AH31" s="827"/>
      <c r="AI31" s="827"/>
      <c r="AQ31" s="539">
        <v>0</v>
      </c>
    </row>
    <row r="32" spans="15:43" ht="18.75" hidden="1" customHeight="1">
      <c r="S32" s="1184" t="s">
        <v>433</v>
      </c>
      <c r="T32" s="1184"/>
      <c r="U32" s="850"/>
      <c r="V32" s="1185" t="str">
        <f>IF(TITLE_DATE_PR_CHANGE="",IF(TITLE_DATE_PR="","",TITLE_DATE_PR),TITLE_DATE_PR_CHANGE)</f>
        <v/>
      </c>
      <c r="W32" s="1185"/>
      <c r="X32" s="1185"/>
      <c r="Y32" s="1185"/>
      <c r="Z32" s="1185"/>
      <c r="AA32" s="1185"/>
      <c r="AC32" s="1185" t="str">
        <f>IF(TITLE_DATE_PR_CHANGE="",IF(TITLE_DATE_PR="","",TITLE_DATE_PR),TITLE_DATE_PR_CHANGE)</f>
        <v/>
      </c>
      <c r="AD32" s="1185"/>
      <c r="AE32" s="1185"/>
      <c r="AF32" s="1185"/>
      <c r="AG32" s="1185"/>
      <c r="AH32" s="1185"/>
      <c r="AQ32" s="593">
        <v>0</v>
      </c>
    </row>
    <row r="33" spans="1:43" ht="18.75" hidden="1" customHeight="1">
      <c r="S33" s="1184" t="s">
        <v>434</v>
      </c>
      <c r="T33" s="1184"/>
      <c r="U33" s="850"/>
      <c r="V33" s="1186" t="str">
        <f>IF(TITLE_NUMBER_PR_CHANGE="",IF(TITLE_NUMBER_PR="","",TITLE_NUMBER_PR),TITLE_NUMBER_PR_CHANGE)</f>
        <v/>
      </c>
      <c r="W33" s="1186"/>
      <c r="X33" s="1186"/>
      <c r="Y33" s="1186"/>
      <c r="Z33" s="1186"/>
      <c r="AA33" s="1186"/>
      <c r="AC33" s="1186" t="str">
        <f>IF(TITLE_NUMBER_PR_CHANGE="",IF(TITLE_NUMBER_PR="","",TITLE_NUMBER_PR),TITLE_NUMBER_PR_CHANGE)</f>
        <v/>
      </c>
      <c r="AD33" s="1186"/>
      <c r="AE33" s="1186"/>
      <c r="AF33" s="1186"/>
      <c r="AG33" s="1186"/>
      <c r="AH33" s="1186"/>
      <c r="AQ33" s="593">
        <v>0</v>
      </c>
    </row>
    <row r="34" spans="1:43" ht="1.1499999999999999" customHeight="1">
      <c r="AB34" s="578" t="s">
        <v>435</v>
      </c>
      <c r="AI34" s="578" t="s">
        <v>435</v>
      </c>
      <c r="AQ34" s="593">
        <v>1</v>
      </c>
    </row>
    <row r="35" spans="1:43" ht="14.65" customHeight="1">
      <c r="Q35" s="757"/>
      <c r="R35" s="757"/>
      <c r="S35" s="848"/>
      <c r="T35" s="557"/>
      <c r="U35" s="851"/>
      <c r="V35" s="1204"/>
      <c r="W35" s="1204"/>
      <c r="X35" s="1204"/>
      <c r="Y35" s="1204"/>
      <c r="Z35" s="1204"/>
      <c r="AA35" s="1204"/>
      <c r="AB35" s="1204"/>
      <c r="AC35" s="1204"/>
      <c r="AD35" s="1204"/>
      <c r="AE35" s="1204"/>
      <c r="AF35" s="1204"/>
      <c r="AG35" s="1204"/>
      <c r="AH35" s="1204"/>
      <c r="AI35" s="1204"/>
      <c r="AQ35" s="539">
        <v>14</v>
      </c>
    </row>
    <row r="36" spans="1:43" ht="14.65" customHeight="1">
      <c r="Q36" s="757"/>
      <c r="R36" s="757"/>
      <c r="S36" s="1070" t="s">
        <v>308</v>
      </c>
      <c r="T36" s="1070"/>
      <c r="U36" s="1070"/>
      <c r="V36" s="1070"/>
      <c r="W36" s="1070"/>
      <c r="X36" s="1070"/>
      <c r="Y36" s="1070"/>
      <c r="Z36" s="1070"/>
      <c r="AA36" s="1070"/>
      <c r="AB36" s="1070"/>
      <c r="AC36" s="1070"/>
      <c r="AD36" s="1070"/>
      <c r="AE36" s="1070"/>
      <c r="AF36" s="1070"/>
      <c r="AG36" s="1070"/>
      <c r="AH36" s="1070"/>
      <c r="AI36" s="1070"/>
      <c r="AJ36" s="1070"/>
      <c r="AK36" s="1070" t="s">
        <v>309</v>
      </c>
      <c r="AQ36" s="539">
        <v>14</v>
      </c>
    </row>
    <row r="37" spans="1:43" ht="14.65" customHeight="1">
      <c r="Q37" s="757"/>
      <c r="R37" s="757"/>
      <c r="S37" s="1205" t="s">
        <v>87</v>
      </c>
      <c r="T37" s="1155" t="s">
        <v>436</v>
      </c>
      <c r="U37" s="818"/>
      <c r="V37" s="1206" t="s">
        <v>437</v>
      </c>
      <c r="W37" s="1207"/>
      <c r="X37" s="1207"/>
      <c r="Y37" s="1207"/>
      <c r="Z37" s="1207"/>
      <c r="AA37" s="1208"/>
      <c r="AB37" s="1209" t="s">
        <v>438</v>
      </c>
      <c r="AC37" s="1206" t="s">
        <v>437</v>
      </c>
      <c r="AD37" s="1207"/>
      <c r="AE37" s="1207"/>
      <c r="AF37" s="1207"/>
      <c r="AG37" s="1207"/>
      <c r="AH37" s="1208"/>
      <c r="AI37" s="1209" t="s">
        <v>439</v>
      </c>
      <c r="AJ37" s="1212" t="s">
        <v>440</v>
      </c>
      <c r="AK37" s="1070"/>
      <c r="AQ37" s="539">
        <v>14</v>
      </c>
    </row>
    <row r="38" spans="1:43" ht="35.65" customHeight="1">
      <c r="Q38" s="757"/>
      <c r="R38" s="757"/>
      <c r="S38" s="1205"/>
      <c r="T38" s="1155"/>
      <c r="U38" s="823"/>
      <c r="V38" s="618" t="s">
        <v>497</v>
      </c>
      <c r="W38" s="1051" t="s">
        <v>443</v>
      </c>
      <c r="X38" s="1050"/>
      <c r="Y38" s="1051" t="s">
        <v>444</v>
      </c>
      <c r="Z38" s="1056"/>
      <c r="AA38" s="1050"/>
      <c r="AB38" s="1210"/>
      <c r="AC38" s="618" t="s">
        <v>497</v>
      </c>
      <c r="AD38" s="1051" t="s">
        <v>443</v>
      </c>
      <c r="AE38" s="1050"/>
      <c r="AF38" s="1051" t="s">
        <v>444</v>
      </c>
      <c r="AG38" s="1056"/>
      <c r="AH38" s="1050"/>
      <c r="AI38" s="1210"/>
      <c r="AJ38" s="1213"/>
      <c r="AK38" s="1070"/>
      <c r="AQ38" s="539">
        <v>34</v>
      </c>
    </row>
    <row r="39" spans="1:43" ht="35.65" customHeight="1">
      <c r="B39" s="599" t="s">
        <v>145</v>
      </c>
      <c r="C39" s="599" t="s">
        <v>146</v>
      </c>
      <c r="D39" s="599" t="s">
        <v>147</v>
      </c>
      <c r="E39" s="842" t="s">
        <v>445</v>
      </c>
      <c r="F39" s="842" t="s">
        <v>446</v>
      </c>
      <c r="G39" s="842" t="s">
        <v>447</v>
      </c>
      <c r="I39" s="842" t="s">
        <v>498</v>
      </c>
      <c r="J39" s="842" t="s">
        <v>450</v>
      </c>
      <c r="K39" s="842" t="s">
        <v>499</v>
      </c>
      <c r="L39" s="842" t="s">
        <v>426</v>
      </c>
      <c r="Q39" s="757"/>
      <c r="R39" s="757"/>
      <c r="S39" s="1205"/>
      <c r="T39" s="1155"/>
      <c r="U39" s="853"/>
      <c r="V39" s="618" t="s">
        <v>500</v>
      </c>
      <c r="W39" s="603" t="s">
        <v>501</v>
      </c>
      <c r="X39" s="603" t="s">
        <v>502</v>
      </c>
      <c r="Y39" s="603" t="s">
        <v>454</v>
      </c>
      <c r="Z39" s="1160" t="s">
        <v>455</v>
      </c>
      <c r="AA39" s="1173"/>
      <c r="AB39" s="1211"/>
      <c r="AC39" s="618" t="s">
        <v>500</v>
      </c>
      <c r="AD39" s="603" t="s">
        <v>501</v>
      </c>
      <c r="AE39" s="603" t="s">
        <v>502</v>
      </c>
      <c r="AF39" s="603" t="s">
        <v>454</v>
      </c>
      <c r="AG39" s="1160" t="s">
        <v>455</v>
      </c>
      <c r="AH39" s="1173"/>
      <c r="AI39" s="1211"/>
      <c r="AJ39" s="1214"/>
      <c r="AK39" s="1070"/>
      <c r="AQ39" s="539">
        <v>34</v>
      </c>
    </row>
    <row r="40" spans="1:43" ht="0" hidden="1" customHeight="1">
      <c r="Q40" s="854"/>
      <c r="R40" s="855">
        <v>1</v>
      </c>
      <c r="S40" s="330" t="s">
        <v>114</v>
      </c>
      <c r="T40" s="331" t="s">
        <v>102</v>
      </c>
      <c r="U40" s="856" t="str">
        <f ca="1">OFFSET(U40,0,-1)</f>
        <v>2</v>
      </c>
      <c r="V40" s="857">
        <f ca="1">OFFSET(V40,0,-1)+1</f>
        <v>3</v>
      </c>
      <c r="W40" s="857">
        <f ca="1">OFFSET(W40,0,-1)+1</f>
        <v>4</v>
      </c>
      <c r="X40" s="857">
        <f ca="1">OFFSET(X40,0,-1)+1</f>
        <v>5</v>
      </c>
      <c r="Y40" s="857">
        <f ca="1">OFFSET(Y40,0,-1)+1</f>
        <v>6</v>
      </c>
      <c r="Z40" s="1203">
        <f ca="1">OFFSET(Z40,0,-1)+1</f>
        <v>7</v>
      </c>
      <c r="AA40" s="1203"/>
      <c r="AB40" s="857">
        <f ca="1">OFFSET(AB40,0,-2)+1</f>
        <v>8</v>
      </c>
      <c r="AC40" s="857">
        <f ca="1">OFFSET(AC40,0,-1)+1</f>
        <v>9</v>
      </c>
      <c r="AD40" s="857">
        <f ca="1">OFFSET(AD40,0,-1)+1</f>
        <v>10</v>
      </c>
      <c r="AE40" s="857">
        <f ca="1">OFFSET(AE40,0,-1)+1</f>
        <v>11</v>
      </c>
      <c r="AF40" s="857">
        <f ca="1">OFFSET(AF40,0,-1)+1</f>
        <v>12</v>
      </c>
      <c r="AG40" s="1203">
        <f ca="1">OFFSET(AG40,0,-1)+1</f>
        <v>13</v>
      </c>
      <c r="AH40" s="1203"/>
      <c r="AI40" s="857">
        <f ca="1">OFFSET(AI40,0,-2)+1</f>
        <v>14</v>
      </c>
      <c r="AJ40" s="856">
        <f ca="1">OFFSET(AJ40,0,-1)</f>
        <v>14</v>
      </c>
      <c r="AK40" s="857">
        <f ca="1">OFFSET(AK40,0,-1)+1</f>
        <v>15</v>
      </c>
      <c r="AQ40" s="682">
        <v>0</v>
      </c>
    </row>
    <row r="41" spans="1:43" ht="24" customHeight="1">
      <c r="A41" s="858" t="s">
        <v>239</v>
      </c>
      <c r="E41" s="1192">
        <v>1</v>
      </c>
      <c r="R41" s="311"/>
      <c r="S41" s="833">
        <f>INDEX(PT_DIFFERENTIATION_NUM_NTAR,MATCH(A41,PT_DIFFERENTIATION_NTAR_ID,0))</f>
        <v>0</v>
      </c>
      <c r="T41" s="796" t="s">
        <v>133</v>
      </c>
      <c r="U41" s="834"/>
      <c r="V41" s="1187"/>
      <c r="W41" s="1188"/>
      <c r="X41" s="1188"/>
      <c r="Y41" s="1188"/>
      <c r="Z41" s="1188"/>
      <c r="AA41" s="1188"/>
      <c r="AB41" s="1189"/>
      <c r="AC41" s="1187" t="str">
        <f>INDEX(PT_DIFFERENTIATION_NTAR,MATCH(A41,PT_DIFFERENTIATION_NTAR_ID,0))</f>
        <v/>
      </c>
      <c r="AD41" s="1188"/>
      <c r="AE41" s="1188"/>
      <c r="AF41" s="1188"/>
      <c r="AG41" s="1188"/>
      <c r="AH41" s="1188"/>
      <c r="AI41" s="1188"/>
      <c r="AJ41" s="1189"/>
      <c r="AK41"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3" t="str">
        <f t="shared" ref="AN41:AN53" si="1">IF(T41="","",T41)</f>
        <v>Наименование тарифа</v>
      </c>
      <c r="AQ41" s="539">
        <v>23</v>
      </c>
    </row>
    <row r="42" spans="1:43" ht="24" customHeight="1">
      <c r="A42" s="858" t="s">
        <v>239</v>
      </c>
      <c r="B42" s="858" t="s">
        <v>240</v>
      </c>
      <c r="E42" s="1193"/>
      <c r="F42" s="1192">
        <v>1</v>
      </c>
      <c r="Q42" s="837"/>
      <c r="R42" s="838"/>
      <c r="S42" s="833" t="str">
        <f>INDEX(PT_DIFFERENTIATION_NUM_TER,MATCH(B42,PT_DIFFERENTIATION_TER_ID,0))</f>
        <v>.</v>
      </c>
      <c r="T42" s="839" t="s">
        <v>405</v>
      </c>
      <c r="U42" s="834"/>
      <c r="V42" s="1187"/>
      <c r="W42" s="1188"/>
      <c r="X42" s="1188"/>
      <c r="Y42" s="1188"/>
      <c r="Z42" s="1188"/>
      <c r="AA42" s="1188"/>
      <c r="AB42" s="1189"/>
      <c r="AC42" s="1187" t="str">
        <f>INDEX(PT_DIFFERENTIATION_TER,MATCH(B42,PT_DIFFERENTIATION_TER_ID,0))</f>
        <v/>
      </c>
      <c r="AD42" s="1188"/>
      <c r="AE42" s="1188"/>
      <c r="AF42" s="1188"/>
      <c r="AG42" s="1188"/>
      <c r="AH42" s="1188"/>
      <c r="AI42" s="1188"/>
      <c r="AJ42" s="1189"/>
      <c r="AK42" s="836" t="s">
        <v>406</v>
      </c>
      <c r="AN42" s="583" t="str">
        <f t="shared" si="1"/>
        <v>Территория действия тарифа</v>
      </c>
      <c r="AQ42" s="539">
        <v>23</v>
      </c>
    </row>
    <row r="43" spans="1:43" ht="24" customHeight="1">
      <c r="A43" s="858" t="s">
        <v>239</v>
      </c>
      <c r="B43" s="858" t="s">
        <v>240</v>
      </c>
      <c r="C43" s="858" t="s">
        <v>241</v>
      </c>
      <c r="E43" s="1193"/>
      <c r="F43" s="1193"/>
      <c r="G43" s="1192">
        <v>1</v>
      </c>
      <c r="Q43" s="837"/>
      <c r="R43" s="838"/>
      <c r="S43" s="833" t="str">
        <f>INDEX(PT_DIFFERENTIATION_NUM_CS,MATCH(C43,PT_DIFFERENTIATION_CS_ID,0))</f>
        <v>..</v>
      </c>
      <c r="T43" s="840" t="s">
        <v>489</v>
      </c>
      <c r="U43" s="834"/>
      <c r="V43" s="1187"/>
      <c r="W43" s="1188"/>
      <c r="X43" s="1188"/>
      <c r="Y43" s="1188"/>
      <c r="Z43" s="1188"/>
      <c r="AA43" s="1188"/>
      <c r="AB43" s="1189"/>
      <c r="AC43" s="1187" t="str">
        <f>INDEX(PT_DIFFERENTIATION_CS,MATCH(C43,PT_DIFFERENTIATION_CS_ID,0))</f>
        <v/>
      </c>
      <c r="AD43" s="1188"/>
      <c r="AE43" s="1188"/>
      <c r="AF43" s="1188"/>
      <c r="AG43" s="1188"/>
      <c r="AH43" s="1188"/>
      <c r="AI43" s="1188"/>
      <c r="AJ43" s="1189"/>
      <c r="AK43" s="836" t="s">
        <v>490</v>
      </c>
      <c r="AN43" s="583" t="str">
        <f t="shared" si="1"/>
        <v>Наименование централизованной системы холодного водоснабжения</v>
      </c>
      <c r="AQ43" s="539">
        <v>23</v>
      </c>
    </row>
    <row r="44" spans="1:43" ht="24" customHeight="1">
      <c r="A44" s="858" t="s">
        <v>239</v>
      </c>
      <c r="B44" s="858" t="s">
        <v>240</v>
      </c>
      <c r="C44" s="858" t="s">
        <v>241</v>
      </c>
      <c r="D44" s="858" t="s">
        <v>504</v>
      </c>
      <c r="E44" s="1193"/>
      <c r="F44" s="1193"/>
      <c r="G44" s="1193"/>
      <c r="H44" s="1193"/>
      <c r="I44" s="1194" t="str">
        <f>S43&amp;".1"</f>
        <v>...1</v>
      </c>
      <c r="P44" s="1196">
        <v>1</v>
      </c>
      <c r="R44" s="843"/>
      <c r="S44" s="833" t="str">
        <f>$I44</f>
        <v>...1</v>
      </c>
      <c r="T44" s="844" t="s">
        <v>491</v>
      </c>
      <c r="U44" s="834"/>
      <c r="V44" s="1260"/>
      <c r="W44" s="1261"/>
      <c r="X44" s="1261"/>
      <c r="Y44" s="1261"/>
      <c r="Z44" s="1261"/>
      <c r="AA44" s="1261"/>
      <c r="AB44" s="1262"/>
      <c r="AC44" s="1263"/>
      <c r="AD44" s="1264"/>
      <c r="AE44" s="1264"/>
      <c r="AF44" s="1264"/>
      <c r="AG44" s="1264"/>
      <c r="AH44" s="1264"/>
      <c r="AI44" s="1264"/>
      <c r="AJ44" s="1265"/>
      <c r="AK44" s="836" t="s">
        <v>492</v>
      </c>
      <c r="AN44" s="583" t="str">
        <f t="shared" si="1"/>
        <v>Наименование признака дифференциации</v>
      </c>
      <c r="AQ44" s="539">
        <v>23</v>
      </c>
    </row>
    <row r="45" spans="1:43" ht="24" customHeight="1">
      <c r="A45" s="858" t="s">
        <v>239</v>
      </c>
      <c r="B45" s="858" t="s">
        <v>240</v>
      </c>
      <c r="C45" s="858" t="s">
        <v>241</v>
      </c>
      <c r="D45" s="858" t="s">
        <v>504</v>
      </c>
      <c r="E45" s="1193"/>
      <c r="F45" s="1193"/>
      <c r="G45" s="1193"/>
      <c r="H45" s="1193"/>
      <c r="I45" s="1195"/>
      <c r="J45" s="1194" t="str">
        <f>I44&amp;".1"</f>
        <v>...1.1</v>
      </c>
      <c r="L45" s="842" t="s">
        <v>414</v>
      </c>
      <c r="P45" s="1038"/>
      <c r="Q45" s="1196">
        <v>1</v>
      </c>
      <c r="R45" s="845"/>
      <c r="S45" s="833" t="str">
        <f>$J45</f>
        <v>...1.1</v>
      </c>
      <c r="T45" s="846" t="s">
        <v>415</v>
      </c>
      <c r="U45" s="834"/>
      <c r="V45" s="1181"/>
      <c r="W45" s="1182"/>
      <c r="X45" s="1182"/>
      <c r="Y45" s="1182"/>
      <c r="Z45" s="1182"/>
      <c r="AA45" s="1182"/>
      <c r="AB45" s="1183"/>
      <c r="AC45" s="1181"/>
      <c r="AD45" s="1182"/>
      <c r="AE45" s="1182"/>
      <c r="AF45" s="1182"/>
      <c r="AG45" s="1182"/>
      <c r="AH45" s="1182"/>
      <c r="AI45" s="1182"/>
      <c r="AJ45" s="1183"/>
      <c r="AK45" s="875" t="s">
        <v>493</v>
      </c>
      <c r="AN45" s="583" t="str">
        <f t="shared" si="1"/>
        <v>Группа потребителей</v>
      </c>
      <c r="AQ45" s="539">
        <v>23</v>
      </c>
    </row>
    <row r="46" spans="1:43" ht="24" customHeight="1">
      <c r="A46" s="858" t="s">
        <v>239</v>
      </c>
      <c r="B46" s="858" t="s">
        <v>240</v>
      </c>
      <c r="C46" s="858" t="s">
        <v>241</v>
      </c>
      <c r="D46" s="858" t="s">
        <v>504</v>
      </c>
      <c r="E46" s="1193"/>
      <c r="F46" s="1193"/>
      <c r="G46" s="1193"/>
      <c r="H46" s="1193"/>
      <c r="I46" s="1195"/>
      <c r="J46" s="1195"/>
      <c r="K46" s="1194" t="str">
        <f>J45&amp;".1"</f>
        <v>...1.1.1</v>
      </c>
      <c r="P46" s="1038"/>
      <c r="Q46" s="1038"/>
      <c r="R46" s="845">
        <v>1</v>
      </c>
      <c r="S46" s="833" t="str">
        <f>$K46</f>
        <v>...1.1.1</v>
      </c>
      <c r="T46" s="398"/>
      <c r="U46" s="834"/>
      <c r="V46" s="312"/>
      <c r="W46" s="312"/>
      <c r="X46" s="314"/>
      <c r="Y46" s="1197"/>
      <c r="Z46" s="1079" t="s">
        <v>61</v>
      </c>
      <c r="AA46" s="1197"/>
      <c r="AB46" s="1079" t="s">
        <v>61</v>
      </c>
      <c r="AC46" s="312"/>
      <c r="AD46" s="312"/>
      <c r="AE46" s="314"/>
      <c r="AF46" s="1197"/>
      <c r="AG46" s="1079" t="s">
        <v>61</v>
      </c>
      <c r="AH46" s="1199"/>
      <c r="AI46" s="1079" t="s">
        <v>61</v>
      </c>
      <c r="AJ46" s="399"/>
      <c r="AK46"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8" t="e">
        <f ca="1">STRCHECKDATE(V47:AJ47)</f>
        <v>#NAME?</v>
      </c>
      <c r="AN46" s="583" t="str">
        <f t="shared" si="1"/>
        <v/>
      </c>
      <c r="AQ46" s="539">
        <v>23</v>
      </c>
    </row>
    <row r="47" spans="1:43" ht="0" hidden="1" customHeight="1">
      <c r="A47" s="858" t="s">
        <v>239</v>
      </c>
      <c r="B47" s="858" t="s">
        <v>240</v>
      </c>
      <c r="C47" s="858" t="s">
        <v>241</v>
      </c>
      <c r="D47" s="858" t="s">
        <v>504</v>
      </c>
      <c r="E47" s="1193"/>
      <c r="F47" s="1193"/>
      <c r="G47" s="1193"/>
      <c r="H47" s="1193"/>
      <c r="I47" s="1195"/>
      <c r="J47" s="1195"/>
      <c r="K47" s="1194"/>
      <c r="P47" s="1038"/>
      <c r="Q47" s="1038"/>
      <c r="R47" s="845"/>
      <c r="S47" s="127"/>
      <c r="T47" s="834"/>
      <c r="U47" s="834"/>
      <c r="V47" s="313"/>
      <c r="W47" s="313"/>
      <c r="X47" s="315" t="str">
        <f>Y46&amp;"-"&amp;AA46</f>
        <v>-</v>
      </c>
      <c r="Y47" s="1198"/>
      <c r="Z47" s="1079"/>
      <c r="AA47" s="1198"/>
      <c r="AB47" s="1079"/>
      <c r="AC47" s="313"/>
      <c r="AD47" s="313"/>
      <c r="AE47" s="315" t="str">
        <f>AF46&amp;"-"&amp;AH46</f>
        <v>-</v>
      </c>
      <c r="AF47" s="1198"/>
      <c r="AG47" s="1079"/>
      <c r="AH47" s="1200"/>
      <c r="AI47" s="1079"/>
      <c r="AJ47" s="388"/>
      <c r="AK47" s="1266"/>
      <c r="AN47" s="583" t="str">
        <f t="shared" si="1"/>
        <v/>
      </c>
      <c r="AQ47" s="539">
        <v>0</v>
      </c>
    </row>
    <row r="48" spans="1:43" ht="21" customHeight="1">
      <c r="A48" s="858" t="s">
        <v>239</v>
      </c>
      <c r="B48" s="858" t="s">
        <v>240</v>
      </c>
      <c r="C48" s="858" t="s">
        <v>241</v>
      </c>
      <c r="D48" s="858" t="s">
        <v>504</v>
      </c>
      <c r="E48" s="1193"/>
      <c r="F48" s="1193"/>
      <c r="G48" s="1193"/>
      <c r="H48" s="1193"/>
      <c r="I48" s="1195"/>
      <c r="J48" s="1194"/>
      <c r="P48" s="1038"/>
      <c r="Q48" s="1038"/>
      <c r="R48" s="843"/>
      <c r="S48" s="316"/>
      <c r="T48" s="319" t="s">
        <v>494</v>
      </c>
      <c r="U48" s="52"/>
      <c r="V48" s="52"/>
      <c r="W48" s="52"/>
      <c r="X48" s="52"/>
      <c r="Y48" s="52"/>
      <c r="Z48" s="52"/>
      <c r="AA48" s="52"/>
      <c r="AB48" s="52"/>
      <c r="AC48" s="52"/>
      <c r="AD48" s="52"/>
      <c r="AE48" s="52"/>
      <c r="AF48" s="52"/>
      <c r="AG48" s="52"/>
      <c r="AH48" s="52"/>
      <c r="AI48" s="52"/>
      <c r="AJ48" s="52"/>
      <c r="AK48" s="836" t="s">
        <v>495</v>
      </c>
      <c r="AN48" s="583" t="str">
        <f t="shared" si="1"/>
        <v>Добавить значение признака дифференциации</v>
      </c>
      <c r="AQ48" s="539">
        <v>20</v>
      </c>
    </row>
    <row r="49" spans="1:43" ht="21.95" customHeight="1">
      <c r="A49" s="858" t="s">
        <v>239</v>
      </c>
      <c r="B49" s="858" t="s">
        <v>240</v>
      </c>
      <c r="C49" s="858" t="s">
        <v>241</v>
      </c>
      <c r="D49" s="858" t="s">
        <v>504</v>
      </c>
      <c r="E49" s="1193"/>
      <c r="F49" s="1193"/>
      <c r="G49" s="1193"/>
      <c r="H49" s="1193"/>
      <c r="I49" s="1194"/>
      <c r="P49" s="1038"/>
      <c r="R49" s="843"/>
      <c r="S49" s="316"/>
      <c r="T49" s="322" t="s">
        <v>420</v>
      </c>
      <c r="U49" s="52"/>
      <c r="V49" s="52"/>
      <c r="W49" s="52"/>
      <c r="X49" s="52"/>
      <c r="Y49" s="52"/>
      <c r="Z49" s="52"/>
      <c r="AA49" s="52"/>
      <c r="AB49" s="320"/>
      <c r="AC49" s="52"/>
      <c r="AD49" s="52"/>
      <c r="AE49" s="52"/>
      <c r="AF49" s="52"/>
      <c r="AG49" s="52"/>
      <c r="AH49" s="52"/>
      <c r="AI49" s="320"/>
      <c r="AJ49" s="52"/>
      <c r="AK49" s="400"/>
      <c r="AN49" s="583" t="str">
        <f t="shared" si="1"/>
        <v>Добавить группу потребителей</v>
      </c>
      <c r="AQ49" s="539">
        <v>21</v>
      </c>
    </row>
    <row r="50" spans="1:43" ht="21.95" customHeight="1">
      <c r="A50" s="858" t="s">
        <v>239</v>
      </c>
      <c r="B50" s="858" t="s">
        <v>240</v>
      </c>
      <c r="C50" s="858" t="s">
        <v>241</v>
      </c>
      <c r="D50" s="858" t="s">
        <v>504</v>
      </c>
      <c r="E50" s="1193"/>
      <c r="F50" s="1193"/>
      <c r="G50" s="1193"/>
      <c r="H50" s="1192"/>
      <c r="R50" s="311"/>
      <c r="S50" s="316"/>
      <c r="T50" s="377" t="s">
        <v>496</v>
      </c>
      <c r="U50" s="52"/>
      <c r="V50" s="52"/>
      <c r="W50" s="52"/>
      <c r="X50" s="52"/>
      <c r="Y50" s="52"/>
      <c r="Z50" s="52"/>
      <c r="AA50" s="52"/>
      <c r="AB50" s="320"/>
      <c r="AC50" s="52"/>
      <c r="AD50" s="52"/>
      <c r="AE50" s="52"/>
      <c r="AF50" s="52"/>
      <c r="AG50" s="52"/>
      <c r="AH50" s="52"/>
      <c r="AI50" s="320"/>
      <c r="AJ50" s="52"/>
      <c r="AK50" s="321"/>
      <c r="AN50" s="583" t="str">
        <f t="shared" si="1"/>
        <v>Добавить наименование признака дифференциации</v>
      </c>
      <c r="AQ50" s="539">
        <v>21</v>
      </c>
    </row>
    <row r="51" spans="1:43" ht="0" hidden="1" customHeight="1">
      <c r="A51" s="575" t="s">
        <v>239</v>
      </c>
      <c r="B51" s="575" t="s">
        <v>240</v>
      </c>
      <c r="E51" s="1193"/>
      <c r="F51" s="1192"/>
      <c r="T51" s="327" t="s">
        <v>423</v>
      </c>
      <c r="AN51" s="583" t="str">
        <f t="shared" si="1"/>
        <v>Добавить централизованную систему для дифференциации</v>
      </c>
      <c r="AQ51" s="578">
        <v>0</v>
      </c>
    </row>
    <row r="52" spans="1:43" ht="0" hidden="1" customHeight="1">
      <c r="A52" s="575" t="s">
        <v>239</v>
      </c>
      <c r="E52" s="1192"/>
      <c r="T52" s="327" t="s">
        <v>424</v>
      </c>
      <c r="AN52" s="583" t="str">
        <f t="shared" si="1"/>
        <v>Добавить территорию для дифференциации</v>
      </c>
      <c r="AQ52" s="578">
        <v>0</v>
      </c>
    </row>
    <row r="53" spans="1:43" ht="0" hidden="1" customHeight="1">
      <c r="T53" s="327" t="s">
        <v>456</v>
      </c>
      <c r="AN53" s="583" t="str">
        <f t="shared" si="1"/>
        <v>Добавить наименование тарифа</v>
      </c>
      <c r="AQ53" s="578">
        <v>0</v>
      </c>
    </row>
    <row r="54" spans="1:43" ht="11.45" customHeight="1">
      <c r="AQ54" s="539">
        <v>11</v>
      </c>
    </row>
    <row r="55" spans="1:43" ht="14.65" customHeight="1">
      <c r="T55" s="1038"/>
      <c r="U55" s="1038"/>
      <c r="V55" s="1038"/>
      <c r="W55" s="1038"/>
      <c r="X55" s="1038"/>
      <c r="Y55" s="1038"/>
      <c r="Z55" s="1038"/>
      <c r="AA55" s="1038"/>
      <c r="AB55" s="1038"/>
      <c r="AC55" s="1038"/>
      <c r="AD55" s="1038"/>
      <c r="AE55" s="1038"/>
      <c r="AF55" s="1038"/>
      <c r="AG55" s="1038"/>
      <c r="AH55" s="1038"/>
      <c r="AI55" s="1038"/>
      <c r="AJ55" s="1038"/>
      <c r="AK55" s="1038"/>
      <c r="AQ55" s="539">
        <v>14</v>
      </c>
    </row>
    <row r="56" spans="1:43" ht="14.65" customHeight="1">
      <c r="AQ56" s="539">
        <v>14</v>
      </c>
    </row>
    <row r="57" spans="1:43" ht="14.65" customHeight="1">
      <c r="T57" s="1038"/>
      <c r="U57" s="1038"/>
      <c r="V57" s="1038"/>
      <c r="W57" s="1038"/>
      <c r="X57" s="1038"/>
      <c r="Y57" s="1038"/>
      <c r="Z57" s="1038"/>
      <c r="AA57" s="1038"/>
      <c r="AB57" s="1038"/>
      <c r="AC57" s="1038"/>
      <c r="AD57" s="1038"/>
      <c r="AE57" s="1038"/>
      <c r="AF57" s="1038"/>
      <c r="AG57" s="1038"/>
      <c r="AH57" s="1038"/>
      <c r="AI57" s="1038"/>
      <c r="AJ57" s="1038"/>
      <c r="AK57" s="1038"/>
      <c r="AQ57" s="539">
        <v>14</v>
      </c>
    </row>
    <row r="58" spans="1:43" ht="22.5" hidden="1" customHeight="1">
      <c r="A58" s="556" t="s">
        <v>81</v>
      </c>
      <c r="B58" s="556">
        <v>0</v>
      </c>
      <c r="C58" s="556">
        <v>0</v>
      </c>
      <c r="D58" s="556">
        <v>0</v>
      </c>
      <c r="E58" s="556">
        <v>0</v>
      </c>
      <c r="F58" s="556">
        <v>0</v>
      </c>
      <c r="G58" s="556">
        <v>0</v>
      </c>
      <c r="H58" s="556">
        <v>0</v>
      </c>
      <c r="I58" s="556">
        <v>0</v>
      </c>
      <c r="J58" s="556">
        <v>0</v>
      </c>
      <c r="K58" s="556">
        <v>0</v>
      </c>
      <c r="L58" s="668">
        <v>0</v>
      </c>
      <c r="M58" s="12">
        <v>0</v>
      </c>
      <c r="N58" s="12">
        <v>0</v>
      </c>
      <c r="O58" s="12">
        <v>0</v>
      </c>
      <c r="P58" s="301">
        <v>3</v>
      </c>
      <c r="Q58" s="822">
        <v>3</v>
      </c>
      <c r="R58" s="822">
        <v>3</v>
      </c>
      <c r="S58" s="554">
        <v>12</v>
      </c>
      <c r="T58" s="539">
        <v>35</v>
      </c>
      <c r="U58" s="539">
        <v>0</v>
      </c>
      <c r="V58" s="539">
        <v>0</v>
      </c>
      <c r="W58" s="539">
        <v>0</v>
      </c>
      <c r="X58" s="539">
        <v>0</v>
      </c>
      <c r="Y58" s="539">
        <v>0</v>
      </c>
      <c r="Z58" s="539">
        <v>0</v>
      </c>
      <c r="AA58" s="539">
        <v>0</v>
      </c>
      <c r="AB58" s="539">
        <v>0</v>
      </c>
      <c r="AC58" s="539">
        <v>24</v>
      </c>
      <c r="AD58" s="539">
        <v>24</v>
      </c>
      <c r="AE58" s="539">
        <v>24</v>
      </c>
      <c r="AF58" s="539">
        <v>11</v>
      </c>
      <c r="AG58" s="539">
        <v>3</v>
      </c>
      <c r="AH58" s="539">
        <v>11</v>
      </c>
      <c r="AI58" s="539">
        <v>0</v>
      </c>
      <c r="AJ58" s="539">
        <v>4</v>
      </c>
      <c r="AK58" s="539">
        <v>115</v>
      </c>
      <c r="AL58" s="578">
        <v>10</v>
      </c>
      <c r="AM58" s="578">
        <v>10</v>
      </c>
      <c r="AN58" s="578">
        <v>10</v>
      </c>
      <c r="AO58" s="578">
        <v>10</v>
      </c>
      <c r="AP58" s="578">
        <v>10</v>
      </c>
      <c r="AQ58" s="539">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4.140625" style="1030" hidden="1" customWidth="1"/>
    <col min="10" max="10" width="9.85546875" style="1030" hidden="1" customWidth="1"/>
    <col min="11" max="11" width="14.710937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5" style="1030" customWidth="1"/>
    <col min="21" max="21" width="0.140625" style="1030" customWidth="1"/>
    <col min="22" max="24" width="24.7109375" style="1030" hidden="1" customWidth="1"/>
    <col min="25" max="25" width="11.7109375" style="1030" hidden="1" customWidth="1"/>
    <col min="26" max="26" width="3.7109375" style="1030" hidden="1" customWidth="1"/>
    <col min="27" max="27" width="11.7109375" style="1030" hidden="1" customWidth="1"/>
    <col min="28" max="28" width="8.5703125" style="1030" hidden="1" customWidth="1"/>
    <col min="29" max="29" width="24.7109375" style="1030" customWidth="1"/>
    <col min="30" max="31" width="24" style="1030" customWidth="1"/>
    <col min="32" max="32" width="11" style="1030" customWidth="1"/>
    <col min="33" max="33" width="3.7109375" style="1030" customWidth="1"/>
    <col min="34" max="34" width="11" style="1030" customWidth="1"/>
    <col min="35" max="35" width="8.5703125" style="1030" hidden="1" customWidth="1"/>
    <col min="36" max="36" width="4" style="1030" customWidth="1"/>
    <col min="37" max="37" width="115" style="1030" customWidth="1"/>
    <col min="38" max="42" width="10" style="1030" customWidth="1"/>
    <col min="43" max="43" width="10.5703125" style="1030" hidden="1"/>
  </cols>
  <sheetData>
    <row r="1" spans="5:43" ht="22.5" hidden="1" customHeight="1">
      <c r="AQ1" s="539" t="s">
        <v>14</v>
      </c>
    </row>
    <row r="2" spans="5:43" ht="23.25" hidden="1" customHeight="1">
      <c r="E2" s="1192">
        <v>1</v>
      </c>
      <c r="R2" s="311"/>
      <c r="S2" s="833" t="e">
        <f>INDEX(PT_DIFFERENTIATION_NUM_NTAR,MATCH(A2,PT_DIFFERENTIATION_NTAR_ID,0))</f>
        <v>#N/A</v>
      </c>
      <c r="T2" s="796" t="s">
        <v>133</v>
      </c>
      <c r="U2" s="834"/>
      <c r="V2" s="1187"/>
      <c r="W2" s="1188"/>
      <c r="X2" s="1188"/>
      <c r="Y2" s="1188"/>
      <c r="Z2" s="1188"/>
      <c r="AA2" s="1188"/>
      <c r="AB2" s="1189"/>
      <c r="AC2" s="1187" t="e">
        <f>INDEX(PT_DIFFERENTIATION_NTAR,MATCH(A2,PT_DIFFERENTIATION_NTAR_ID,0))</f>
        <v>#N/A</v>
      </c>
      <c r="AD2" s="1188"/>
      <c r="AE2" s="1188"/>
      <c r="AF2" s="1188"/>
      <c r="AG2" s="1188"/>
      <c r="AH2" s="1188"/>
      <c r="AI2" s="1188"/>
      <c r="AJ2" s="1189"/>
      <c r="AK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3" t="str">
        <f t="shared" ref="AN2:AN13" si="0">IF(T2="","",T2)</f>
        <v>Наименование тарифа</v>
      </c>
      <c r="AQ2" s="539">
        <v>0</v>
      </c>
    </row>
    <row r="3" spans="5:43" ht="23.25"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9"/>
      <c r="AC3" s="1187" t="e">
        <f>INDEX(PT_DIFFERENTIATION_TER,MATCH(B3,PT_DIFFERENTIATION_TER_ID,0))</f>
        <v>#N/A</v>
      </c>
      <c r="AD3" s="1188"/>
      <c r="AE3" s="1188"/>
      <c r="AF3" s="1188"/>
      <c r="AG3" s="1188"/>
      <c r="AH3" s="1188"/>
      <c r="AI3" s="1188"/>
      <c r="AJ3" s="1189"/>
      <c r="AK3" s="836" t="s">
        <v>406</v>
      </c>
      <c r="AN3" s="583" t="str">
        <f t="shared" si="0"/>
        <v>Территория действия тарифа</v>
      </c>
      <c r="AQ3" s="539">
        <v>0</v>
      </c>
    </row>
    <row r="4" spans="5:43" ht="23.25" hidden="1" customHeight="1">
      <c r="E4" s="1193"/>
      <c r="F4" s="1193"/>
      <c r="G4" s="1192">
        <v>1</v>
      </c>
      <c r="Q4" s="837"/>
      <c r="R4" s="838"/>
      <c r="S4" s="833" t="e">
        <f>INDEX(PT_DIFFERENTIATION_NUM_CS,MATCH(C4,PT_DIFFERENTIATION_CS_ID,0))</f>
        <v>#N/A</v>
      </c>
      <c r="T4" s="840" t="s">
        <v>489</v>
      </c>
      <c r="U4" s="834"/>
      <c r="V4" s="1187"/>
      <c r="W4" s="1188"/>
      <c r="X4" s="1188"/>
      <c r="Y4" s="1188"/>
      <c r="Z4" s="1188"/>
      <c r="AA4" s="1188"/>
      <c r="AB4" s="1189"/>
      <c r="AC4" s="1187" t="e">
        <f>INDEX(PT_DIFFERENTIATION_CS,MATCH(C4,PT_DIFFERENTIATION_CS_ID,0))</f>
        <v>#N/A</v>
      </c>
      <c r="AD4" s="1188"/>
      <c r="AE4" s="1188"/>
      <c r="AF4" s="1188"/>
      <c r="AG4" s="1188"/>
      <c r="AH4" s="1188"/>
      <c r="AI4" s="1188"/>
      <c r="AJ4" s="1189"/>
      <c r="AK4" s="836" t="s">
        <v>490</v>
      </c>
      <c r="AN4" s="583" t="str">
        <f t="shared" si="0"/>
        <v>Наименование централизованной системы холодного водоснабжения</v>
      </c>
      <c r="AQ4" s="539">
        <v>0</v>
      </c>
    </row>
    <row r="5" spans="5:43" ht="23.25" hidden="1" customHeight="1">
      <c r="E5" s="1193"/>
      <c r="F5" s="1193"/>
      <c r="G5" s="1193"/>
      <c r="H5" s="1193"/>
      <c r="I5" s="1194" t="e">
        <f>S4&amp;".1"</f>
        <v>#N/A</v>
      </c>
      <c r="P5" s="1196">
        <v>1</v>
      </c>
      <c r="R5" s="843"/>
      <c r="S5" s="833" t="e">
        <f>$I5</f>
        <v>#N/A</v>
      </c>
      <c r="T5" s="844" t="s">
        <v>491</v>
      </c>
      <c r="U5" s="834"/>
      <c r="V5" s="1260"/>
      <c r="W5" s="1261"/>
      <c r="X5" s="1261"/>
      <c r="Y5" s="1261"/>
      <c r="Z5" s="1261"/>
      <c r="AA5" s="1261"/>
      <c r="AB5" s="1262"/>
      <c r="AC5" s="1263"/>
      <c r="AD5" s="1264"/>
      <c r="AE5" s="1264"/>
      <c r="AF5" s="1264"/>
      <c r="AG5" s="1264"/>
      <c r="AH5" s="1264"/>
      <c r="AI5" s="1264"/>
      <c r="AJ5" s="1265"/>
      <c r="AK5" s="836" t="s">
        <v>492</v>
      </c>
      <c r="AN5" s="583" t="str">
        <f t="shared" si="0"/>
        <v>Наименование признака дифференциации</v>
      </c>
      <c r="AQ5" s="539">
        <v>0</v>
      </c>
    </row>
    <row r="6" spans="5:43" ht="23.25" hidden="1" customHeight="1">
      <c r="E6" s="1193"/>
      <c r="F6" s="1193"/>
      <c r="G6" s="1193"/>
      <c r="H6" s="1193"/>
      <c r="I6" s="1195"/>
      <c r="J6" s="1194" t="e">
        <f>I5&amp;".1"</f>
        <v>#N/A</v>
      </c>
      <c r="L6" s="842" t="s">
        <v>414</v>
      </c>
      <c r="P6" s="1038"/>
      <c r="Q6" s="1196">
        <v>1</v>
      </c>
      <c r="R6" s="845"/>
      <c r="S6" s="833" t="e">
        <f>$J6</f>
        <v>#N/A</v>
      </c>
      <c r="T6" s="846" t="s">
        <v>415</v>
      </c>
      <c r="U6" s="834"/>
      <c r="V6" s="1181"/>
      <c r="W6" s="1182"/>
      <c r="X6" s="1182"/>
      <c r="Y6" s="1182"/>
      <c r="Z6" s="1182"/>
      <c r="AA6" s="1182"/>
      <c r="AB6" s="1183"/>
      <c r="AC6" s="1181"/>
      <c r="AD6" s="1182"/>
      <c r="AE6" s="1182"/>
      <c r="AF6" s="1182"/>
      <c r="AG6" s="1182"/>
      <c r="AH6" s="1182"/>
      <c r="AI6" s="1182"/>
      <c r="AJ6" s="1183"/>
      <c r="AK6" s="875" t="s">
        <v>493</v>
      </c>
      <c r="AN6" s="583" t="str">
        <f t="shared" si="0"/>
        <v>Группа потребителей</v>
      </c>
      <c r="AQ6" s="539">
        <v>0</v>
      </c>
    </row>
    <row r="7" spans="5:43" ht="23.25" hidden="1" customHeight="1">
      <c r="E7" s="1193"/>
      <c r="F7" s="1193"/>
      <c r="G7" s="1193"/>
      <c r="H7" s="1193"/>
      <c r="I7" s="1195"/>
      <c r="J7" s="1195"/>
      <c r="K7" s="1194" t="e">
        <f>J6&amp;".1"</f>
        <v>#N/A</v>
      </c>
      <c r="P7" s="1038"/>
      <c r="Q7" s="1038"/>
      <c r="R7" s="845">
        <v>1</v>
      </c>
      <c r="S7" s="833" t="e">
        <f>$K7</f>
        <v>#N/A</v>
      </c>
      <c r="T7" s="398"/>
      <c r="U7" s="834"/>
      <c r="V7" s="312"/>
      <c r="W7" s="312"/>
      <c r="X7" s="314"/>
      <c r="Y7" s="1197"/>
      <c r="Z7" s="1079" t="s">
        <v>61</v>
      </c>
      <c r="AA7" s="1197"/>
      <c r="AB7" s="1079" t="s">
        <v>61</v>
      </c>
      <c r="AC7" s="312"/>
      <c r="AD7" s="312"/>
      <c r="AE7" s="314"/>
      <c r="AF7" s="1197"/>
      <c r="AG7" s="1079" t="s">
        <v>61</v>
      </c>
      <c r="AH7" s="1199"/>
      <c r="AI7" s="1079" t="s">
        <v>61</v>
      </c>
      <c r="AJ7" s="399"/>
      <c r="AK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8" t="e">
        <f ca="1">STRCHECKDATE(V8:AJ8)</f>
        <v>#NAME?</v>
      </c>
      <c r="AN7" s="583" t="str">
        <f t="shared" si="0"/>
        <v/>
      </c>
      <c r="AQ7" s="539">
        <v>0</v>
      </c>
    </row>
    <row r="8" spans="5:43" ht="14.25" hidden="1" customHeight="1">
      <c r="E8" s="1193"/>
      <c r="F8" s="1193"/>
      <c r="G8" s="1193"/>
      <c r="H8" s="1193"/>
      <c r="I8" s="1195"/>
      <c r="J8" s="1195"/>
      <c r="K8" s="1194"/>
      <c r="P8" s="1038"/>
      <c r="Q8" s="1038"/>
      <c r="R8" s="845"/>
      <c r="S8" s="127"/>
      <c r="T8" s="834"/>
      <c r="U8" s="834"/>
      <c r="V8" s="313"/>
      <c r="W8" s="313"/>
      <c r="X8" s="315" t="str">
        <f>Y7&amp;"-"&amp;AA7</f>
        <v>-</v>
      </c>
      <c r="Y8" s="1198"/>
      <c r="Z8" s="1079"/>
      <c r="AA8" s="1198"/>
      <c r="AB8" s="1079"/>
      <c r="AC8" s="313"/>
      <c r="AD8" s="313"/>
      <c r="AE8" s="315" t="str">
        <f>AF7&amp;"-"&amp;AH7</f>
        <v>-</v>
      </c>
      <c r="AF8" s="1198"/>
      <c r="AG8" s="1079"/>
      <c r="AH8" s="1200"/>
      <c r="AI8" s="1079"/>
      <c r="AJ8" s="388"/>
      <c r="AK8" s="1266"/>
      <c r="AN8" s="583" t="str">
        <f t="shared" si="0"/>
        <v/>
      </c>
      <c r="AQ8" s="539">
        <v>0</v>
      </c>
    </row>
    <row r="9" spans="5:43" ht="21" hidden="1" customHeight="1">
      <c r="E9" s="1193"/>
      <c r="F9" s="1193"/>
      <c r="G9" s="1193"/>
      <c r="H9" s="1193"/>
      <c r="I9" s="1195"/>
      <c r="J9" s="1194"/>
      <c r="P9" s="1038"/>
      <c r="Q9" s="1038"/>
      <c r="R9" s="843"/>
      <c r="S9" s="316"/>
      <c r="T9" s="319" t="s">
        <v>494</v>
      </c>
      <c r="U9" s="52"/>
      <c r="V9" s="52"/>
      <c r="W9" s="52"/>
      <c r="X9" s="52"/>
      <c r="Y9" s="52"/>
      <c r="Z9" s="52"/>
      <c r="AA9" s="52"/>
      <c r="AB9" s="52"/>
      <c r="AC9" s="52"/>
      <c r="AD9" s="52"/>
      <c r="AE9" s="52"/>
      <c r="AF9" s="52"/>
      <c r="AG9" s="52"/>
      <c r="AH9" s="52"/>
      <c r="AI9" s="52"/>
      <c r="AJ9" s="52"/>
      <c r="AK9" s="836" t="s">
        <v>495</v>
      </c>
      <c r="AN9" s="583" t="str">
        <f t="shared" si="0"/>
        <v>Добавить значение признака дифференциации</v>
      </c>
      <c r="AQ9" s="539">
        <v>0</v>
      </c>
    </row>
    <row r="10" spans="5:43" ht="21" hidden="1" customHeight="1">
      <c r="E10" s="1193"/>
      <c r="F10" s="1193"/>
      <c r="G10" s="1193"/>
      <c r="H10" s="1193"/>
      <c r="I10" s="1194"/>
      <c r="P10" s="1038"/>
      <c r="R10" s="843"/>
      <c r="S10" s="316"/>
      <c r="T10" s="322" t="s">
        <v>420</v>
      </c>
      <c r="U10" s="52"/>
      <c r="V10" s="52"/>
      <c r="W10" s="52"/>
      <c r="X10" s="52"/>
      <c r="Y10" s="52"/>
      <c r="Z10" s="52"/>
      <c r="AA10" s="52"/>
      <c r="AB10" s="320"/>
      <c r="AC10" s="52"/>
      <c r="AD10" s="52"/>
      <c r="AE10" s="52"/>
      <c r="AF10" s="52"/>
      <c r="AG10" s="52"/>
      <c r="AH10" s="52"/>
      <c r="AI10" s="320"/>
      <c r="AJ10" s="52"/>
      <c r="AK10" s="400"/>
      <c r="AN10" s="583" t="str">
        <f t="shared" si="0"/>
        <v>Добавить группу потребителей</v>
      </c>
      <c r="AQ10" s="539">
        <v>0</v>
      </c>
    </row>
    <row r="11" spans="5:43" ht="21" hidden="1" customHeight="1">
      <c r="E11" s="1193"/>
      <c r="F11" s="1193"/>
      <c r="G11" s="1193"/>
      <c r="H11" s="1192"/>
      <c r="R11" s="311"/>
      <c r="S11" s="316"/>
      <c r="T11" s="377" t="s">
        <v>496</v>
      </c>
      <c r="U11" s="52"/>
      <c r="V11" s="52"/>
      <c r="W11" s="52"/>
      <c r="X11" s="52"/>
      <c r="Y11" s="52"/>
      <c r="Z11" s="52"/>
      <c r="AA11" s="52"/>
      <c r="AB11" s="320"/>
      <c r="AC11" s="52"/>
      <c r="AD11" s="52"/>
      <c r="AE11" s="52"/>
      <c r="AF11" s="52"/>
      <c r="AG11" s="52"/>
      <c r="AH11" s="52"/>
      <c r="AI11" s="320"/>
      <c r="AJ11" s="52"/>
      <c r="AK11" s="321"/>
      <c r="AN11" s="583" t="str">
        <f t="shared" si="0"/>
        <v>Добавить наименование признака дифференциации</v>
      </c>
      <c r="AQ11" s="539">
        <v>0</v>
      </c>
    </row>
    <row r="12" spans="5:43" ht="14.25" hidden="1" customHeight="1">
      <c r="E12" s="1193"/>
      <c r="F12" s="1192"/>
      <c r="T12" s="327" t="s">
        <v>423</v>
      </c>
      <c r="AN12" s="583" t="str">
        <f t="shared" si="0"/>
        <v>Добавить централизованную систему для дифференциации</v>
      </c>
      <c r="AQ12" s="578">
        <v>0</v>
      </c>
    </row>
    <row r="13" spans="5:43" ht="14.25" hidden="1" customHeight="1">
      <c r="E13" s="1192"/>
      <c r="T13" s="327" t="s">
        <v>424</v>
      </c>
      <c r="AN13" s="583" t="str">
        <f t="shared" si="0"/>
        <v>Добавить территорию для дифференциации</v>
      </c>
      <c r="AQ13" s="578">
        <v>0</v>
      </c>
    </row>
    <row r="14" spans="5:43" ht="14.25" hidden="1" customHeight="1">
      <c r="AQ14" s="539">
        <v>0</v>
      </c>
    </row>
    <row r="15" spans="5:43" ht="14.25" hidden="1" customHeight="1">
      <c r="AC15" s="276"/>
      <c r="AD15" s="276"/>
      <c r="AE15" s="328"/>
      <c r="AF15" s="1191"/>
      <c r="AG15" s="1190" t="s">
        <v>61</v>
      </c>
      <c r="AH15" s="1191"/>
      <c r="AI15" s="1190" t="s">
        <v>61</v>
      </c>
      <c r="AQ15" s="539">
        <v>0</v>
      </c>
    </row>
    <row r="16" spans="5:43" ht="14.25" hidden="1" customHeight="1">
      <c r="AC16" s="276"/>
      <c r="AD16" s="276"/>
      <c r="AE16" s="315" t="str">
        <f>AF15&amp;"-"&amp;AH15</f>
        <v>-</v>
      </c>
      <c r="AF16" s="1190"/>
      <c r="AG16" s="1190"/>
      <c r="AH16" s="1190"/>
      <c r="AI16" s="1190"/>
      <c r="AQ16" s="539">
        <v>0</v>
      </c>
    </row>
    <row r="17" spans="15:43" ht="14.25" hidden="1" customHeight="1">
      <c r="AQ17" s="539">
        <v>0</v>
      </c>
    </row>
    <row r="18" spans="15:43" ht="22.5" hidden="1" customHeight="1">
      <c r="O18" s="329" t="s">
        <v>425</v>
      </c>
      <c r="Y18" s="329"/>
      <c r="AA18" s="329"/>
      <c r="AF18" s="329"/>
      <c r="AH18" s="329"/>
      <c r="AQ18" s="556">
        <v>0</v>
      </c>
    </row>
    <row r="19" spans="15:43" ht="14.25" hidden="1" customHeight="1">
      <c r="AQ19" s="556">
        <v>0</v>
      </c>
    </row>
    <row r="20" spans="15:43" ht="12" hidden="1" customHeight="1">
      <c r="O20" s="842" t="s">
        <v>426</v>
      </c>
      <c r="T20" s="556" t="s">
        <v>427</v>
      </c>
      <c r="Z20" s="599" t="s">
        <v>428</v>
      </c>
      <c r="AB20" s="599" t="s">
        <v>429</v>
      </c>
      <c r="AC20" s="556" t="s">
        <v>427</v>
      </c>
      <c r="AG20" s="599" t="s">
        <v>430</v>
      </c>
      <c r="AI20" s="599" t="s">
        <v>429</v>
      </c>
      <c r="AQ20" s="556">
        <v>0</v>
      </c>
    </row>
    <row r="21" spans="15:43" ht="14.25" hidden="1" customHeight="1">
      <c r="AQ21" s="539">
        <v>0</v>
      </c>
    </row>
    <row r="22" spans="15:43" ht="14.25" hidden="1" customHeight="1">
      <c r="AQ22" s="539">
        <v>0</v>
      </c>
    </row>
    <row r="23" spans="15:43" ht="14.65" customHeight="1">
      <c r="Q23" s="757"/>
      <c r="R23" s="757"/>
      <c r="S23" s="848"/>
      <c r="T23" s="557"/>
      <c r="U23" s="557"/>
      <c r="AQ23" s="539">
        <v>14</v>
      </c>
    </row>
    <row r="24" spans="15:43" ht="14.65" customHeight="1">
      <c r="Q24" s="757"/>
      <c r="R24" s="757"/>
      <c r="S24" s="1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74"/>
      <c r="U24" s="1174"/>
      <c r="V24" s="1174"/>
      <c r="W24" s="1174"/>
      <c r="X24" s="1174"/>
      <c r="Y24" s="1174"/>
      <c r="Z24" s="1174"/>
      <c r="AA24" s="1174"/>
      <c r="AB24" s="1174"/>
      <c r="AC24" s="1174"/>
      <c r="AD24" s="1174"/>
      <c r="AE24" s="1174"/>
      <c r="AF24" s="1174"/>
      <c r="AG24" s="1174"/>
      <c r="AH24" s="1174"/>
      <c r="AQ24" s="539">
        <v>14</v>
      </c>
    </row>
    <row r="25" spans="15:43" ht="14.65" customHeight="1">
      <c r="Q25" s="757"/>
      <c r="R25" s="757"/>
      <c r="S25" s="1148" t="str">
        <f>IF(org=0,"Не определено",org)</f>
        <v>АО "НИЖЕГОРОДСКИЙ ВОДОКАНАЛ"</v>
      </c>
      <c r="T25" s="1148"/>
      <c r="U25" s="1148"/>
      <c r="V25" s="1148"/>
      <c r="W25" s="1148"/>
      <c r="X25" s="1148"/>
      <c r="Y25" s="1148"/>
      <c r="Z25" s="1148"/>
      <c r="AA25" s="1148"/>
      <c r="AB25" s="1148"/>
      <c r="AC25" s="1148"/>
      <c r="AD25" s="1148"/>
      <c r="AE25" s="1148"/>
      <c r="AF25" s="1148"/>
      <c r="AG25" s="1148"/>
      <c r="AH25" s="1148"/>
      <c r="AQ25" s="539">
        <v>14</v>
      </c>
    </row>
    <row r="26" spans="15:43" ht="14.25" hidden="1" customHeight="1">
      <c r="Q26" s="757"/>
      <c r="R26" s="757"/>
      <c r="S26" s="848"/>
      <c r="T26" s="557"/>
      <c r="U26" s="557"/>
      <c r="V26" s="827"/>
      <c r="W26" s="827"/>
      <c r="X26" s="827"/>
      <c r="Y26" s="827"/>
      <c r="Z26" s="827"/>
      <c r="AA26" s="827"/>
      <c r="AB26" s="827"/>
      <c r="AC26" s="827"/>
      <c r="AD26" s="827"/>
      <c r="AE26" s="827"/>
      <c r="AF26" s="827"/>
      <c r="AG26" s="827"/>
      <c r="AH26" s="827"/>
      <c r="AI26" s="827"/>
      <c r="AQ26" s="539">
        <v>0</v>
      </c>
    </row>
    <row r="27" spans="15:43" ht="25.5" hidden="1" customHeight="1">
      <c r="S27" s="1184" t="s">
        <v>41</v>
      </c>
      <c r="T27" s="1184"/>
      <c r="U27" s="850"/>
      <c r="V27" s="1186" t="str">
        <f>IF(TITLE_NAME_OR_PR_CHANGE="",IF(TITLE_NAME_OR_PR="","",TITLE_NAME_OR_PR),TITLE_NAME_OR_PR_CHANGE)</f>
        <v/>
      </c>
      <c r="W27" s="1186"/>
      <c r="X27" s="1186"/>
      <c r="Y27" s="1186"/>
      <c r="Z27" s="1186"/>
      <c r="AA27" s="1186"/>
      <c r="AC27" s="1186" t="str">
        <f>IF(TITLE_NAME_OR_PR_CHANGE="",IF(TITLE_NAME_OR_PR="","",TITLE_NAME_OR_PR),TITLE_NAME_OR_PR_CHANGE)</f>
        <v/>
      </c>
      <c r="AD27" s="1186"/>
      <c r="AE27" s="1186"/>
      <c r="AF27" s="1186"/>
      <c r="AG27" s="1186"/>
      <c r="AH27" s="1186"/>
      <c r="AQ27" s="593">
        <v>0</v>
      </c>
    </row>
    <row r="28" spans="15:43" ht="18.75" hidden="1" customHeight="1">
      <c r="S28" s="1184" t="s">
        <v>431</v>
      </c>
      <c r="T28" s="1184"/>
      <c r="U28" s="850"/>
      <c r="V28" s="1185" t="str">
        <f>IF(TITLE_DATE_PR_CHANGE="",IF(TITLE_DATE_PR="","",TITLE_DATE_PR),TITLE_DATE_PR_CHANGE)</f>
        <v/>
      </c>
      <c r="W28" s="1185"/>
      <c r="X28" s="1185"/>
      <c r="Y28" s="1185"/>
      <c r="Z28" s="1185"/>
      <c r="AA28" s="1185"/>
      <c r="AC28" s="1185" t="str">
        <f>IF(TITLE_DATE_PR_CHANGE="",IF(TITLE_DATE_PR="","",TITLE_DATE_PR),TITLE_DATE_PR_CHANGE)</f>
        <v/>
      </c>
      <c r="AD28" s="1185"/>
      <c r="AE28" s="1185"/>
      <c r="AF28" s="1185"/>
      <c r="AG28" s="1185"/>
      <c r="AH28" s="1185"/>
      <c r="AQ28" s="593">
        <v>0</v>
      </c>
    </row>
    <row r="29" spans="15:43" ht="18.75" hidden="1" customHeight="1">
      <c r="S29" s="1184" t="s">
        <v>432</v>
      </c>
      <c r="T29" s="1184"/>
      <c r="U29" s="850"/>
      <c r="V29" s="1186" t="str">
        <f>IF(TITLE_NUMBER_PR_CHANGE="",IF(TITLE_NUMBER_PR="","",TITLE_NUMBER_PR),TITLE_NUMBER_PR_CHANGE)</f>
        <v/>
      </c>
      <c r="W29" s="1186"/>
      <c r="X29" s="1186"/>
      <c r="Y29" s="1186"/>
      <c r="Z29" s="1186"/>
      <c r="AA29" s="1186"/>
      <c r="AC29" s="1186" t="str">
        <f>IF(TITLE_NUMBER_PR_CHANGE="",IF(TITLE_NUMBER_PR="","",TITLE_NUMBER_PR),TITLE_NUMBER_PR_CHANGE)</f>
        <v/>
      </c>
      <c r="AD29" s="1186"/>
      <c r="AE29" s="1186"/>
      <c r="AF29" s="1186"/>
      <c r="AG29" s="1186"/>
      <c r="AH29" s="1186"/>
      <c r="AQ29" s="593">
        <v>0</v>
      </c>
    </row>
    <row r="30" spans="15:43" ht="18.75" hidden="1" customHeight="1">
      <c r="S30" s="1184" t="s">
        <v>42</v>
      </c>
      <c r="T30" s="1184"/>
      <c r="U30" s="850"/>
      <c r="V30" s="1186" t="str">
        <f>IF(TITLE_IST_PUB_CHANGE="",IF(TITLE_IST_PUB="","",TITLE_IST_PUB),TITLE_IST_PUB_CHANGE)</f>
        <v/>
      </c>
      <c r="W30" s="1186"/>
      <c r="X30" s="1186"/>
      <c r="Y30" s="1186"/>
      <c r="Z30" s="1186"/>
      <c r="AA30" s="1186"/>
      <c r="AC30" s="1186" t="str">
        <f>IF(TITLE_IST_PUB_CHANGE="",IF(TITLE_IST_PUB="","",TITLE_IST_PUB),TITLE_IST_PUB_CHANGE)</f>
        <v/>
      </c>
      <c r="AD30" s="1186"/>
      <c r="AE30" s="1186"/>
      <c r="AF30" s="1186"/>
      <c r="AG30" s="1186"/>
      <c r="AH30" s="1186"/>
      <c r="AQ30" s="593">
        <v>0</v>
      </c>
    </row>
    <row r="31" spans="15:43" ht="14.25" hidden="1" customHeight="1">
      <c r="Q31" s="757"/>
      <c r="R31" s="757"/>
      <c r="S31" s="848"/>
      <c r="T31" s="557"/>
      <c r="U31" s="557"/>
      <c r="V31" s="827"/>
      <c r="W31" s="827"/>
      <c r="X31" s="827"/>
      <c r="Y31" s="827"/>
      <c r="Z31" s="827"/>
      <c r="AA31" s="827"/>
      <c r="AB31" s="827"/>
      <c r="AC31" s="827"/>
      <c r="AD31" s="827"/>
      <c r="AE31" s="827"/>
      <c r="AF31" s="827"/>
      <c r="AG31" s="827"/>
      <c r="AH31" s="827"/>
      <c r="AI31" s="827"/>
      <c r="AQ31" s="539">
        <v>0</v>
      </c>
    </row>
    <row r="32" spans="15:43" ht="18.75" hidden="1" customHeight="1">
      <c r="S32" s="1184" t="s">
        <v>433</v>
      </c>
      <c r="T32" s="1184"/>
      <c r="U32" s="850"/>
      <c r="V32" s="1185" t="str">
        <f>IF(TITLE_DATE_PR_CHANGE="",IF(TITLE_DATE_PR="","",TITLE_DATE_PR),TITLE_DATE_PR_CHANGE)</f>
        <v/>
      </c>
      <c r="W32" s="1185"/>
      <c r="X32" s="1185"/>
      <c r="Y32" s="1185"/>
      <c r="Z32" s="1185"/>
      <c r="AA32" s="1185"/>
      <c r="AC32" s="1185" t="str">
        <f>IF(TITLE_DATE_PR_CHANGE="",IF(TITLE_DATE_PR="","",TITLE_DATE_PR),TITLE_DATE_PR_CHANGE)</f>
        <v/>
      </c>
      <c r="AD32" s="1185"/>
      <c r="AE32" s="1185"/>
      <c r="AF32" s="1185"/>
      <c r="AG32" s="1185"/>
      <c r="AH32" s="1185"/>
      <c r="AQ32" s="593">
        <v>0</v>
      </c>
    </row>
    <row r="33" spans="1:43" ht="18.75" hidden="1" customHeight="1">
      <c r="S33" s="1184" t="s">
        <v>434</v>
      </c>
      <c r="T33" s="1184"/>
      <c r="U33" s="850"/>
      <c r="V33" s="1186" t="str">
        <f>IF(TITLE_NUMBER_PR_CHANGE="",IF(TITLE_NUMBER_PR="","",TITLE_NUMBER_PR),TITLE_NUMBER_PR_CHANGE)</f>
        <v/>
      </c>
      <c r="W33" s="1186"/>
      <c r="X33" s="1186"/>
      <c r="Y33" s="1186"/>
      <c r="Z33" s="1186"/>
      <c r="AA33" s="1186"/>
      <c r="AC33" s="1186" t="str">
        <f>IF(TITLE_NUMBER_PR_CHANGE="",IF(TITLE_NUMBER_PR="","",TITLE_NUMBER_PR),TITLE_NUMBER_PR_CHANGE)</f>
        <v/>
      </c>
      <c r="AD33" s="1186"/>
      <c r="AE33" s="1186"/>
      <c r="AF33" s="1186"/>
      <c r="AG33" s="1186"/>
      <c r="AH33" s="1186"/>
      <c r="AQ33" s="593">
        <v>0</v>
      </c>
    </row>
    <row r="34" spans="1:43" ht="1.1499999999999999" customHeight="1">
      <c r="AB34" s="578" t="s">
        <v>435</v>
      </c>
      <c r="AI34" s="578" t="s">
        <v>435</v>
      </c>
      <c r="AQ34" s="593">
        <v>1</v>
      </c>
    </row>
    <row r="35" spans="1:43" ht="14.65" customHeight="1">
      <c r="Q35" s="757"/>
      <c r="R35" s="757"/>
      <c r="S35" s="848"/>
      <c r="T35" s="557"/>
      <c r="U35" s="851"/>
      <c r="V35" s="1204"/>
      <c r="W35" s="1204"/>
      <c r="X35" s="1204"/>
      <c r="Y35" s="1204"/>
      <c r="Z35" s="1204"/>
      <c r="AA35" s="1204"/>
      <c r="AB35" s="1204"/>
      <c r="AC35" s="1204"/>
      <c r="AD35" s="1204"/>
      <c r="AE35" s="1204"/>
      <c r="AF35" s="1204"/>
      <c r="AG35" s="1204"/>
      <c r="AH35" s="1204"/>
      <c r="AI35" s="1204"/>
      <c r="AQ35" s="539">
        <v>14</v>
      </c>
    </row>
    <row r="36" spans="1:43" ht="14.65" customHeight="1">
      <c r="Q36" s="757"/>
      <c r="R36" s="757"/>
      <c r="S36" s="1070" t="s">
        <v>308</v>
      </c>
      <c r="T36" s="1070"/>
      <c r="U36" s="1070"/>
      <c r="V36" s="1070"/>
      <c r="W36" s="1070"/>
      <c r="X36" s="1070"/>
      <c r="Y36" s="1070"/>
      <c r="Z36" s="1070"/>
      <c r="AA36" s="1070"/>
      <c r="AB36" s="1070"/>
      <c r="AC36" s="1070"/>
      <c r="AD36" s="1070"/>
      <c r="AE36" s="1070"/>
      <c r="AF36" s="1070"/>
      <c r="AG36" s="1070"/>
      <c r="AH36" s="1070"/>
      <c r="AI36" s="1070"/>
      <c r="AJ36" s="1070"/>
      <c r="AK36" s="1070" t="s">
        <v>309</v>
      </c>
      <c r="AQ36" s="539">
        <v>14</v>
      </c>
    </row>
    <row r="37" spans="1:43" ht="14.65" customHeight="1">
      <c r="Q37" s="757"/>
      <c r="R37" s="757"/>
      <c r="S37" s="1205" t="s">
        <v>87</v>
      </c>
      <c r="T37" s="1155" t="s">
        <v>436</v>
      </c>
      <c r="U37" s="818"/>
      <c r="V37" s="1206" t="s">
        <v>437</v>
      </c>
      <c r="W37" s="1207"/>
      <c r="X37" s="1207"/>
      <c r="Y37" s="1207"/>
      <c r="Z37" s="1207"/>
      <c r="AA37" s="1208"/>
      <c r="AB37" s="1209" t="s">
        <v>438</v>
      </c>
      <c r="AC37" s="1206" t="s">
        <v>437</v>
      </c>
      <c r="AD37" s="1207"/>
      <c r="AE37" s="1207"/>
      <c r="AF37" s="1207"/>
      <c r="AG37" s="1207"/>
      <c r="AH37" s="1208"/>
      <c r="AI37" s="1209" t="s">
        <v>439</v>
      </c>
      <c r="AJ37" s="1212" t="s">
        <v>440</v>
      </c>
      <c r="AK37" s="1070"/>
      <c r="AQ37" s="539">
        <v>14</v>
      </c>
    </row>
    <row r="38" spans="1:43" ht="35.65" customHeight="1">
      <c r="Q38" s="757"/>
      <c r="R38" s="757"/>
      <c r="S38" s="1205"/>
      <c r="T38" s="1155"/>
      <c r="U38" s="823"/>
      <c r="V38" s="618" t="s">
        <v>497</v>
      </c>
      <c r="W38" s="1051" t="s">
        <v>443</v>
      </c>
      <c r="X38" s="1050"/>
      <c r="Y38" s="1051" t="s">
        <v>444</v>
      </c>
      <c r="Z38" s="1056"/>
      <c r="AA38" s="1050"/>
      <c r="AB38" s="1210"/>
      <c r="AC38" s="618" t="s">
        <v>497</v>
      </c>
      <c r="AD38" s="1051" t="s">
        <v>443</v>
      </c>
      <c r="AE38" s="1050"/>
      <c r="AF38" s="1051" t="s">
        <v>444</v>
      </c>
      <c r="AG38" s="1056"/>
      <c r="AH38" s="1050"/>
      <c r="AI38" s="1210"/>
      <c r="AJ38" s="1213"/>
      <c r="AK38" s="1070"/>
      <c r="AQ38" s="539">
        <v>34</v>
      </c>
    </row>
    <row r="39" spans="1:43" ht="35.65" customHeight="1">
      <c r="B39" s="599" t="s">
        <v>145</v>
      </c>
      <c r="C39" s="599" t="s">
        <v>146</v>
      </c>
      <c r="D39" s="599" t="s">
        <v>147</v>
      </c>
      <c r="E39" s="842" t="s">
        <v>445</v>
      </c>
      <c r="F39" s="842" t="s">
        <v>446</v>
      </c>
      <c r="G39" s="842" t="s">
        <v>447</v>
      </c>
      <c r="I39" s="842" t="s">
        <v>498</v>
      </c>
      <c r="J39" s="842" t="s">
        <v>450</v>
      </c>
      <c r="K39" s="842" t="s">
        <v>499</v>
      </c>
      <c r="L39" s="842" t="s">
        <v>426</v>
      </c>
      <c r="Q39" s="757"/>
      <c r="R39" s="757"/>
      <c r="S39" s="1205"/>
      <c r="T39" s="1155"/>
      <c r="U39" s="853"/>
      <c r="V39" s="618" t="s">
        <v>500</v>
      </c>
      <c r="W39" s="603" t="s">
        <v>501</v>
      </c>
      <c r="X39" s="603" t="s">
        <v>502</v>
      </c>
      <c r="Y39" s="603" t="s">
        <v>454</v>
      </c>
      <c r="Z39" s="1160" t="s">
        <v>455</v>
      </c>
      <c r="AA39" s="1173"/>
      <c r="AB39" s="1211"/>
      <c r="AC39" s="618" t="s">
        <v>500</v>
      </c>
      <c r="AD39" s="603" t="s">
        <v>501</v>
      </c>
      <c r="AE39" s="603" t="s">
        <v>502</v>
      </c>
      <c r="AF39" s="603" t="s">
        <v>454</v>
      </c>
      <c r="AG39" s="1160" t="s">
        <v>455</v>
      </c>
      <c r="AH39" s="1173"/>
      <c r="AI39" s="1211"/>
      <c r="AJ39" s="1214"/>
      <c r="AK39" s="1070"/>
      <c r="AQ39" s="539">
        <v>34</v>
      </c>
    </row>
    <row r="40" spans="1:43" ht="0" hidden="1" customHeight="1">
      <c r="Q40" s="854"/>
      <c r="R40" s="855">
        <v>1</v>
      </c>
      <c r="S40" s="330" t="s">
        <v>114</v>
      </c>
      <c r="T40" s="331" t="s">
        <v>102</v>
      </c>
      <c r="U40" s="856" t="str">
        <f ca="1">OFFSET(U40,0,-1)</f>
        <v>2</v>
      </c>
      <c r="V40" s="857">
        <f ca="1">OFFSET(V40,0,-1)+1</f>
        <v>3</v>
      </c>
      <c r="W40" s="857">
        <f ca="1">OFFSET(W40,0,-1)+1</f>
        <v>4</v>
      </c>
      <c r="X40" s="857">
        <f ca="1">OFFSET(X40,0,-1)+1</f>
        <v>5</v>
      </c>
      <c r="Y40" s="857">
        <f ca="1">OFFSET(Y40,0,-1)+1</f>
        <v>6</v>
      </c>
      <c r="Z40" s="1203">
        <f ca="1">OFFSET(Z40,0,-1)+1</f>
        <v>7</v>
      </c>
      <c r="AA40" s="1203"/>
      <c r="AB40" s="857">
        <f ca="1">OFFSET(AB40,0,-2)+1</f>
        <v>8</v>
      </c>
      <c r="AC40" s="857">
        <f ca="1">OFFSET(AC40,0,-1)+1</f>
        <v>9</v>
      </c>
      <c r="AD40" s="857">
        <f ca="1">OFFSET(AD40,0,-1)+1</f>
        <v>10</v>
      </c>
      <c r="AE40" s="857">
        <f ca="1">OFFSET(AE40,0,-1)+1</f>
        <v>11</v>
      </c>
      <c r="AF40" s="857">
        <f ca="1">OFFSET(AF40,0,-1)+1</f>
        <v>12</v>
      </c>
      <c r="AG40" s="1203">
        <f ca="1">OFFSET(AG40,0,-1)+1</f>
        <v>13</v>
      </c>
      <c r="AH40" s="1203"/>
      <c r="AI40" s="857">
        <f ca="1">OFFSET(AI40,0,-2)+1</f>
        <v>14</v>
      </c>
      <c r="AJ40" s="856">
        <f ca="1">OFFSET(AJ40,0,-1)</f>
        <v>14</v>
      </c>
      <c r="AK40" s="857">
        <f ca="1">OFFSET(AK40,0,-1)+1</f>
        <v>15</v>
      </c>
      <c r="AQ40" s="682">
        <v>0</v>
      </c>
    </row>
    <row r="41" spans="1:43" ht="24" customHeight="1">
      <c r="A41" s="858" t="s">
        <v>244</v>
      </c>
      <c r="E41" s="1192">
        <v>1</v>
      </c>
      <c r="R41" s="311"/>
      <c r="S41" s="833">
        <f>INDEX(PT_DIFFERENTIATION_NUM_NTAR,MATCH(A41,PT_DIFFERENTIATION_NTAR_ID,0))</f>
        <v>0</v>
      </c>
      <c r="T41" s="796" t="s">
        <v>133</v>
      </c>
      <c r="U41" s="834"/>
      <c r="V41" s="1187"/>
      <c r="W41" s="1188"/>
      <c r="X41" s="1188"/>
      <c r="Y41" s="1188"/>
      <c r="Z41" s="1188"/>
      <c r="AA41" s="1188"/>
      <c r="AB41" s="1189"/>
      <c r="AC41" s="1187" t="str">
        <f>INDEX(PT_DIFFERENTIATION_NTAR,MATCH(A41,PT_DIFFERENTIATION_NTAR_ID,0))</f>
        <v/>
      </c>
      <c r="AD41" s="1188"/>
      <c r="AE41" s="1188"/>
      <c r="AF41" s="1188"/>
      <c r="AG41" s="1188"/>
      <c r="AH41" s="1188"/>
      <c r="AI41" s="1188"/>
      <c r="AJ41" s="1189"/>
      <c r="AK41"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3" t="str">
        <f t="shared" ref="AN41:AN53" si="1">IF(T41="","",T41)</f>
        <v>Наименование тарифа</v>
      </c>
      <c r="AQ41" s="539">
        <v>23</v>
      </c>
    </row>
    <row r="42" spans="1:43" ht="24" customHeight="1">
      <c r="A42" s="858" t="s">
        <v>244</v>
      </c>
      <c r="B42" s="858" t="s">
        <v>245</v>
      </c>
      <c r="E42" s="1193"/>
      <c r="F42" s="1192">
        <v>1</v>
      </c>
      <c r="Q42" s="837"/>
      <c r="R42" s="838"/>
      <c r="S42" s="833" t="str">
        <f>INDEX(PT_DIFFERENTIATION_NUM_TER,MATCH(B42,PT_DIFFERENTIATION_TER_ID,0))</f>
        <v>.</v>
      </c>
      <c r="T42" s="839" t="s">
        <v>405</v>
      </c>
      <c r="U42" s="834"/>
      <c r="V42" s="1187"/>
      <c r="W42" s="1188"/>
      <c r="X42" s="1188"/>
      <c r="Y42" s="1188"/>
      <c r="Z42" s="1188"/>
      <c r="AA42" s="1188"/>
      <c r="AB42" s="1189"/>
      <c r="AC42" s="1187" t="str">
        <f>INDEX(PT_DIFFERENTIATION_TER,MATCH(B42,PT_DIFFERENTIATION_TER_ID,0))</f>
        <v/>
      </c>
      <c r="AD42" s="1188"/>
      <c r="AE42" s="1188"/>
      <c r="AF42" s="1188"/>
      <c r="AG42" s="1188"/>
      <c r="AH42" s="1188"/>
      <c r="AI42" s="1188"/>
      <c r="AJ42" s="1189"/>
      <c r="AK42" s="836" t="s">
        <v>406</v>
      </c>
      <c r="AN42" s="583" t="str">
        <f t="shared" si="1"/>
        <v>Территория действия тарифа</v>
      </c>
      <c r="AQ42" s="539">
        <v>23</v>
      </c>
    </row>
    <row r="43" spans="1:43" ht="24" customHeight="1">
      <c r="A43" s="858" t="s">
        <v>244</v>
      </c>
      <c r="B43" s="858" t="s">
        <v>245</v>
      </c>
      <c r="C43" s="858" t="s">
        <v>246</v>
      </c>
      <c r="E43" s="1193"/>
      <c r="F43" s="1193"/>
      <c r="G43" s="1192">
        <v>1</v>
      </c>
      <c r="Q43" s="837"/>
      <c r="R43" s="838"/>
      <c r="S43" s="833" t="str">
        <f>INDEX(PT_DIFFERENTIATION_NUM_CS,MATCH(C43,PT_DIFFERENTIATION_CS_ID,0))</f>
        <v>..</v>
      </c>
      <c r="T43" s="840" t="s">
        <v>489</v>
      </c>
      <c r="U43" s="834"/>
      <c r="V43" s="1187"/>
      <c r="W43" s="1188"/>
      <c r="X43" s="1188"/>
      <c r="Y43" s="1188"/>
      <c r="Z43" s="1188"/>
      <c r="AA43" s="1188"/>
      <c r="AB43" s="1189"/>
      <c r="AC43" s="1187" t="str">
        <f>INDEX(PT_DIFFERENTIATION_CS,MATCH(C43,PT_DIFFERENTIATION_CS_ID,0))</f>
        <v/>
      </c>
      <c r="AD43" s="1188"/>
      <c r="AE43" s="1188"/>
      <c r="AF43" s="1188"/>
      <c r="AG43" s="1188"/>
      <c r="AH43" s="1188"/>
      <c r="AI43" s="1188"/>
      <c r="AJ43" s="1189"/>
      <c r="AK43" s="836" t="s">
        <v>490</v>
      </c>
      <c r="AN43" s="583" t="str">
        <f t="shared" si="1"/>
        <v>Наименование централизованной системы холодного водоснабжения</v>
      </c>
      <c r="AQ43" s="539">
        <v>23</v>
      </c>
    </row>
    <row r="44" spans="1:43" ht="24" customHeight="1">
      <c r="A44" s="858" t="s">
        <v>244</v>
      </c>
      <c r="B44" s="858" t="s">
        <v>245</v>
      </c>
      <c r="C44" s="858" t="s">
        <v>246</v>
      </c>
      <c r="D44" s="858" t="s">
        <v>505</v>
      </c>
      <c r="E44" s="1193"/>
      <c r="F44" s="1193"/>
      <c r="G44" s="1193"/>
      <c r="H44" s="1193"/>
      <c r="I44" s="1194" t="str">
        <f>S43&amp;".1"</f>
        <v>...1</v>
      </c>
      <c r="P44" s="1196">
        <v>1</v>
      </c>
      <c r="R44" s="843"/>
      <c r="S44" s="833" t="str">
        <f>$I44</f>
        <v>...1</v>
      </c>
      <c r="T44" s="844" t="s">
        <v>491</v>
      </c>
      <c r="U44" s="834"/>
      <c r="V44" s="1260"/>
      <c r="W44" s="1261"/>
      <c r="X44" s="1261"/>
      <c r="Y44" s="1261"/>
      <c r="Z44" s="1261"/>
      <c r="AA44" s="1261"/>
      <c r="AB44" s="1262"/>
      <c r="AC44" s="1263"/>
      <c r="AD44" s="1264"/>
      <c r="AE44" s="1264"/>
      <c r="AF44" s="1264"/>
      <c r="AG44" s="1264"/>
      <c r="AH44" s="1264"/>
      <c r="AI44" s="1264"/>
      <c r="AJ44" s="1265"/>
      <c r="AK44" s="836" t="s">
        <v>492</v>
      </c>
      <c r="AN44" s="583" t="str">
        <f t="shared" si="1"/>
        <v>Наименование признака дифференциации</v>
      </c>
      <c r="AQ44" s="539">
        <v>23</v>
      </c>
    </row>
    <row r="45" spans="1:43" ht="24" customHeight="1">
      <c r="A45" s="858" t="s">
        <v>244</v>
      </c>
      <c r="B45" s="858" t="s">
        <v>245</v>
      </c>
      <c r="C45" s="858" t="s">
        <v>246</v>
      </c>
      <c r="D45" s="858" t="s">
        <v>505</v>
      </c>
      <c r="E45" s="1193"/>
      <c r="F45" s="1193"/>
      <c r="G45" s="1193"/>
      <c r="H45" s="1193"/>
      <c r="I45" s="1195"/>
      <c r="J45" s="1194" t="str">
        <f>I44&amp;".1"</f>
        <v>...1.1</v>
      </c>
      <c r="L45" s="842" t="s">
        <v>414</v>
      </c>
      <c r="P45" s="1038"/>
      <c r="Q45" s="1196">
        <v>1</v>
      </c>
      <c r="R45" s="845"/>
      <c r="S45" s="833" t="str">
        <f>$J45</f>
        <v>...1.1</v>
      </c>
      <c r="T45" s="846" t="s">
        <v>415</v>
      </c>
      <c r="U45" s="834"/>
      <c r="V45" s="1181"/>
      <c r="W45" s="1182"/>
      <c r="X45" s="1182"/>
      <c r="Y45" s="1182"/>
      <c r="Z45" s="1182"/>
      <c r="AA45" s="1182"/>
      <c r="AB45" s="1183"/>
      <c r="AC45" s="1181"/>
      <c r="AD45" s="1182"/>
      <c r="AE45" s="1182"/>
      <c r="AF45" s="1182"/>
      <c r="AG45" s="1182"/>
      <c r="AH45" s="1182"/>
      <c r="AI45" s="1182"/>
      <c r="AJ45" s="1183"/>
      <c r="AK45" s="875" t="s">
        <v>493</v>
      </c>
      <c r="AN45" s="583" t="str">
        <f t="shared" si="1"/>
        <v>Группа потребителей</v>
      </c>
      <c r="AQ45" s="539">
        <v>23</v>
      </c>
    </row>
    <row r="46" spans="1:43" ht="24" customHeight="1">
      <c r="A46" s="858" t="s">
        <v>244</v>
      </c>
      <c r="B46" s="858" t="s">
        <v>245</v>
      </c>
      <c r="C46" s="858" t="s">
        <v>246</v>
      </c>
      <c r="D46" s="858" t="s">
        <v>505</v>
      </c>
      <c r="E46" s="1193"/>
      <c r="F46" s="1193"/>
      <c r="G46" s="1193"/>
      <c r="H46" s="1193"/>
      <c r="I46" s="1195"/>
      <c r="J46" s="1195"/>
      <c r="K46" s="1194" t="str">
        <f>J45&amp;".1"</f>
        <v>...1.1.1</v>
      </c>
      <c r="P46" s="1038"/>
      <c r="Q46" s="1038"/>
      <c r="R46" s="845">
        <v>1</v>
      </c>
      <c r="S46" s="833" t="str">
        <f>$K46</f>
        <v>...1.1.1</v>
      </c>
      <c r="T46" s="398"/>
      <c r="U46" s="834"/>
      <c r="V46" s="312"/>
      <c r="W46" s="312"/>
      <c r="X46" s="314"/>
      <c r="Y46" s="1197"/>
      <c r="Z46" s="1079" t="s">
        <v>61</v>
      </c>
      <c r="AA46" s="1197"/>
      <c r="AB46" s="1079" t="s">
        <v>61</v>
      </c>
      <c r="AC46" s="312"/>
      <c r="AD46" s="312"/>
      <c r="AE46" s="314"/>
      <c r="AF46" s="1197"/>
      <c r="AG46" s="1079" t="s">
        <v>61</v>
      </c>
      <c r="AH46" s="1199"/>
      <c r="AI46" s="1079" t="s">
        <v>61</v>
      </c>
      <c r="AJ46" s="399"/>
      <c r="AK46"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8" t="e">
        <f ca="1">STRCHECKDATE(V47:AJ47)</f>
        <v>#NAME?</v>
      </c>
      <c r="AN46" s="583" t="str">
        <f t="shared" si="1"/>
        <v/>
      </c>
      <c r="AQ46" s="539">
        <v>23</v>
      </c>
    </row>
    <row r="47" spans="1:43" ht="0" hidden="1" customHeight="1">
      <c r="A47" s="858" t="s">
        <v>244</v>
      </c>
      <c r="B47" s="858" t="s">
        <v>245</v>
      </c>
      <c r="C47" s="858" t="s">
        <v>246</v>
      </c>
      <c r="D47" s="858" t="s">
        <v>505</v>
      </c>
      <c r="E47" s="1193"/>
      <c r="F47" s="1193"/>
      <c r="G47" s="1193"/>
      <c r="H47" s="1193"/>
      <c r="I47" s="1195"/>
      <c r="J47" s="1195"/>
      <c r="K47" s="1194"/>
      <c r="P47" s="1038"/>
      <c r="Q47" s="1038"/>
      <c r="R47" s="845"/>
      <c r="S47" s="127"/>
      <c r="T47" s="834"/>
      <c r="U47" s="834"/>
      <c r="V47" s="313"/>
      <c r="W47" s="313"/>
      <c r="X47" s="315" t="str">
        <f>Y46&amp;"-"&amp;AA46</f>
        <v>-</v>
      </c>
      <c r="Y47" s="1198"/>
      <c r="Z47" s="1079"/>
      <c r="AA47" s="1198"/>
      <c r="AB47" s="1079"/>
      <c r="AC47" s="313"/>
      <c r="AD47" s="313"/>
      <c r="AE47" s="315" t="str">
        <f>AF46&amp;"-"&amp;AH46</f>
        <v>-</v>
      </c>
      <c r="AF47" s="1198"/>
      <c r="AG47" s="1079"/>
      <c r="AH47" s="1200"/>
      <c r="AI47" s="1079"/>
      <c r="AJ47" s="388"/>
      <c r="AK47" s="1266"/>
      <c r="AN47" s="583" t="str">
        <f t="shared" si="1"/>
        <v/>
      </c>
      <c r="AQ47" s="539">
        <v>0</v>
      </c>
    </row>
    <row r="48" spans="1:43" ht="21" customHeight="1">
      <c r="A48" s="858" t="s">
        <v>244</v>
      </c>
      <c r="B48" s="858" t="s">
        <v>245</v>
      </c>
      <c r="C48" s="858" t="s">
        <v>246</v>
      </c>
      <c r="D48" s="858" t="s">
        <v>505</v>
      </c>
      <c r="E48" s="1193"/>
      <c r="F48" s="1193"/>
      <c r="G48" s="1193"/>
      <c r="H48" s="1193"/>
      <c r="I48" s="1195"/>
      <c r="J48" s="1194"/>
      <c r="P48" s="1038"/>
      <c r="Q48" s="1038"/>
      <c r="R48" s="843"/>
      <c r="S48" s="316"/>
      <c r="T48" s="319" t="s">
        <v>494</v>
      </c>
      <c r="U48" s="52"/>
      <c r="V48" s="52"/>
      <c r="W48" s="52"/>
      <c r="X48" s="52"/>
      <c r="Y48" s="52"/>
      <c r="Z48" s="52"/>
      <c r="AA48" s="52"/>
      <c r="AB48" s="52"/>
      <c r="AC48" s="52"/>
      <c r="AD48" s="52"/>
      <c r="AE48" s="52"/>
      <c r="AF48" s="52"/>
      <c r="AG48" s="52"/>
      <c r="AH48" s="52"/>
      <c r="AI48" s="52"/>
      <c r="AJ48" s="52"/>
      <c r="AK48" s="836" t="s">
        <v>495</v>
      </c>
      <c r="AN48" s="583" t="str">
        <f t="shared" si="1"/>
        <v>Добавить значение признака дифференциации</v>
      </c>
      <c r="AQ48" s="539">
        <v>20</v>
      </c>
    </row>
    <row r="49" spans="1:43" ht="21.95" customHeight="1">
      <c r="A49" s="858" t="s">
        <v>244</v>
      </c>
      <c r="B49" s="858" t="s">
        <v>245</v>
      </c>
      <c r="C49" s="858" t="s">
        <v>246</v>
      </c>
      <c r="D49" s="858" t="s">
        <v>505</v>
      </c>
      <c r="E49" s="1193"/>
      <c r="F49" s="1193"/>
      <c r="G49" s="1193"/>
      <c r="H49" s="1193"/>
      <c r="I49" s="1194"/>
      <c r="P49" s="1038"/>
      <c r="R49" s="843"/>
      <c r="S49" s="316"/>
      <c r="T49" s="322" t="s">
        <v>420</v>
      </c>
      <c r="U49" s="52"/>
      <c r="V49" s="52"/>
      <c r="W49" s="52"/>
      <c r="X49" s="52"/>
      <c r="Y49" s="52"/>
      <c r="Z49" s="52"/>
      <c r="AA49" s="52"/>
      <c r="AB49" s="320"/>
      <c r="AC49" s="52"/>
      <c r="AD49" s="52"/>
      <c r="AE49" s="52"/>
      <c r="AF49" s="52"/>
      <c r="AG49" s="52"/>
      <c r="AH49" s="52"/>
      <c r="AI49" s="320"/>
      <c r="AJ49" s="52"/>
      <c r="AK49" s="400"/>
      <c r="AN49" s="583" t="str">
        <f t="shared" si="1"/>
        <v>Добавить группу потребителей</v>
      </c>
      <c r="AQ49" s="539">
        <v>21</v>
      </c>
    </row>
    <row r="50" spans="1:43" ht="21.95" customHeight="1">
      <c r="A50" s="858" t="s">
        <v>244</v>
      </c>
      <c r="B50" s="858" t="s">
        <v>245</v>
      </c>
      <c r="C50" s="858" t="s">
        <v>246</v>
      </c>
      <c r="D50" s="858" t="s">
        <v>505</v>
      </c>
      <c r="E50" s="1193"/>
      <c r="F50" s="1193"/>
      <c r="G50" s="1193"/>
      <c r="H50" s="1192"/>
      <c r="R50" s="311"/>
      <c r="S50" s="316"/>
      <c r="T50" s="377" t="s">
        <v>496</v>
      </c>
      <c r="U50" s="52"/>
      <c r="V50" s="52"/>
      <c r="W50" s="52"/>
      <c r="X50" s="52"/>
      <c r="Y50" s="52"/>
      <c r="Z50" s="52"/>
      <c r="AA50" s="52"/>
      <c r="AB50" s="320"/>
      <c r="AC50" s="52"/>
      <c r="AD50" s="52"/>
      <c r="AE50" s="52"/>
      <c r="AF50" s="52"/>
      <c r="AG50" s="52"/>
      <c r="AH50" s="52"/>
      <c r="AI50" s="320"/>
      <c r="AJ50" s="52"/>
      <c r="AK50" s="321"/>
      <c r="AN50" s="583" t="str">
        <f t="shared" si="1"/>
        <v>Добавить наименование признака дифференциации</v>
      </c>
      <c r="AQ50" s="539">
        <v>21</v>
      </c>
    </row>
    <row r="51" spans="1:43" ht="0" hidden="1" customHeight="1">
      <c r="A51" s="575" t="s">
        <v>244</v>
      </c>
      <c r="B51" s="575" t="s">
        <v>245</v>
      </c>
      <c r="E51" s="1193"/>
      <c r="F51" s="1192"/>
      <c r="T51" s="327" t="s">
        <v>423</v>
      </c>
      <c r="AN51" s="583" t="str">
        <f t="shared" si="1"/>
        <v>Добавить централизованную систему для дифференциации</v>
      </c>
      <c r="AQ51" s="578">
        <v>0</v>
      </c>
    </row>
    <row r="52" spans="1:43" ht="0" hidden="1" customHeight="1">
      <c r="A52" s="575" t="s">
        <v>244</v>
      </c>
      <c r="E52" s="1192"/>
      <c r="T52" s="327" t="s">
        <v>424</v>
      </c>
      <c r="AN52" s="583" t="str">
        <f t="shared" si="1"/>
        <v>Добавить территорию для дифференциации</v>
      </c>
      <c r="AQ52" s="578">
        <v>0</v>
      </c>
    </row>
    <row r="53" spans="1:43" ht="0" hidden="1" customHeight="1">
      <c r="T53" s="327" t="s">
        <v>456</v>
      </c>
      <c r="AN53" s="583" t="str">
        <f t="shared" si="1"/>
        <v>Добавить наименование тарифа</v>
      </c>
      <c r="AQ53" s="578">
        <v>0</v>
      </c>
    </row>
    <row r="54" spans="1:43" ht="11.45" customHeight="1">
      <c r="AQ54" s="539">
        <v>11</v>
      </c>
    </row>
    <row r="55" spans="1:43" ht="14.65" customHeight="1">
      <c r="T55" s="1038"/>
      <c r="U55" s="1038"/>
      <c r="V55" s="1038"/>
      <c r="W55" s="1038"/>
      <c r="X55" s="1038"/>
      <c r="Y55" s="1038"/>
      <c r="Z55" s="1038"/>
      <c r="AA55" s="1038"/>
      <c r="AB55" s="1038"/>
      <c r="AC55" s="1038"/>
      <c r="AD55" s="1038"/>
      <c r="AE55" s="1038"/>
      <c r="AF55" s="1038"/>
      <c r="AG55" s="1038"/>
      <c r="AH55" s="1038"/>
      <c r="AI55" s="1038"/>
      <c r="AJ55" s="1038"/>
      <c r="AK55" s="1038"/>
      <c r="AQ55" s="539">
        <v>14</v>
      </c>
    </row>
    <row r="56" spans="1:43" ht="14.65" customHeight="1">
      <c r="AQ56" s="539">
        <v>14</v>
      </c>
    </row>
    <row r="57" spans="1:43" ht="14.65" customHeight="1">
      <c r="T57" s="1038"/>
      <c r="U57" s="1038"/>
      <c r="V57" s="1038"/>
      <c r="W57" s="1038"/>
      <c r="X57" s="1038"/>
      <c r="Y57" s="1038"/>
      <c r="Z57" s="1038"/>
      <c r="AA57" s="1038"/>
      <c r="AB57" s="1038"/>
      <c r="AC57" s="1038"/>
      <c r="AD57" s="1038"/>
      <c r="AE57" s="1038"/>
      <c r="AF57" s="1038"/>
      <c r="AG57" s="1038"/>
      <c r="AH57" s="1038"/>
      <c r="AI57" s="1038"/>
      <c r="AJ57" s="1038"/>
      <c r="AK57" s="1038"/>
      <c r="AQ57" s="539">
        <v>14</v>
      </c>
    </row>
    <row r="58" spans="1:43" ht="22.5" hidden="1" customHeight="1">
      <c r="A58" s="556" t="s">
        <v>81</v>
      </c>
      <c r="B58" s="556">
        <v>0</v>
      </c>
      <c r="C58" s="556">
        <v>0</v>
      </c>
      <c r="D58" s="556">
        <v>0</v>
      </c>
      <c r="E58" s="556">
        <v>0</v>
      </c>
      <c r="F58" s="556">
        <v>0</v>
      </c>
      <c r="G58" s="556">
        <v>0</v>
      </c>
      <c r="H58" s="556">
        <v>0</v>
      </c>
      <c r="I58" s="556">
        <v>0</v>
      </c>
      <c r="J58" s="556">
        <v>0</v>
      </c>
      <c r="K58" s="556">
        <v>0</v>
      </c>
      <c r="L58" s="668">
        <v>0</v>
      </c>
      <c r="M58" s="12">
        <v>0</v>
      </c>
      <c r="N58" s="12">
        <v>0</v>
      </c>
      <c r="O58" s="12">
        <v>0</v>
      </c>
      <c r="P58" s="301">
        <v>3</v>
      </c>
      <c r="Q58" s="822">
        <v>3</v>
      </c>
      <c r="R58" s="822">
        <v>3</v>
      </c>
      <c r="S58" s="554">
        <v>12</v>
      </c>
      <c r="T58" s="539">
        <v>35</v>
      </c>
      <c r="U58" s="539">
        <v>0</v>
      </c>
      <c r="V58" s="539">
        <v>0</v>
      </c>
      <c r="W58" s="539">
        <v>0</v>
      </c>
      <c r="X58" s="539">
        <v>0</v>
      </c>
      <c r="Y58" s="539">
        <v>0</v>
      </c>
      <c r="Z58" s="539">
        <v>0</v>
      </c>
      <c r="AA58" s="539">
        <v>0</v>
      </c>
      <c r="AB58" s="539">
        <v>0</v>
      </c>
      <c r="AC58" s="539">
        <v>24</v>
      </c>
      <c r="AD58" s="539">
        <v>24</v>
      </c>
      <c r="AE58" s="539">
        <v>24</v>
      </c>
      <c r="AF58" s="539">
        <v>11</v>
      </c>
      <c r="AG58" s="539">
        <v>3</v>
      </c>
      <c r="AH58" s="539">
        <v>11</v>
      </c>
      <c r="AI58" s="539">
        <v>0</v>
      </c>
      <c r="AJ58" s="539">
        <v>4</v>
      </c>
      <c r="AK58" s="539">
        <v>115</v>
      </c>
      <c r="AL58" s="578">
        <v>10</v>
      </c>
      <c r="AM58" s="578">
        <v>10</v>
      </c>
      <c r="AN58" s="578">
        <v>10</v>
      </c>
      <c r="AO58" s="578">
        <v>10</v>
      </c>
      <c r="AP58" s="578">
        <v>10</v>
      </c>
      <c r="AQ58" s="53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4.140625" style="1030" hidden="1" customWidth="1"/>
    <col min="10" max="10" width="9.85546875" style="1030" hidden="1" customWidth="1"/>
    <col min="11" max="11" width="14.710937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5" style="1030" customWidth="1"/>
    <col min="21" max="21" width="0.140625" style="1030" customWidth="1"/>
    <col min="22" max="24" width="24.7109375" style="1030" hidden="1" customWidth="1"/>
    <col min="25" max="25" width="11.7109375" style="1030" hidden="1" customWidth="1"/>
    <col min="26" max="26" width="3.7109375" style="1030" hidden="1" customWidth="1"/>
    <col min="27" max="27" width="11.7109375" style="1030" hidden="1" customWidth="1"/>
    <col min="28" max="28" width="8.5703125" style="1030" hidden="1" customWidth="1"/>
    <col min="29" max="29" width="24.7109375" style="1030" customWidth="1"/>
    <col min="30" max="31" width="24" style="1030" customWidth="1"/>
    <col min="32" max="32" width="11" style="1030" customWidth="1"/>
    <col min="33" max="33" width="3.7109375" style="1030" customWidth="1"/>
    <col min="34" max="34" width="11" style="1030" customWidth="1"/>
    <col min="35" max="35" width="8.5703125" style="1030" hidden="1" customWidth="1"/>
    <col min="36" max="36" width="4" style="1030" customWidth="1"/>
    <col min="37" max="37" width="115" style="1030" customWidth="1"/>
    <col min="38" max="42" width="10" style="1030" customWidth="1"/>
    <col min="43" max="43" width="10.5703125" style="1030" hidden="1"/>
  </cols>
  <sheetData>
    <row r="1" spans="5:43" ht="22.5" hidden="1" customHeight="1">
      <c r="AQ1" s="539" t="s">
        <v>14</v>
      </c>
    </row>
    <row r="2" spans="5:43" ht="23.25" hidden="1" customHeight="1">
      <c r="E2" s="1192">
        <v>1</v>
      </c>
      <c r="R2" s="311"/>
      <c r="S2" s="833" t="e">
        <f>INDEX(PT_DIFFERENTIATION_NUM_NTAR,MATCH(A2,PT_DIFFERENTIATION_NTAR_ID,0))</f>
        <v>#N/A</v>
      </c>
      <c r="T2" s="796" t="s">
        <v>133</v>
      </c>
      <c r="U2" s="834"/>
      <c r="V2" s="1187"/>
      <c r="W2" s="1188"/>
      <c r="X2" s="1188"/>
      <c r="Y2" s="1188"/>
      <c r="Z2" s="1188"/>
      <c r="AA2" s="1188"/>
      <c r="AB2" s="1189"/>
      <c r="AC2" s="1187" t="e">
        <f>INDEX(PT_DIFFERENTIATION_NTAR,MATCH(A2,PT_DIFFERENTIATION_NTAR_ID,0))</f>
        <v>#N/A</v>
      </c>
      <c r="AD2" s="1188"/>
      <c r="AE2" s="1188"/>
      <c r="AF2" s="1188"/>
      <c r="AG2" s="1188"/>
      <c r="AH2" s="1188"/>
      <c r="AI2" s="1188"/>
      <c r="AJ2" s="1189"/>
      <c r="AK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3" t="str">
        <f t="shared" ref="AN2:AN13" si="0">IF(T2="","",T2)</f>
        <v>Наименование тарифа</v>
      </c>
      <c r="AQ2" s="539">
        <v>0</v>
      </c>
    </row>
    <row r="3" spans="5:43" ht="23.25"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9"/>
      <c r="AC3" s="1187" t="e">
        <f>INDEX(PT_DIFFERENTIATION_TER,MATCH(B3,PT_DIFFERENTIATION_TER_ID,0))</f>
        <v>#N/A</v>
      </c>
      <c r="AD3" s="1188"/>
      <c r="AE3" s="1188"/>
      <c r="AF3" s="1188"/>
      <c r="AG3" s="1188"/>
      <c r="AH3" s="1188"/>
      <c r="AI3" s="1188"/>
      <c r="AJ3" s="1189"/>
      <c r="AK3" s="836" t="s">
        <v>406</v>
      </c>
      <c r="AN3" s="583" t="str">
        <f t="shared" si="0"/>
        <v>Территория действия тарифа</v>
      </c>
      <c r="AQ3" s="539">
        <v>0</v>
      </c>
    </row>
    <row r="4" spans="5:43" ht="23.25" hidden="1" customHeight="1">
      <c r="E4" s="1193"/>
      <c r="F4" s="1193"/>
      <c r="G4" s="1192">
        <v>1</v>
      </c>
      <c r="Q4" s="837"/>
      <c r="R4" s="838"/>
      <c r="S4" s="833" t="e">
        <f>INDEX(PT_DIFFERENTIATION_NUM_CS,MATCH(C4,PT_DIFFERENTIATION_CS_ID,0))</f>
        <v>#N/A</v>
      </c>
      <c r="T4" s="840" t="s">
        <v>489</v>
      </c>
      <c r="U4" s="834"/>
      <c r="V4" s="1187"/>
      <c r="W4" s="1188"/>
      <c r="X4" s="1188"/>
      <c r="Y4" s="1188"/>
      <c r="Z4" s="1188"/>
      <c r="AA4" s="1188"/>
      <c r="AB4" s="1189"/>
      <c r="AC4" s="1187" t="e">
        <f>INDEX(PT_DIFFERENTIATION_CS,MATCH(C4,PT_DIFFERENTIATION_CS_ID,0))</f>
        <v>#N/A</v>
      </c>
      <c r="AD4" s="1188"/>
      <c r="AE4" s="1188"/>
      <c r="AF4" s="1188"/>
      <c r="AG4" s="1188"/>
      <c r="AH4" s="1188"/>
      <c r="AI4" s="1188"/>
      <c r="AJ4" s="1189"/>
      <c r="AK4" s="836" t="s">
        <v>490</v>
      </c>
      <c r="AN4" s="583" t="str">
        <f t="shared" si="0"/>
        <v>Наименование централизованной системы холодного водоснабжения</v>
      </c>
      <c r="AQ4" s="539">
        <v>0</v>
      </c>
    </row>
    <row r="5" spans="5:43" ht="23.25" hidden="1" customHeight="1">
      <c r="E5" s="1193"/>
      <c r="F5" s="1193"/>
      <c r="G5" s="1193"/>
      <c r="H5" s="1193"/>
      <c r="I5" s="1194" t="e">
        <f>S4&amp;".1"</f>
        <v>#N/A</v>
      </c>
      <c r="P5" s="1196">
        <v>1</v>
      </c>
      <c r="R5" s="843"/>
      <c r="S5" s="833" t="e">
        <f>$I5</f>
        <v>#N/A</v>
      </c>
      <c r="T5" s="844" t="s">
        <v>491</v>
      </c>
      <c r="U5" s="834"/>
      <c r="V5" s="1260"/>
      <c r="W5" s="1261"/>
      <c r="X5" s="1261"/>
      <c r="Y5" s="1261"/>
      <c r="Z5" s="1261"/>
      <c r="AA5" s="1261"/>
      <c r="AB5" s="1262"/>
      <c r="AC5" s="1263"/>
      <c r="AD5" s="1264"/>
      <c r="AE5" s="1264"/>
      <c r="AF5" s="1264"/>
      <c r="AG5" s="1264"/>
      <c r="AH5" s="1264"/>
      <c r="AI5" s="1264"/>
      <c r="AJ5" s="1265"/>
      <c r="AK5" s="836" t="s">
        <v>492</v>
      </c>
      <c r="AN5" s="583" t="str">
        <f t="shared" si="0"/>
        <v>Наименование признака дифференциации</v>
      </c>
      <c r="AQ5" s="539">
        <v>0</v>
      </c>
    </row>
    <row r="6" spans="5:43" ht="23.25" hidden="1" customHeight="1">
      <c r="E6" s="1193"/>
      <c r="F6" s="1193"/>
      <c r="G6" s="1193"/>
      <c r="H6" s="1193"/>
      <c r="I6" s="1195"/>
      <c r="J6" s="1194" t="e">
        <f>I5&amp;".1"</f>
        <v>#N/A</v>
      </c>
      <c r="L6" s="842" t="s">
        <v>414</v>
      </c>
      <c r="P6" s="1038"/>
      <c r="Q6" s="1196">
        <v>1</v>
      </c>
      <c r="R6" s="845"/>
      <c r="S6" s="833" t="e">
        <f>$J6</f>
        <v>#N/A</v>
      </c>
      <c r="T6" s="846" t="s">
        <v>415</v>
      </c>
      <c r="U6" s="834"/>
      <c r="V6" s="1181"/>
      <c r="W6" s="1182"/>
      <c r="X6" s="1182"/>
      <c r="Y6" s="1182"/>
      <c r="Z6" s="1182"/>
      <c r="AA6" s="1182"/>
      <c r="AB6" s="1183"/>
      <c r="AC6" s="1181"/>
      <c r="AD6" s="1182"/>
      <c r="AE6" s="1182"/>
      <c r="AF6" s="1182"/>
      <c r="AG6" s="1182"/>
      <c r="AH6" s="1182"/>
      <c r="AI6" s="1182"/>
      <c r="AJ6" s="1183"/>
      <c r="AK6" s="875" t="s">
        <v>493</v>
      </c>
      <c r="AN6" s="583" t="str">
        <f t="shared" si="0"/>
        <v>Группа потребителей</v>
      </c>
      <c r="AQ6" s="539">
        <v>0</v>
      </c>
    </row>
    <row r="7" spans="5:43" ht="23.25" hidden="1" customHeight="1">
      <c r="E7" s="1193"/>
      <c r="F7" s="1193"/>
      <c r="G7" s="1193"/>
      <c r="H7" s="1193"/>
      <c r="I7" s="1195"/>
      <c r="J7" s="1195"/>
      <c r="K7" s="1194" t="e">
        <f>J6&amp;".1"</f>
        <v>#N/A</v>
      </c>
      <c r="P7" s="1038"/>
      <c r="Q7" s="1038"/>
      <c r="R7" s="845">
        <v>1</v>
      </c>
      <c r="S7" s="833" t="e">
        <f>$K7</f>
        <v>#N/A</v>
      </c>
      <c r="T7" s="398"/>
      <c r="U7" s="834"/>
      <c r="V7" s="312"/>
      <c r="W7" s="312"/>
      <c r="X7" s="314"/>
      <c r="Y7" s="1197"/>
      <c r="Z7" s="1079" t="s">
        <v>61</v>
      </c>
      <c r="AA7" s="1197"/>
      <c r="AB7" s="1079" t="s">
        <v>61</v>
      </c>
      <c r="AC7" s="312"/>
      <c r="AD7" s="312"/>
      <c r="AE7" s="314"/>
      <c r="AF7" s="1197"/>
      <c r="AG7" s="1079" t="s">
        <v>61</v>
      </c>
      <c r="AH7" s="1199"/>
      <c r="AI7" s="1079" t="s">
        <v>61</v>
      </c>
      <c r="AJ7" s="399"/>
      <c r="AK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8" t="e">
        <f ca="1">STRCHECKDATE(V8:AJ8)</f>
        <v>#NAME?</v>
      </c>
      <c r="AN7" s="583" t="str">
        <f t="shared" si="0"/>
        <v/>
      </c>
      <c r="AQ7" s="539">
        <v>0</v>
      </c>
    </row>
    <row r="8" spans="5:43" ht="14.25" hidden="1" customHeight="1">
      <c r="E8" s="1193"/>
      <c r="F8" s="1193"/>
      <c r="G8" s="1193"/>
      <c r="H8" s="1193"/>
      <c r="I8" s="1195"/>
      <c r="J8" s="1195"/>
      <c r="K8" s="1194"/>
      <c r="P8" s="1038"/>
      <c r="Q8" s="1038"/>
      <c r="R8" s="845"/>
      <c r="S8" s="127"/>
      <c r="T8" s="834"/>
      <c r="U8" s="834"/>
      <c r="V8" s="313"/>
      <c r="W8" s="313"/>
      <c r="X8" s="315" t="str">
        <f>Y7&amp;"-"&amp;AA7</f>
        <v>-</v>
      </c>
      <c r="Y8" s="1198"/>
      <c r="Z8" s="1079"/>
      <c r="AA8" s="1198"/>
      <c r="AB8" s="1079"/>
      <c r="AC8" s="313"/>
      <c r="AD8" s="313"/>
      <c r="AE8" s="315" t="str">
        <f>AF7&amp;"-"&amp;AH7</f>
        <v>-</v>
      </c>
      <c r="AF8" s="1198"/>
      <c r="AG8" s="1079"/>
      <c r="AH8" s="1200"/>
      <c r="AI8" s="1079"/>
      <c r="AJ8" s="388"/>
      <c r="AK8" s="1266"/>
      <c r="AN8" s="583" t="str">
        <f t="shared" si="0"/>
        <v/>
      </c>
      <c r="AQ8" s="539">
        <v>0</v>
      </c>
    </row>
    <row r="9" spans="5:43" ht="21" hidden="1" customHeight="1">
      <c r="E9" s="1193"/>
      <c r="F9" s="1193"/>
      <c r="G9" s="1193"/>
      <c r="H9" s="1193"/>
      <c r="I9" s="1195"/>
      <c r="J9" s="1194"/>
      <c r="P9" s="1038"/>
      <c r="Q9" s="1038"/>
      <c r="R9" s="843"/>
      <c r="S9" s="316"/>
      <c r="T9" s="319" t="s">
        <v>494</v>
      </c>
      <c r="U9" s="52"/>
      <c r="V9" s="52"/>
      <c r="W9" s="52"/>
      <c r="X9" s="52"/>
      <c r="Y9" s="52"/>
      <c r="Z9" s="52"/>
      <c r="AA9" s="52"/>
      <c r="AB9" s="52"/>
      <c r="AC9" s="52"/>
      <c r="AD9" s="52"/>
      <c r="AE9" s="52"/>
      <c r="AF9" s="52"/>
      <c r="AG9" s="52"/>
      <c r="AH9" s="52"/>
      <c r="AI9" s="52"/>
      <c r="AJ9" s="52"/>
      <c r="AK9" s="836" t="s">
        <v>495</v>
      </c>
      <c r="AN9" s="583" t="str">
        <f t="shared" si="0"/>
        <v>Добавить значение признака дифференциации</v>
      </c>
      <c r="AQ9" s="539">
        <v>0</v>
      </c>
    </row>
    <row r="10" spans="5:43" ht="21" hidden="1" customHeight="1">
      <c r="E10" s="1193"/>
      <c r="F10" s="1193"/>
      <c r="G10" s="1193"/>
      <c r="H10" s="1193"/>
      <c r="I10" s="1194"/>
      <c r="P10" s="1038"/>
      <c r="R10" s="843"/>
      <c r="S10" s="316"/>
      <c r="T10" s="322" t="s">
        <v>420</v>
      </c>
      <c r="U10" s="52"/>
      <c r="V10" s="52"/>
      <c r="W10" s="52"/>
      <c r="X10" s="52"/>
      <c r="Y10" s="52"/>
      <c r="Z10" s="52"/>
      <c r="AA10" s="52"/>
      <c r="AB10" s="320"/>
      <c r="AC10" s="52"/>
      <c r="AD10" s="52"/>
      <c r="AE10" s="52"/>
      <c r="AF10" s="52"/>
      <c r="AG10" s="52"/>
      <c r="AH10" s="52"/>
      <c r="AI10" s="320"/>
      <c r="AJ10" s="52"/>
      <c r="AK10" s="400"/>
      <c r="AN10" s="583" t="str">
        <f t="shared" si="0"/>
        <v>Добавить группу потребителей</v>
      </c>
      <c r="AQ10" s="539">
        <v>0</v>
      </c>
    </row>
    <row r="11" spans="5:43" ht="21" hidden="1" customHeight="1">
      <c r="E11" s="1193"/>
      <c r="F11" s="1193"/>
      <c r="G11" s="1193"/>
      <c r="H11" s="1192"/>
      <c r="R11" s="311"/>
      <c r="S11" s="316"/>
      <c r="T11" s="377" t="s">
        <v>496</v>
      </c>
      <c r="U11" s="52"/>
      <c r="V11" s="52"/>
      <c r="W11" s="52"/>
      <c r="X11" s="52"/>
      <c r="Y11" s="52"/>
      <c r="Z11" s="52"/>
      <c r="AA11" s="52"/>
      <c r="AB11" s="320"/>
      <c r="AC11" s="52"/>
      <c r="AD11" s="52"/>
      <c r="AE11" s="52"/>
      <c r="AF11" s="52"/>
      <c r="AG11" s="52"/>
      <c r="AH11" s="52"/>
      <c r="AI11" s="320"/>
      <c r="AJ11" s="52"/>
      <c r="AK11" s="321"/>
      <c r="AN11" s="583" t="str">
        <f t="shared" si="0"/>
        <v>Добавить наименование признака дифференциации</v>
      </c>
      <c r="AQ11" s="539">
        <v>0</v>
      </c>
    </row>
    <row r="12" spans="5:43" ht="14.25" hidden="1" customHeight="1">
      <c r="E12" s="1193"/>
      <c r="F12" s="1192"/>
      <c r="T12" s="327" t="s">
        <v>423</v>
      </c>
      <c r="AN12" s="583" t="str">
        <f t="shared" si="0"/>
        <v>Добавить централизованную систему для дифференциации</v>
      </c>
      <c r="AQ12" s="578">
        <v>0</v>
      </c>
    </row>
    <row r="13" spans="5:43" ht="14.25" hidden="1" customHeight="1">
      <c r="E13" s="1192"/>
      <c r="T13" s="327" t="s">
        <v>424</v>
      </c>
      <c r="AN13" s="583" t="str">
        <f t="shared" si="0"/>
        <v>Добавить территорию для дифференциации</v>
      </c>
      <c r="AQ13" s="578">
        <v>0</v>
      </c>
    </row>
    <row r="14" spans="5:43" ht="14.25" hidden="1" customHeight="1">
      <c r="AQ14" s="539">
        <v>0</v>
      </c>
    </row>
    <row r="15" spans="5:43" ht="14.25" hidden="1" customHeight="1">
      <c r="AC15" s="276"/>
      <c r="AD15" s="276"/>
      <c r="AE15" s="328"/>
      <c r="AF15" s="1191"/>
      <c r="AG15" s="1190" t="s">
        <v>61</v>
      </c>
      <c r="AH15" s="1191"/>
      <c r="AI15" s="1190" t="s">
        <v>61</v>
      </c>
      <c r="AQ15" s="539">
        <v>0</v>
      </c>
    </row>
    <row r="16" spans="5:43" ht="14.25" hidden="1" customHeight="1">
      <c r="AC16" s="276"/>
      <c r="AD16" s="276"/>
      <c r="AE16" s="315" t="str">
        <f>AF15&amp;"-"&amp;AH15</f>
        <v>-</v>
      </c>
      <c r="AF16" s="1190"/>
      <c r="AG16" s="1190"/>
      <c r="AH16" s="1190"/>
      <c r="AI16" s="1190"/>
      <c r="AQ16" s="539">
        <v>0</v>
      </c>
    </row>
    <row r="17" spans="15:43" ht="14.25" hidden="1" customHeight="1">
      <c r="AQ17" s="539">
        <v>0</v>
      </c>
    </row>
    <row r="18" spans="15:43" ht="22.5" hidden="1" customHeight="1">
      <c r="O18" s="329" t="s">
        <v>425</v>
      </c>
      <c r="Y18" s="329"/>
      <c r="AA18" s="329"/>
      <c r="AF18" s="329"/>
      <c r="AH18" s="329"/>
      <c r="AQ18" s="556">
        <v>0</v>
      </c>
    </row>
    <row r="19" spans="15:43" ht="14.25" hidden="1" customHeight="1">
      <c r="AQ19" s="556">
        <v>0</v>
      </c>
    </row>
    <row r="20" spans="15:43" ht="12" hidden="1" customHeight="1">
      <c r="O20" s="842" t="s">
        <v>426</v>
      </c>
      <c r="T20" s="556" t="s">
        <v>427</v>
      </c>
      <c r="Z20" s="599" t="s">
        <v>428</v>
      </c>
      <c r="AB20" s="599" t="s">
        <v>429</v>
      </c>
      <c r="AC20" s="556" t="s">
        <v>427</v>
      </c>
      <c r="AG20" s="599" t="s">
        <v>430</v>
      </c>
      <c r="AI20" s="599" t="s">
        <v>429</v>
      </c>
      <c r="AQ20" s="556">
        <v>0</v>
      </c>
    </row>
    <row r="21" spans="15:43" ht="14.25" hidden="1" customHeight="1">
      <c r="AQ21" s="539">
        <v>0</v>
      </c>
    </row>
    <row r="22" spans="15:43" ht="14.25" hidden="1" customHeight="1">
      <c r="AQ22" s="539">
        <v>0</v>
      </c>
    </row>
    <row r="23" spans="15:43" ht="14.65" customHeight="1">
      <c r="Q23" s="757"/>
      <c r="R23" s="757"/>
      <c r="S23" s="848"/>
      <c r="T23" s="557"/>
      <c r="U23" s="557"/>
      <c r="AQ23" s="539">
        <v>14</v>
      </c>
    </row>
    <row r="24" spans="15:43" ht="14.65" customHeight="1">
      <c r="Q24" s="757"/>
      <c r="R24" s="757"/>
      <c r="S24" s="1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174"/>
      <c r="U24" s="1174"/>
      <c r="V24" s="1174"/>
      <c r="W24" s="1174"/>
      <c r="X24" s="1174"/>
      <c r="Y24" s="1174"/>
      <c r="Z24" s="1174"/>
      <c r="AA24" s="1174"/>
      <c r="AB24" s="1174"/>
      <c r="AC24" s="1174"/>
      <c r="AD24" s="1174"/>
      <c r="AE24" s="1174"/>
      <c r="AF24" s="1174"/>
      <c r="AG24" s="1174"/>
      <c r="AH24" s="1174"/>
      <c r="AQ24" s="539">
        <v>14</v>
      </c>
    </row>
    <row r="25" spans="15:43" ht="14.65" customHeight="1">
      <c r="Q25" s="757"/>
      <c r="R25" s="757"/>
      <c r="S25" s="1148" t="str">
        <f>IF(org=0,"Не определено",org)</f>
        <v>АО "НИЖЕГОРОДСКИЙ ВОДОКАНАЛ"</v>
      </c>
      <c r="T25" s="1148"/>
      <c r="U25" s="1148"/>
      <c r="V25" s="1148"/>
      <c r="W25" s="1148"/>
      <c r="X25" s="1148"/>
      <c r="Y25" s="1148"/>
      <c r="Z25" s="1148"/>
      <c r="AA25" s="1148"/>
      <c r="AB25" s="1148"/>
      <c r="AC25" s="1148"/>
      <c r="AD25" s="1148"/>
      <c r="AE25" s="1148"/>
      <c r="AF25" s="1148"/>
      <c r="AG25" s="1148"/>
      <c r="AH25" s="1148"/>
      <c r="AQ25" s="539">
        <v>14</v>
      </c>
    </row>
    <row r="26" spans="15:43" ht="14.25" hidden="1" customHeight="1">
      <c r="Q26" s="757"/>
      <c r="R26" s="757"/>
      <c r="S26" s="848"/>
      <c r="T26" s="557"/>
      <c r="U26" s="557"/>
      <c r="V26" s="827"/>
      <c r="W26" s="827"/>
      <c r="X26" s="827"/>
      <c r="Y26" s="827"/>
      <c r="Z26" s="827"/>
      <c r="AA26" s="827"/>
      <c r="AB26" s="827"/>
      <c r="AC26" s="827"/>
      <c r="AD26" s="827"/>
      <c r="AE26" s="827"/>
      <c r="AF26" s="827"/>
      <c r="AG26" s="827"/>
      <c r="AH26" s="827"/>
      <c r="AI26" s="827"/>
      <c r="AQ26" s="539">
        <v>0</v>
      </c>
    </row>
    <row r="27" spans="15:43" ht="25.5" hidden="1" customHeight="1">
      <c r="S27" s="1184" t="s">
        <v>41</v>
      </c>
      <c r="T27" s="1184"/>
      <c r="U27" s="850"/>
      <c r="V27" s="1186" t="str">
        <f>IF(TITLE_NAME_OR_PR_CHANGE="",IF(TITLE_NAME_OR_PR="","",TITLE_NAME_OR_PR),TITLE_NAME_OR_PR_CHANGE)</f>
        <v/>
      </c>
      <c r="W27" s="1186"/>
      <c r="X27" s="1186"/>
      <c r="Y27" s="1186"/>
      <c r="Z27" s="1186"/>
      <c r="AA27" s="1186"/>
      <c r="AC27" s="1186" t="str">
        <f>IF(TITLE_NAME_OR_PR_CHANGE="",IF(TITLE_NAME_OR_PR="","",TITLE_NAME_OR_PR),TITLE_NAME_OR_PR_CHANGE)</f>
        <v/>
      </c>
      <c r="AD27" s="1186"/>
      <c r="AE27" s="1186"/>
      <c r="AF27" s="1186"/>
      <c r="AG27" s="1186"/>
      <c r="AH27" s="1186"/>
      <c r="AQ27" s="593">
        <v>0</v>
      </c>
    </row>
    <row r="28" spans="15:43" ht="18.75" hidden="1" customHeight="1">
      <c r="S28" s="1184" t="s">
        <v>431</v>
      </c>
      <c r="T28" s="1184"/>
      <c r="U28" s="850"/>
      <c r="V28" s="1185" t="str">
        <f>IF(TITLE_DATE_PR_CHANGE="",IF(TITLE_DATE_PR="","",TITLE_DATE_PR),TITLE_DATE_PR_CHANGE)</f>
        <v/>
      </c>
      <c r="W28" s="1185"/>
      <c r="X28" s="1185"/>
      <c r="Y28" s="1185"/>
      <c r="Z28" s="1185"/>
      <c r="AA28" s="1185"/>
      <c r="AC28" s="1185" t="str">
        <f>IF(TITLE_DATE_PR_CHANGE="",IF(TITLE_DATE_PR="","",TITLE_DATE_PR),TITLE_DATE_PR_CHANGE)</f>
        <v/>
      </c>
      <c r="AD28" s="1185"/>
      <c r="AE28" s="1185"/>
      <c r="AF28" s="1185"/>
      <c r="AG28" s="1185"/>
      <c r="AH28" s="1185"/>
      <c r="AQ28" s="593">
        <v>0</v>
      </c>
    </row>
    <row r="29" spans="15:43" ht="18.75" hidden="1" customHeight="1">
      <c r="S29" s="1184" t="s">
        <v>432</v>
      </c>
      <c r="T29" s="1184"/>
      <c r="U29" s="850"/>
      <c r="V29" s="1186" t="str">
        <f>IF(TITLE_NUMBER_PR_CHANGE="",IF(TITLE_NUMBER_PR="","",TITLE_NUMBER_PR),TITLE_NUMBER_PR_CHANGE)</f>
        <v/>
      </c>
      <c r="W29" s="1186"/>
      <c r="X29" s="1186"/>
      <c r="Y29" s="1186"/>
      <c r="Z29" s="1186"/>
      <c r="AA29" s="1186"/>
      <c r="AC29" s="1186" t="str">
        <f>IF(TITLE_NUMBER_PR_CHANGE="",IF(TITLE_NUMBER_PR="","",TITLE_NUMBER_PR),TITLE_NUMBER_PR_CHANGE)</f>
        <v/>
      </c>
      <c r="AD29" s="1186"/>
      <c r="AE29" s="1186"/>
      <c r="AF29" s="1186"/>
      <c r="AG29" s="1186"/>
      <c r="AH29" s="1186"/>
      <c r="AQ29" s="593">
        <v>0</v>
      </c>
    </row>
    <row r="30" spans="15:43" ht="18.75" hidden="1" customHeight="1">
      <c r="S30" s="1184" t="s">
        <v>42</v>
      </c>
      <c r="T30" s="1184"/>
      <c r="U30" s="850"/>
      <c r="V30" s="1186" t="str">
        <f>IF(TITLE_IST_PUB_CHANGE="",IF(TITLE_IST_PUB="","",TITLE_IST_PUB),TITLE_IST_PUB_CHANGE)</f>
        <v/>
      </c>
      <c r="W30" s="1186"/>
      <c r="X30" s="1186"/>
      <c r="Y30" s="1186"/>
      <c r="Z30" s="1186"/>
      <c r="AA30" s="1186"/>
      <c r="AC30" s="1186" t="str">
        <f>IF(TITLE_IST_PUB_CHANGE="",IF(TITLE_IST_PUB="","",TITLE_IST_PUB),TITLE_IST_PUB_CHANGE)</f>
        <v/>
      </c>
      <c r="AD30" s="1186"/>
      <c r="AE30" s="1186"/>
      <c r="AF30" s="1186"/>
      <c r="AG30" s="1186"/>
      <c r="AH30" s="1186"/>
      <c r="AQ30" s="593">
        <v>0</v>
      </c>
    </row>
    <row r="31" spans="15:43" ht="14.25" hidden="1" customHeight="1">
      <c r="Q31" s="757"/>
      <c r="R31" s="757"/>
      <c r="S31" s="848"/>
      <c r="T31" s="557"/>
      <c r="U31" s="557"/>
      <c r="V31" s="827"/>
      <c r="W31" s="827"/>
      <c r="X31" s="827"/>
      <c r="Y31" s="827"/>
      <c r="Z31" s="827"/>
      <c r="AA31" s="827"/>
      <c r="AB31" s="827"/>
      <c r="AC31" s="827"/>
      <c r="AD31" s="827"/>
      <c r="AE31" s="827"/>
      <c r="AF31" s="827"/>
      <c r="AG31" s="827"/>
      <c r="AH31" s="827"/>
      <c r="AI31" s="827"/>
      <c r="AQ31" s="539">
        <v>0</v>
      </c>
    </row>
    <row r="32" spans="15:43" ht="18.75" hidden="1" customHeight="1">
      <c r="S32" s="1184" t="s">
        <v>433</v>
      </c>
      <c r="T32" s="1184"/>
      <c r="U32" s="850"/>
      <c r="V32" s="1185" t="str">
        <f>IF(TITLE_DATE_PR_CHANGE="",IF(TITLE_DATE_PR="","",TITLE_DATE_PR),TITLE_DATE_PR_CHANGE)</f>
        <v/>
      </c>
      <c r="W32" s="1185"/>
      <c r="X32" s="1185"/>
      <c r="Y32" s="1185"/>
      <c r="Z32" s="1185"/>
      <c r="AA32" s="1185"/>
      <c r="AC32" s="1185" t="str">
        <f>IF(TITLE_DATE_PR_CHANGE="",IF(TITLE_DATE_PR="","",TITLE_DATE_PR),TITLE_DATE_PR_CHANGE)</f>
        <v/>
      </c>
      <c r="AD32" s="1185"/>
      <c r="AE32" s="1185"/>
      <c r="AF32" s="1185"/>
      <c r="AG32" s="1185"/>
      <c r="AH32" s="1185"/>
      <c r="AQ32" s="593">
        <v>0</v>
      </c>
    </row>
    <row r="33" spans="1:43" ht="18.75" hidden="1" customHeight="1">
      <c r="S33" s="1184" t="s">
        <v>434</v>
      </c>
      <c r="T33" s="1184"/>
      <c r="U33" s="850"/>
      <c r="V33" s="1186" t="str">
        <f>IF(TITLE_NUMBER_PR_CHANGE="",IF(TITLE_NUMBER_PR="","",TITLE_NUMBER_PR),TITLE_NUMBER_PR_CHANGE)</f>
        <v/>
      </c>
      <c r="W33" s="1186"/>
      <c r="X33" s="1186"/>
      <c r="Y33" s="1186"/>
      <c r="Z33" s="1186"/>
      <c r="AA33" s="1186"/>
      <c r="AC33" s="1186" t="str">
        <f>IF(TITLE_NUMBER_PR_CHANGE="",IF(TITLE_NUMBER_PR="","",TITLE_NUMBER_PR),TITLE_NUMBER_PR_CHANGE)</f>
        <v/>
      </c>
      <c r="AD33" s="1186"/>
      <c r="AE33" s="1186"/>
      <c r="AF33" s="1186"/>
      <c r="AG33" s="1186"/>
      <c r="AH33" s="1186"/>
      <c r="AQ33" s="593">
        <v>0</v>
      </c>
    </row>
    <row r="34" spans="1:43" ht="1.1499999999999999" customHeight="1">
      <c r="AB34" s="578" t="s">
        <v>435</v>
      </c>
      <c r="AI34" s="578" t="s">
        <v>435</v>
      </c>
      <c r="AQ34" s="593">
        <v>1</v>
      </c>
    </row>
    <row r="35" spans="1:43" ht="14.65" customHeight="1">
      <c r="Q35" s="757"/>
      <c r="R35" s="757"/>
      <c r="S35" s="848"/>
      <c r="T35" s="557"/>
      <c r="U35" s="851"/>
      <c r="V35" s="1204"/>
      <c r="W35" s="1204"/>
      <c r="X35" s="1204"/>
      <c r="Y35" s="1204"/>
      <c r="Z35" s="1204"/>
      <c r="AA35" s="1204"/>
      <c r="AB35" s="1204"/>
      <c r="AC35" s="1204"/>
      <c r="AD35" s="1204"/>
      <c r="AE35" s="1204"/>
      <c r="AF35" s="1204"/>
      <c r="AG35" s="1204"/>
      <c r="AH35" s="1204"/>
      <c r="AI35" s="1204"/>
      <c r="AQ35" s="539">
        <v>14</v>
      </c>
    </row>
    <row r="36" spans="1:43" ht="14.65" customHeight="1">
      <c r="Q36" s="757"/>
      <c r="R36" s="757"/>
      <c r="S36" s="1070" t="s">
        <v>308</v>
      </c>
      <c r="T36" s="1070"/>
      <c r="U36" s="1070"/>
      <c r="V36" s="1070"/>
      <c r="W36" s="1070"/>
      <c r="X36" s="1070"/>
      <c r="Y36" s="1070"/>
      <c r="Z36" s="1070"/>
      <c r="AA36" s="1070"/>
      <c r="AB36" s="1070"/>
      <c r="AC36" s="1070"/>
      <c r="AD36" s="1070"/>
      <c r="AE36" s="1070"/>
      <c r="AF36" s="1070"/>
      <c r="AG36" s="1070"/>
      <c r="AH36" s="1070"/>
      <c r="AI36" s="1070"/>
      <c r="AJ36" s="1070"/>
      <c r="AK36" s="1070" t="s">
        <v>309</v>
      </c>
      <c r="AQ36" s="539">
        <v>14</v>
      </c>
    </row>
    <row r="37" spans="1:43" ht="14.65" customHeight="1">
      <c r="Q37" s="757"/>
      <c r="R37" s="757"/>
      <c r="S37" s="1205" t="s">
        <v>87</v>
      </c>
      <c r="T37" s="1155" t="s">
        <v>436</v>
      </c>
      <c r="U37" s="818"/>
      <c r="V37" s="1206" t="s">
        <v>437</v>
      </c>
      <c r="W37" s="1207"/>
      <c r="X37" s="1207"/>
      <c r="Y37" s="1207"/>
      <c r="Z37" s="1207"/>
      <c r="AA37" s="1208"/>
      <c r="AB37" s="1209" t="s">
        <v>438</v>
      </c>
      <c r="AC37" s="1206" t="s">
        <v>437</v>
      </c>
      <c r="AD37" s="1207"/>
      <c r="AE37" s="1207"/>
      <c r="AF37" s="1207"/>
      <c r="AG37" s="1207"/>
      <c r="AH37" s="1208"/>
      <c r="AI37" s="1209" t="s">
        <v>439</v>
      </c>
      <c r="AJ37" s="1212" t="s">
        <v>440</v>
      </c>
      <c r="AK37" s="1070"/>
      <c r="AQ37" s="539">
        <v>14</v>
      </c>
    </row>
    <row r="38" spans="1:43" ht="35.65" customHeight="1">
      <c r="Q38" s="757"/>
      <c r="R38" s="757"/>
      <c r="S38" s="1205"/>
      <c r="T38" s="1155"/>
      <c r="U38" s="823"/>
      <c r="V38" s="618" t="s">
        <v>497</v>
      </c>
      <c r="W38" s="1051" t="s">
        <v>443</v>
      </c>
      <c r="X38" s="1050"/>
      <c r="Y38" s="1051" t="s">
        <v>444</v>
      </c>
      <c r="Z38" s="1056"/>
      <c r="AA38" s="1050"/>
      <c r="AB38" s="1210"/>
      <c r="AC38" s="618" t="s">
        <v>497</v>
      </c>
      <c r="AD38" s="1051" t="s">
        <v>443</v>
      </c>
      <c r="AE38" s="1050"/>
      <c r="AF38" s="1051" t="s">
        <v>444</v>
      </c>
      <c r="AG38" s="1056"/>
      <c r="AH38" s="1050"/>
      <c r="AI38" s="1210"/>
      <c r="AJ38" s="1213"/>
      <c r="AK38" s="1070"/>
      <c r="AQ38" s="539">
        <v>34</v>
      </c>
    </row>
    <row r="39" spans="1:43" ht="35.65" customHeight="1">
      <c r="B39" s="599" t="s">
        <v>145</v>
      </c>
      <c r="C39" s="599" t="s">
        <v>146</v>
      </c>
      <c r="D39" s="599" t="s">
        <v>147</v>
      </c>
      <c r="E39" s="842" t="s">
        <v>445</v>
      </c>
      <c r="F39" s="842" t="s">
        <v>446</v>
      </c>
      <c r="G39" s="842" t="s">
        <v>447</v>
      </c>
      <c r="I39" s="842" t="s">
        <v>498</v>
      </c>
      <c r="J39" s="842" t="s">
        <v>450</v>
      </c>
      <c r="K39" s="842" t="s">
        <v>499</v>
      </c>
      <c r="L39" s="842" t="s">
        <v>426</v>
      </c>
      <c r="Q39" s="757"/>
      <c r="R39" s="757"/>
      <c r="S39" s="1205"/>
      <c r="T39" s="1155"/>
      <c r="U39" s="853"/>
      <c r="V39" s="618" t="s">
        <v>500</v>
      </c>
      <c r="W39" s="603" t="s">
        <v>501</v>
      </c>
      <c r="X39" s="603" t="s">
        <v>502</v>
      </c>
      <c r="Y39" s="603" t="s">
        <v>454</v>
      </c>
      <c r="Z39" s="1160" t="s">
        <v>455</v>
      </c>
      <c r="AA39" s="1173"/>
      <c r="AB39" s="1211"/>
      <c r="AC39" s="618" t="s">
        <v>500</v>
      </c>
      <c r="AD39" s="603" t="s">
        <v>501</v>
      </c>
      <c r="AE39" s="603" t="s">
        <v>502</v>
      </c>
      <c r="AF39" s="603" t="s">
        <v>454</v>
      </c>
      <c r="AG39" s="1160" t="s">
        <v>455</v>
      </c>
      <c r="AH39" s="1173"/>
      <c r="AI39" s="1211"/>
      <c r="AJ39" s="1214"/>
      <c r="AK39" s="1070"/>
      <c r="AQ39" s="539">
        <v>34</v>
      </c>
    </row>
    <row r="40" spans="1:43" ht="0" hidden="1" customHeight="1">
      <c r="Q40" s="854"/>
      <c r="R40" s="855">
        <v>1</v>
      </c>
      <c r="S40" s="330" t="s">
        <v>114</v>
      </c>
      <c r="T40" s="331" t="s">
        <v>102</v>
      </c>
      <c r="U40" s="856" t="str">
        <f ca="1">OFFSET(U40,0,-1)</f>
        <v>2</v>
      </c>
      <c r="V40" s="857">
        <f ca="1">OFFSET(V40,0,-1)+1</f>
        <v>3</v>
      </c>
      <c r="W40" s="857">
        <f ca="1">OFFSET(W40,0,-1)+1</f>
        <v>4</v>
      </c>
      <c r="X40" s="857">
        <f ca="1">OFFSET(X40,0,-1)+1</f>
        <v>5</v>
      </c>
      <c r="Y40" s="857">
        <f ca="1">OFFSET(Y40,0,-1)+1</f>
        <v>6</v>
      </c>
      <c r="Z40" s="1203">
        <f ca="1">OFFSET(Z40,0,-1)+1</f>
        <v>7</v>
      </c>
      <c r="AA40" s="1203"/>
      <c r="AB40" s="857">
        <f ca="1">OFFSET(AB40,0,-2)+1</f>
        <v>8</v>
      </c>
      <c r="AC40" s="857">
        <f ca="1">OFFSET(AC40,0,-1)+1</f>
        <v>9</v>
      </c>
      <c r="AD40" s="857">
        <f ca="1">OFFSET(AD40,0,-1)+1</f>
        <v>10</v>
      </c>
      <c r="AE40" s="857">
        <f ca="1">OFFSET(AE40,0,-1)+1</f>
        <v>11</v>
      </c>
      <c r="AF40" s="857">
        <f ca="1">OFFSET(AF40,0,-1)+1</f>
        <v>12</v>
      </c>
      <c r="AG40" s="1203">
        <f ca="1">OFFSET(AG40,0,-1)+1</f>
        <v>13</v>
      </c>
      <c r="AH40" s="1203"/>
      <c r="AI40" s="857">
        <f ca="1">OFFSET(AI40,0,-2)+1</f>
        <v>14</v>
      </c>
      <c r="AJ40" s="856">
        <f ca="1">OFFSET(AJ40,0,-1)</f>
        <v>14</v>
      </c>
      <c r="AK40" s="857">
        <f ca="1">OFFSET(AK40,0,-1)+1</f>
        <v>15</v>
      </c>
      <c r="AQ40" s="682">
        <v>0</v>
      </c>
    </row>
    <row r="41" spans="1:43" ht="24" customHeight="1">
      <c r="A41" s="858" t="s">
        <v>249</v>
      </c>
      <c r="E41" s="1192">
        <v>1</v>
      </c>
      <c r="R41" s="311"/>
      <c r="S41" s="833">
        <f>INDEX(PT_DIFFERENTIATION_NUM_NTAR,MATCH(A41,PT_DIFFERENTIATION_NTAR_ID,0))</f>
        <v>0</v>
      </c>
      <c r="T41" s="796" t="s">
        <v>133</v>
      </c>
      <c r="U41" s="834"/>
      <c r="V41" s="1187"/>
      <c r="W41" s="1188"/>
      <c r="X41" s="1188"/>
      <c r="Y41" s="1188"/>
      <c r="Z41" s="1188"/>
      <c r="AA41" s="1188"/>
      <c r="AB41" s="1189"/>
      <c r="AC41" s="1187" t="str">
        <f>INDEX(PT_DIFFERENTIATION_NTAR,MATCH(A41,PT_DIFFERENTIATION_NTAR_ID,0))</f>
        <v/>
      </c>
      <c r="AD41" s="1188"/>
      <c r="AE41" s="1188"/>
      <c r="AF41" s="1188"/>
      <c r="AG41" s="1188"/>
      <c r="AH41" s="1188"/>
      <c r="AI41" s="1188"/>
      <c r="AJ41" s="1189"/>
      <c r="AK41"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3" t="str">
        <f t="shared" ref="AN41:AN53" si="1">IF(T41="","",T41)</f>
        <v>Наименование тарифа</v>
      </c>
      <c r="AQ41" s="539">
        <v>23</v>
      </c>
    </row>
    <row r="42" spans="1:43" ht="24" customHeight="1">
      <c r="A42" s="858" t="s">
        <v>249</v>
      </c>
      <c r="B42" s="858" t="s">
        <v>250</v>
      </c>
      <c r="E42" s="1193"/>
      <c r="F42" s="1192">
        <v>1</v>
      </c>
      <c r="Q42" s="837"/>
      <c r="R42" s="838"/>
      <c r="S42" s="833" t="str">
        <f>INDEX(PT_DIFFERENTIATION_NUM_TER,MATCH(B42,PT_DIFFERENTIATION_TER_ID,0))</f>
        <v>.</v>
      </c>
      <c r="T42" s="839" t="s">
        <v>405</v>
      </c>
      <c r="U42" s="834"/>
      <c r="V42" s="1187"/>
      <c r="W42" s="1188"/>
      <c r="X42" s="1188"/>
      <c r="Y42" s="1188"/>
      <c r="Z42" s="1188"/>
      <c r="AA42" s="1188"/>
      <c r="AB42" s="1189"/>
      <c r="AC42" s="1187" t="str">
        <f>INDEX(PT_DIFFERENTIATION_TER,MATCH(B42,PT_DIFFERENTIATION_TER_ID,0))</f>
        <v/>
      </c>
      <c r="AD42" s="1188"/>
      <c r="AE42" s="1188"/>
      <c r="AF42" s="1188"/>
      <c r="AG42" s="1188"/>
      <c r="AH42" s="1188"/>
      <c r="AI42" s="1188"/>
      <c r="AJ42" s="1189"/>
      <c r="AK42" s="836" t="s">
        <v>406</v>
      </c>
      <c r="AN42" s="583" t="str">
        <f t="shared" si="1"/>
        <v>Территория действия тарифа</v>
      </c>
      <c r="AQ42" s="539">
        <v>23</v>
      </c>
    </row>
    <row r="43" spans="1:43" ht="24" customHeight="1">
      <c r="A43" s="858" t="s">
        <v>249</v>
      </c>
      <c r="B43" s="858" t="s">
        <v>250</v>
      </c>
      <c r="C43" s="858" t="s">
        <v>251</v>
      </c>
      <c r="E43" s="1193"/>
      <c r="F43" s="1193"/>
      <c r="G43" s="1192">
        <v>1</v>
      </c>
      <c r="Q43" s="837"/>
      <c r="R43" s="838"/>
      <c r="S43" s="833" t="str">
        <f>INDEX(PT_DIFFERENTIATION_NUM_CS,MATCH(C43,PT_DIFFERENTIATION_CS_ID,0))</f>
        <v>..</v>
      </c>
      <c r="T43" s="840" t="s">
        <v>489</v>
      </c>
      <c r="U43" s="834"/>
      <c r="V43" s="1187"/>
      <c r="W43" s="1188"/>
      <c r="X43" s="1188"/>
      <c r="Y43" s="1188"/>
      <c r="Z43" s="1188"/>
      <c r="AA43" s="1188"/>
      <c r="AB43" s="1189"/>
      <c r="AC43" s="1187" t="str">
        <f>INDEX(PT_DIFFERENTIATION_CS,MATCH(C43,PT_DIFFERENTIATION_CS_ID,0))</f>
        <v/>
      </c>
      <c r="AD43" s="1188"/>
      <c r="AE43" s="1188"/>
      <c r="AF43" s="1188"/>
      <c r="AG43" s="1188"/>
      <c r="AH43" s="1188"/>
      <c r="AI43" s="1188"/>
      <c r="AJ43" s="1189"/>
      <c r="AK43" s="836" t="s">
        <v>490</v>
      </c>
      <c r="AN43" s="583" t="str">
        <f t="shared" si="1"/>
        <v>Наименование централизованной системы холодного водоснабжения</v>
      </c>
      <c r="AQ43" s="539">
        <v>23</v>
      </c>
    </row>
    <row r="44" spans="1:43" ht="24" customHeight="1">
      <c r="A44" s="858" t="s">
        <v>249</v>
      </c>
      <c r="B44" s="858" t="s">
        <v>250</v>
      </c>
      <c r="C44" s="858" t="s">
        <v>251</v>
      </c>
      <c r="D44" s="858" t="s">
        <v>506</v>
      </c>
      <c r="E44" s="1193"/>
      <c r="F44" s="1193"/>
      <c r="G44" s="1193"/>
      <c r="H44" s="1193"/>
      <c r="I44" s="1194" t="str">
        <f>S43&amp;".1"</f>
        <v>...1</v>
      </c>
      <c r="P44" s="1196">
        <v>1</v>
      </c>
      <c r="R44" s="843"/>
      <c r="S44" s="833" t="str">
        <f>$I44</f>
        <v>...1</v>
      </c>
      <c r="T44" s="844" t="s">
        <v>491</v>
      </c>
      <c r="U44" s="834"/>
      <c r="V44" s="1260"/>
      <c r="W44" s="1261"/>
      <c r="X44" s="1261"/>
      <c r="Y44" s="1261"/>
      <c r="Z44" s="1261"/>
      <c r="AA44" s="1261"/>
      <c r="AB44" s="1262"/>
      <c r="AC44" s="1263"/>
      <c r="AD44" s="1264"/>
      <c r="AE44" s="1264"/>
      <c r="AF44" s="1264"/>
      <c r="AG44" s="1264"/>
      <c r="AH44" s="1264"/>
      <c r="AI44" s="1264"/>
      <c r="AJ44" s="1265"/>
      <c r="AK44" s="836" t="s">
        <v>492</v>
      </c>
      <c r="AN44" s="583" t="str">
        <f t="shared" si="1"/>
        <v>Наименование признака дифференциации</v>
      </c>
      <c r="AQ44" s="539">
        <v>23</v>
      </c>
    </row>
    <row r="45" spans="1:43" ht="24" customHeight="1">
      <c r="A45" s="858" t="s">
        <v>249</v>
      </c>
      <c r="B45" s="858" t="s">
        <v>250</v>
      </c>
      <c r="C45" s="858" t="s">
        <v>251</v>
      </c>
      <c r="D45" s="858" t="s">
        <v>506</v>
      </c>
      <c r="E45" s="1193"/>
      <c r="F45" s="1193"/>
      <c r="G45" s="1193"/>
      <c r="H45" s="1193"/>
      <c r="I45" s="1195"/>
      <c r="J45" s="1194" t="str">
        <f>I44&amp;".1"</f>
        <v>...1.1</v>
      </c>
      <c r="L45" s="842" t="s">
        <v>414</v>
      </c>
      <c r="P45" s="1038"/>
      <c r="Q45" s="1196">
        <v>1</v>
      </c>
      <c r="R45" s="845"/>
      <c r="S45" s="833" t="str">
        <f>$J45</f>
        <v>...1.1</v>
      </c>
      <c r="T45" s="846" t="s">
        <v>415</v>
      </c>
      <c r="U45" s="834"/>
      <c r="V45" s="1181"/>
      <c r="W45" s="1182"/>
      <c r="X45" s="1182"/>
      <c r="Y45" s="1182"/>
      <c r="Z45" s="1182"/>
      <c r="AA45" s="1182"/>
      <c r="AB45" s="1183"/>
      <c r="AC45" s="1181"/>
      <c r="AD45" s="1182"/>
      <c r="AE45" s="1182"/>
      <c r="AF45" s="1182"/>
      <c r="AG45" s="1182"/>
      <c r="AH45" s="1182"/>
      <c r="AI45" s="1182"/>
      <c r="AJ45" s="1183"/>
      <c r="AK45" s="875" t="s">
        <v>493</v>
      </c>
      <c r="AN45" s="583" t="str">
        <f t="shared" si="1"/>
        <v>Группа потребителей</v>
      </c>
      <c r="AQ45" s="539">
        <v>23</v>
      </c>
    </row>
    <row r="46" spans="1:43" ht="24" customHeight="1">
      <c r="A46" s="858" t="s">
        <v>249</v>
      </c>
      <c r="B46" s="858" t="s">
        <v>250</v>
      </c>
      <c r="C46" s="858" t="s">
        <v>251</v>
      </c>
      <c r="D46" s="858" t="s">
        <v>506</v>
      </c>
      <c r="E46" s="1193"/>
      <c r="F46" s="1193"/>
      <c r="G46" s="1193"/>
      <c r="H46" s="1193"/>
      <c r="I46" s="1195"/>
      <c r="J46" s="1195"/>
      <c r="K46" s="1194" t="str">
        <f>J45&amp;".1"</f>
        <v>...1.1.1</v>
      </c>
      <c r="P46" s="1038"/>
      <c r="Q46" s="1038"/>
      <c r="R46" s="845">
        <v>1</v>
      </c>
      <c r="S46" s="833" t="str">
        <f>$K46</f>
        <v>...1.1.1</v>
      </c>
      <c r="T46" s="398"/>
      <c r="U46" s="834"/>
      <c r="V46" s="312"/>
      <c r="W46" s="312"/>
      <c r="X46" s="314"/>
      <c r="Y46" s="1197"/>
      <c r="Z46" s="1079" t="s">
        <v>61</v>
      </c>
      <c r="AA46" s="1197"/>
      <c r="AB46" s="1079" t="s">
        <v>61</v>
      </c>
      <c r="AC46" s="312"/>
      <c r="AD46" s="312"/>
      <c r="AE46" s="314"/>
      <c r="AF46" s="1197"/>
      <c r="AG46" s="1079" t="s">
        <v>61</v>
      </c>
      <c r="AH46" s="1199"/>
      <c r="AI46" s="1079" t="s">
        <v>61</v>
      </c>
      <c r="AJ46" s="399"/>
      <c r="AK46"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8" t="e">
        <f ca="1">STRCHECKDATE(V47:AJ47)</f>
        <v>#NAME?</v>
      </c>
      <c r="AN46" s="583" t="str">
        <f t="shared" si="1"/>
        <v/>
      </c>
      <c r="AQ46" s="539">
        <v>23</v>
      </c>
    </row>
    <row r="47" spans="1:43" ht="0" hidden="1" customHeight="1">
      <c r="A47" s="858" t="s">
        <v>249</v>
      </c>
      <c r="B47" s="858" t="s">
        <v>250</v>
      </c>
      <c r="C47" s="858" t="s">
        <v>251</v>
      </c>
      <c r="D47" s="858" t="s">
        <v>506</v>
      </c>
      <c r="E47" s="1193"/>
      <c r="F47" s="1193"/>
      <c r="G47" s="1193"/>
      <c r="H47" s="1193"/>
      <c r="I47" s="1195"/>
      <c r="J47" s="1195"/>
      <c r="K47" s="1194"/>
      <c r="P47" s="1038"/>
      <c r="Q47" s="1038"/>
      <c r="R47" s="845"/>
      <c r="S47" s="127"/>
      <c r="T47" s="834"/>
      <c r="U47" s="834"/>
      <c r="V47" s="313"/>
      <c r="W47" s="313"/>
      <c r="X47" s="315" t="str">
        <f>Y46&amp;"-"&amp;AA46</f>
        <v>-</v>
      </c>
      <c r="Y47" s="1198"/>
      <c r="Z47" s="1079"/>
      <c r="AA47" s="1198"/>
      <c r="AB47" s="1079"/>
      <c r="AC47" s="313"/>
      <c r="AD47" s="313"/>
      <c r="AE47" s="315" t="str">
        <f>AF46&amp;"-"&amp;AH46</f>
        <v>-</v>
      </c>
      <c r="AF47" s="1198"/>
      <c r="AG47" s="1079"/>
      <c r="AH47" s="1200"/>
      <c r="AI47" s="1079"/>
      <c r="AJ47" s="388"/>
      <c r="AK47" s="1266"/>
      <c r="AN47" s="583" t="str">
        <f t="shared" si="1"/>
        <v/>
      </c>
      <c r="AQ47" s="539">
        <v>0</v>
      </c>
    </row>
    <row r="48" spans="1:43" ht="21" customHeight="1">
      <c r="A48" s="858" t="s">
        <v>249</v>
      </c>
      <c r="B48" s="858" t="s">
        <v>250</v>
      </c>
      <c r="C48" s="858" t="s">
        <v>251</v>
      </c>
      <c r="D48" s="858" t="s">
        <v>506</v>
      </c>
      <c r="E48" s="1193"/>
      <c r="F48" s="1193"/>
      <c r="G48" s="1193"/>
      <c r="H48" s="1193"/>
      <c r="I48" s="1195"/>
      <c r="J48" s="1194"/>
      <c r="P48" s="1038"/>
      <c r="Q48" s="1038"/>
      <c r="R48" s="843"/>
      <c r="S48" s="316"/>
      <c r="T48" s="319" t="s">
        <v>494</v>
      </c>
      <c r="U48" s="52"/>
      <c r="V48" s="52"/>
      <c r="W48" s="52"/>
      <c r="X48" s="52"/>
      <c r="Y48" s="52"/>
      <c r="Z48" s="52"/>
      <c r="AA48" s="52"/>
      <c r="AB48" s="52"/>
      <c r="AC48" s="52"/>
      <c r="AD48" s="52"/>
      <c r="AE48" s="52"/>
      <c r="AF48" s="52"/>
      <c r="AG48" s="52"/>
      <c r="AH48" s="52"/>
      <c r="AI48" s="52"/>
      <c r="AJ48" s="52"/>
      <c r="AK48" s="836" t="s">
        <v>495</v>
      </c>
      <c r="AN48" s="583" t="str">
        <f t="shared" si="1"/>
        <v>Добавить значение признака дифференциации</v>
      </c>
      <c r="AQ48" s="539">
        <v>20</v>
      </c>
    </row>
    <row r="49" spans="1:43" ht="21.95" customHeight="1">
      <c r="A49" s="858" t="s">
        <v>249</v>
      </c>
      <c r="B49" s="858" t="s">
        <v>250</v>
      </c>
      <c r="C49" s="858" t="s">
        <v>251</v>
      </c>
      <c r="D49" s="858" t="s">
        <v>506</v>
      </c>
      <c r="E49" s="1193"/>
      <c r="F49" s="1193"/>
      <c r="G49" s="1193"/>
      <c r="H49" s="1193"/>
      <c r="I49" s="1194"/>
      <c r="P49" s="1038"/>
      <c r="R49" s="843"/>
      <c r="S49" s="316"/>
      <c r="T49" s="322" t="s">
        <v>420</v>
      </c>
      <c r="U49" s="52"/>
      <c r="V49" s="52"/>
      <c r="W49" s="52"/>
      <c r="X49" s="52"/>
      <c r="Y49" s="52"/>
      <c r="Z49" s="52"/>
      <c r="AA49" s="52"/>
      <c r="AB49" s="320"/>
      <c r="AC49" s="52"/>
      <c r="AD49" s="52"/>
      <c r="AE49" s="52"/>
      <c r="AF49" s="52"/>
      <c r="AG49" s="52"/>
      <c r="AH49" s="52"/>
      <c r="AI49" s="320"/>
      <c r="AJ49" s="52"/>
      <c r="AK49" s="400"/>
      <c r="AN49" s="583" t="str">
        <f t="shared" si="1"/>
        <v>Добавить группу потребителей</v>
      </c>
      <c r="AQ49" s="539">
        <v>21</v>
      </c>
    </row>
    <row r="50" spans="1:43" ht="21.95" customHeight="1">
      <c r="A50" s="858" t="s">
        <v>249</v>
      </c>
      <c r="B50" s="858" t="s">
        <v>250</v>
      </c>
      <c r="C50" s="858" t="s">
        <v>251</v>
      </c>
      <c r="D50" s="858" t="s">
        <v>506</v>
      </c>
      <c r="E50" s="1193"/>
      <c r="F50" s="1193"/>
      <c r="G50" s="1193"/>
      <c r="H50" s="1192"/>
      <c r="R50" s="311"/>
      <c r="S50" s="316"/>
      <c r="T50" s="377" t="s">
        <v>496</v>
      </c>
      <c r="U50" s="52"/>
      <c r="V50" s="52"/>
      <c r="W50" s="52"/>
      <c r="X50" s="52"/>
      <c r="Y50" s="52"/>
      <c r="Z50" s="52"/>
      <c r="AA50" s="52"/>
      <c r="AB50" s="320"/>
      <c r="AC50" s="52"/>
      <c r="AD50" s="52"/>
      <c r="AE50" s="52"/>
      <c r="AF50" s="52"/>
      <c r="AG50" s="52"/>
      <c r="AH50" s="52"/>
      <c r="AI50" s="320"/>
      <c r="AJ50" s="52"/>
      <c r="AK50" s="321"/>
      <c r="AN50" s="583" t="str">
        <f t="shared" si="1"/>
        <v>Добавить наименование признака дифференциации</v>
      </c>
      <c r="AQ50" s="539">
        <v>21</v>
      </c>
    </row>
    <row r="51" spans="1:43" ht="0" hidden="1" customHeight="1">
      <c r="A51" s="575" t="s">
        <v>249</v>
      </c>
      <c r="B51" s="575" t="s">
        <v>250</v>
      </c>
      <c r="E51" s="1193"/>
      <c r="F51" s="1192"/>
      <c r="T51" s="327" t="s">
        <v>423</v>
      </c>
      <c r="AN51" s="583" t="str">
        <f t="shared" si="1"/>
        <v>Добавить централизованную систему для дифференциации</v>
      </c>
      <c r="AQ51" s="578">
        <v>0</v>
      </c>
    </row>
    <row r="52" spans="1:43" ht="0" hidden="1" customHeight="1">
      <c r="A52" s="575" t="s">
        <v>249</v>
      </c>
      <c r="E52" s="1192"/>
      <c r="T52" s="327" t="s">
        <v>424</v>
      </c>
      <c r="AN52" s="583" t="str">
        <f t="shared" si="1"/>
        <v>Добавить территорию для дифференциации</v>
      </c>
      <c r="AQ52" s="578">
        <v>0</v>
      </c>
    </row>
    <row r="53" spans="1:43" ht="0" hidden="1" customHeight="1">
      <c r="T53" s="327" t="s">
        <v>456</v>
      </c>
      <c r="AN53" s="583" t="str">
        <f t="shared" si="1"/>
        <v>Добавить наименование тарифа</v>
      </c>
      <c r="AQ53" s="578">
        <v>0</v>
      </c>
    </row>
    <row r="54" spans="1:43" ht="11.45" customHeight="1">
      <c r="AQ54" s="539">
        <v>11</v>
      </c>
    </row>
    <row r="55" spans="1:43" ht="14.65" customHeight="1">
      <c r="T55" s="1038"/>
      <c r="U55" s="1038"/>
      <c r="V55" s="1038"/>
      <c r="W55" s="1038"/>
      <c r="X55" s="1038"/>
      <c r="Y55" s="1038"/>
      <c r="Z55" s="1038"/>
      <c r="AA55" s="1038"/>
      <c r="AB55" s="1038"/>
      <c r="AC55" s="1038"/>
      <c r="AD55" s="1038"/>
      <c r="AE55" s="1038"/>
      <c r="AF55" s="1038"/>
      <c r="AG55" s="1038"/>
      <c r="AH55" s="1038"/>
      <c r="AI55" s="1038"/>
      <c r="AJ55" s="1038"/>
      <c r="AK55" s="1038"/>
      <c r="AQ55" s="539">
        <v>14</v>
      </c>
    </row>
    <row r="56" spans="1:43" ht="14.65" customHeight="1">
      <c r="AQ56" s="539">
        <v>14</v>
      </c>
    </row>
    <row r="57" spans="1:43" ht="14.65" customHeight="1">
      <c r="T57" s="1038"/>
      <c r="U57" s="1038"/>
      <c r="V57" s="1038"/>
      <c r="W57" s="1038"/>
      <c r="X57" s="1038"/>
      <c r="Y57" s="1038"/>
      <c r="Z57" s="1038"/>
      <c r="AA57" s="1038"/>
      <c r="AB57" s="1038"/>
      <c r="AC57" s="1038"/>
      <c r="AD57" s="1038"/>
      <c r="AE57" s="1038"/>
      <c r="AF57" s="1038"/>
      <c r="AG57" s="1038"/>
      <c r="AH57" s="1038"/>
      <c r="AI57" s="1038"/>
      <c r="AJ57" s="1038"/>
      <c r="AK57" s="1038"/>
      <c r="AQ57" s="539">
        <v>14</v>
      </c>
    </row>
    <row r="58" spans="1:43" ht="22.5" hidden="1" customHeight="1">
      <c r="A58" s="556" t="s">
        <v>81</v>
      </c>
      <c r="B58" s="556">
        <v>0</v>
      </c>
      <c r="C58" s="556">
        <v>0</v>
      </c>
      <c r="D58" s="556">
        <v>0</v>
      </c>
      <c r="E58" s="556">
        <v>0</v>
      </c>
      <c r="F58" s="556">
        <v>0</v>
      </c>
      <c r="G58" s="556">
        <v>0</v>
      </c>
      <c r="H58" s="556">
        <v>0</v>
      </c>
      <c r="I58" s="556">
        <v>0</v>
      </c>
      <c r="J58" s="556">
        <v>0</v>
      </c>
      <c r="K58" s="556">
        <v>0</v>
      </c>
      <c r="L58" s="668">
        <v>0</v>
      </c>
      <c r="M58" s="12">
        <v>0</v>
      </c>
      <c r="N58" s="12">
        <v>0</v>
      </c>
      <c r="O58" s="12">
        <v>0</v>
      </c>
      <c r="P58" s="301">
        <v>3</v>
      </c>
      <c r="Q58" s="822">
        <v>3</v>
      </c>
      <c r="R58" s="822">
        <v>3</v>
      </c>
      <c r="S58" s="554">
        <v>12</v>
      </c>
      <c r="T58" s="539">
        <v>35</v>
      </c>
      <c r="U58" s="539">
        <v>0</v>
      </c>
      <c r="V58" s="539">
        <v>0</v>
      </c>
      <c r="W58" s="539">
        <v>0</v>
      </c>
      <c r="X58" s="539">
        <v>0</v>
      </c>
      <c r="Y58" s="539">
        <v>0</v>
      </c>
      <c r="Z58" s="539">
        <v>0</v>
      </c>
      <c r="AA58" s="539">
        <v>0</v>
      </c>
      <c r="AB58" s="539">
        <v>0</v>
      </c>
      <c r="AC58" s="539">
        <v>24</v>
      </c>
      <c r="AD58" s="539">
        <v>24</v>
      </c>
      <c r="AE58" s="539">
        <v>24</v>
      </c>
      <c r="AF58" s="539">
        <v>11</v>
      </c>
      <c r="AG58" s="539">
        <v>3</v>
      </c>
      <c r="AH58" s="539">
        <v>11</v>
      </c>
      <c r="AI58" s="539">
        <v>0</v>
      </c>
      <c r="AJ58" s="539">
        <v>4</v>
      </c>
      <c r="AK58" s="539">
        <v>115</v>
      </c>
      <c r="AL58" s="578">
        <v>10</v>
      </c>
      <c r="AM58" s="578">
        <v>10</v>
      </c>
      <c r="AN58" s="578">
        <v>10</v>
      </c>
      <c r="AO58" s="578">
        <v>10</v>
      </c>
      <c r="AP58" s="578">
        <v>10</v>
      </c>
      <c r="AQ58" s="53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030" hidden="1" customWidth="1"/>
    <col min="4" max="4" width="11.85546875" style="1030" hidden="1" customWidth="1"/>
    <col min="5" max="15" width="10.140625" style="1030" hidden="1" customWidth="1"/>
    <col min="16" max="18" width="3" style="1030" customWidth="1"/>
    <col min="19" max="19" width="12" style="1030" customWidth="1"/>
    <col min="20" max="20" width="31" style="1030" customWidth="1"/>
    <col min="21" max="21" width="0.140625" style="1030" customWidth="1"/>
    <col min="22" max="23" width="21.7109375" style="1030" hidden="1" customWidth="1"/>
    <col min="24" max="24" width="11.7109375" style="1030" hidden="1" customWidth="1"/>
    <col min="25" max="25" width="3.7109375" style="1030" hidden="1" customWidth="1"/>
    <col min="26" max="26" width="11.7109375" style="1030" hidden="1" customWidth="1"/>
    <col min="27" max="27" width="8.5703125" style="1030" hidden="1" customWidth="1"/>
    <col min="28" max="28" width="27" style="1030" customWidth="1"/>
    <col min="29" max="29" width="24.5703125" style="1030" customWidth="1"/>
    <col min="30" max="31" width="21" style="1030" customWidth="1"/>
    <col min="32" max="32" width="11" style="1030" customWidth="1"/>
    <col min="33" max="33" width="3.7109375" style="1030" customWidth="1"/>
    <col min="34" max="34" width="11" style="1030" customWidth="1"/>
    <col min="35" max="35" width="8.5703125" style="1030" hidden="1" customWidth="1"/>
    <col min="36" max="36" width="4" style="1030" customWidth="1"/>
    <col min="37" max="37" width="115" style="1030" customWidth="1"/>
    <col min="38" max="42" width="10" style="1030" customWidth="1"/>
    <col min="43" max="43" width="10.5703125" style="1030" hidden="1"/>
  </cols>
  <sheetData>
    <row r="1" spans="5:43" ht="0.75" hidden="1" customHeight="1">
      <c r="AQ1" s="539" t="s">
        <v>14</v>
      </c>
    </row>
    <row r="2" spans="5:43" ht="21" hidden="1" customHeight="1">
      <c r="E2" s="1218">
        <v>1</v>
      </c>
      <c r="R2" s="311"/>
      <c r="S2" s="833" t="e">
        <f>INDEX(PT_DIFFERENTIATION_NUM_NTAR,MATCH(A2,PT_DIFFERENTIATION_NTAR_ID,0))</f>
        <v>#N/A</v>
      </c>
      <c r="T2" s="796" t="s">
        <v>133</v>
      </c>
      <c r="U2" s="834"/>
      <c r="V2" s="1188"/>
      <c r="W2" s="1188"/>
      <c r="X2" s="1188"/>
      <c r="Y2" s="1188"/>
      <c r="Z2" s="1188"/>
      <c r="AA2" s="1189"/>
      <c r="AB2" s="835"/>
      <c r="AC2" s="1188" t="e">
        <f>INDEX(PT_DIFFERENTIATION_NTAR,MATCH(A2,PT_DIFFERENTIATION_NTAR_ID,0))</f>
        <v>#N/A</v>
      </c>
      <c r="AD2" s="1188"/>
      <c r="AE2" s="1188"/>
      <c r="AF2" s="1188"/>
      <c r="AG2" s="1188"/>
      <c r="AH2" s="1188"/>
      <c r="AI2" s="1188"/>
      <c r="AJ2" s="1189"/>
      <c r="AK2" s="836" t="s">
        <v>404</v>
      </c>
      <c r="AN2" s="583" t="str">
        <f t="shared" ref="AN2:AN14" si="0">IF(T2="","",T2)</f>
        <v>Наименование тарифа</v>
      </c>
      <c r="AQ2" s="539">
        <v>0</v>
      </c>
    </row>
    <row r="3" spans="5:43" ht="21" hidden="1" customHeight="1">
      <c r="E3" s="1219"/>
      <c r="F3" s="1218">
        <v>1</v>
      </c>
      <c r="Q3" s="880"/>
      <c r="R3" s="838"/>
      <c r="S3" s="833" t="e">
        <f>INDEX(PT_DIFFERENTIATION_NUM_TER,MATCH(B3,PT_DIFFERENTIATION_TER_ID,0))</f>
        <v>#N/A</v>
      </c>
      <c r="T3" s="839" t="s">
        <v>405</v>
      </c>
      <c r="U3" s="834"/>
      <c r="V3" s="1188"/>
      <c r="W3" s="1188"/>
      <c r="X3" s="1188"/>
      <c r="Y3" s="1188"/>
      <c r="Z3" s="1188"/>
      <c r="AA3" s="1189"/>
      <c r="AB3" s="835"/>
      <c r="AC3" s="1188" t="e">
        <f>INDEX(PT_DIFFERENTIATION_TER,MATCH(B3,PT_DIFFERENTIATION_TER_ID,0))</f>
        <v>#N/A</v>
      </c>
      <c r="AD3" s="1188"/>
      <c r="AE3" s="1188"/>
      <c r="AF3" s="1188"/>
      <c r="AG3" s="1188"/>
      <c r="AH3" s="1188"/>
      <c r="AI3" s="1188"/>
      <c r="AJ3" s="1189"/>
      <c r="AK3" s="836" t="s">
        <v>406</v>
      </c>
      <c r="AN3" s="583" t="str">
        <f t="shared" si="0"/>
        <v>Территория действия тарифа</v>
      </c>
      <c r="AQ3" s="539">
        <v>0</v>
      </c>
    </row>
    <row r="4" spans="5:43" ht="22.5" hidden="1" customHeight="1">
      <c r="E4" s="1219"/>
      <c r="F4" s="1219"/>
      <c r="G4" s="1218">
        <v>1</v>
      </c>
      <c r="Q4" s="880"/>
      <c r="R4" s="838"/>
      <c r="S4" s="833" t="e">
        <f>INDEX(PT_DIFFERENTIATION_NUM_CS,MATCH(C4,PT_DIFFERENTIATION_CS_ID,0))</f>
        <v>#N/A</v>
      </c>
      <c r="T4" s="840" t="s">
        <v>407</v>
      </c>
      <c r="U4" s="834"/>
      <c r="V4" s="1188"/>
      <c r="W4" s="1188"/>
      <c r="X4" s="1188"/>
      <c r="Y4" s="1188"/>
      <c r="Z4" s="1188"/>
      <c r="AA4" s="1189"/>
      <c r="AB4" s="835"/>
      <c r="AC4" s="1188" t="e">
        <f>INDEX(PT_DIFFERENTIATION_CS,MATCH(C4,PT_DIFFERENTIATION_CS_ID,0))</f>
        <v>#N/A</v>
      </c>
      <c r="AD4" s="1188"/>
      <c r="AE4" s="1188"/>
      <c r="AF4" s="1188"/>
      <c r="AG4" s="1188"/>
      <c r="AH4" s="1188"/>
      <c r="AI4" s="1188"/>
      <c r="AJ4" s="1189"/>
      <c r="AK4" s="836" t="s">
        <v>408</v>
      </c>
      <c r="AN4" s="583" t="str">
        <f t="shared" si="0"/>
        <v xml:space="preserve">Наименование системы теплоснабжения </v>
      </c>
      <c r="AQ4" s="539">
        <v>0</v>
      </c>
    </row>
    <row r="5" spans="5:43" ht="21" hidden="1" customHeight="1">
      <c r="E5" s="1219"/>
      <c r="F5" s="1219"/>
      <c r="G5" s="1219"/>
      <c r="H5" s="1218">
        <v>1</v>
      </c>
      <c r="Q5" s="880"/>
      <c r="R5" s="838"/>
      <c r="S5" s="833" t="e">
        <f>INDEX(PT_DIFFERENTIATION_NUM_IST_TE,MATCH(D5,PT_DIFFERENTIATION_IST_TE_ID,0))</f>
        <v>#N/A</v>
      </c>
      <c r="T5" s="841" t="s">
        <v>409</v>
      </c>
      <c r="U5" s="834"/>
      <c r="V5" s="1188"/>
      <c r="W5" s="1188"/>
      <c r="X5" s="1188"/>
      <c r="Y5" s="1188"/>
      <c r="Z5" s="1188"/>
      <c r="AA5" s="1189"/>
      <c r="AB5" s="835"/>
      <c r="AC5" s="1188" t="e">
        <f>INDEX(PT_DIFFERENTIATION_IST_TE,MATCH(D5,PT_DIFFERENTIATION_IST_TE_ID,0))</f>
        <v>#N/A</v>
      </c>
      <c r="AD5" s="1188"/>
      <c r="AE5" s="1188"/>
      <c r="AF5" s="1188"/>
      <c r="AG5" s="1188"/>
      <c r="AH5" s="1188"/>
      <c r="AI5" s="1188"/>
      <c r="AJ5" s="1189"/>
      <c r="AK5" s="836" t="s">
        <v>410</v>
      </c>
      <c r="AN5" s="583" t="str">
        <f t="shared" si="0"/>
        <v xml:space="preserve">Источник тепловой энергии  </v>
      </c>
      <c r="AQ5" s="539">
        <v>0</v>
      </c>
    </row>
    <row r="6" spans="5:43" ht="0.75" hidden="1" customHeight="1">
      <c r="E6" s="1219"/>
      <c r="F6" s="1219"/>
      <c r="G6" s="1219"/>
      <c r="H6" s="1219"/>
      <c r="I6" s="1070" t="e">
        <f>S5&amp;".1"</f>
        <v>#N/A</v>
      </c>
      <c r="L6" s="879" t="s">
        <v>411</v>
      </c>
      <c r="P6" s="1196">
        <v>1</v>
      </c>
      <c r="R6" s="843"/>
      <c r="S6" s="636"/>
      <c r="T6" s="860"/>
      <c r="U6" s="861"/>
      <c r="V6" s="1224"/>
      <c r="W6" s="1224"/>
      <c r="X6" s="1224"/>
      <c r="Y6" s="1224"/>
      <c r="Z6" s="1224"/>
      <c r="AA6" s="1225"/>
      <c r="AB6" s="862"/>
      <c r="AC6" s="1224"/>
      <c r="AD6" s="1224"/>
      <c r="AE6" s="1224"/>
      <c r="AF6" s="1224"/>
      <c r="AG6" s="1224"/>
      <c r="AH6" s="1224"/>
      <c r="AI6" s="1224"/>
      <c r="AJ6" s="1225"/>
      <c r="AK6" s="863"/>
      <c r="AN6" s="583" t="str">
        <f t="shared" si="0"/>
        <v/>
      </c>
      <c r="AQ6" s="578">
        <v>0</v>
      </c>
    </row>
    <row r="7" spans="5:43" ht="0.75" hidden="1" customHeight="1">
      <c r="E7" s="1219"/>
      <c r="F7" s="1219"/>
      <c r="G7" s="1219"/>
      <c r="H7" s="1219"/>
      <c r="I7" s="1051"/>
      <c r="J7" s="1070" t="e">
        <f>S5&amp;".1"</f>
        <v>#N/A</v>
      </c>
      <c r="P7" s="1038"/>
      <c r="Q7" s="1196">
        <v>1</v>
      </c>
      <c r="R7" s="845"/>
      <c r="S7" s="636"/>
      <c r="T7" s="881"/>
      <c r="U7" s="861"/>
      <c r="V7" s="1224"/>
      <c r="W7" s="1224"/>
      <c r="X7" s="1224"/>
      <c r="Y7" s="1224"/>
      <c r="Z7" s="1224"/>
      <c r="AA7" s="1225"/>
      <c r="AB7" s="862"/>
      <c r="AC7" s="1224"/>
      <c r="AD7" s="1224"/>
      <c r="AE7" s="1224"/>
      <c r="AF7" s="1224"/>
      <c r="AG7" s="1224"/>
      <c r="AH7" s="1224"/>
      <c r="AI7" s="1224"/>
      <c r="AJ7" s="1225"/>
      <c r="AK7" s="863"/>
      <c r="AN7" s="583" t="str">
        <f t="shared" si="0"/>
        <v/>
      </c>
      <c r="AQ7" s="578">
        <v>0</v>
      </c>
    </row>
    <row r="8" spans="5:43" ht="21" hidden="1" customHeight="1">
      <c r="E8" s="1219"/>
      <c r="F8" s="1219"/>
      <c r="G8" s="1219"/>
      <c r="H8" s="1219"/>
      <c r="I8" s="1051"/>
      <c r="J8" s="1051"/>
      <c r="K8" s="584" t="e">
        <f>S5&amp;".1"</f>
        <v>#N/A</v>
      </c>
      <c r="P8" s="1038"/>
      <c r="Q8" s="1038"/>
      <c r="R8" s="882">
        <v>1</v>
      </c>
      <c r="S8" s="865" t="e">
        <f>$K8</f>
        <v>#N/A</v>
      </c>
      <c r="T8" s="350"/>
      <c r="U8" s="834"/>
      <c r="V8" s="312"/>
      <c r="W8" s="314"/>
      <c r="X8" s="203"/>
      <c r="Y8" s="56" t="s">
        <v>61</v>
      </c>
      <c r="Z8" s="203"/>
      <c r="AA8" s="56" t="s">
        <v>61</v>
      </c>
      <c r="AB8" s="373"/>
      <c r="AC8" s="374" t="s">
        <v>22</v>
      </c>
      <c r="AD8" s="312"/>
      <c r="AE8" s="314"/>
      <c r="AF8" s="203"/>
      <c r="AG8" s="56" t="s">
        <v>61</v>
      </c>
      <c r="AH8" s="203"/>
      <c r="AI8" s="56" t="s">
        <v>61</v>
      </c>
      <c r="AJ8" s="332"/>
      <c r="AK8" s="1215" t="s">
        <v>472</v>
      </c>
      <c r="AL8" s="578" t="e">
        <f ca="1">STRCHECKDATE(#REF!)</f>
        <v>#NAME?</v>
      </c>
      <c r="AN8" s="583" t="str">
        <f t="shared" si="0"/>
        <v/>
      </c>
      <c r="AQ8" s="539">
        <v>0</v>
      </c>
    </row>
    <row r="9" spans="5:43" ht="11.25" hidden="1" customHeight="1">
      <c r="E9" s="1219"/>
      <c r="F9" s="1219"/>
      <c r="G9" s="1219"/>
      <c r="H9" s="1219"/>
      <c r="I9" s="1051"/>
      <c r="J9" s="1070"/>
      <c r="P9" s="1038"/>
      <c r="Q9" s="1038"/>
      <c r="R9" s="843"/>
      <c r="S9" s="316"/>
      <c r="T9" s="319" t="s">
        <v>476</v>
      </c>
      <c r="U9" s="52"/>
      <c r="V9" s="52"/>
      <c r="W9" s="52"/>
      <c r="X9" s="52"/>
      <c r="Y9" s="52"/>
      <c r="Z9" s="52"/>
      <c r="AA9" s="52"/>
      <c r="AB9" s="52"/>
      <c r="AC9" s="52"/>
      <c r="AD9" s="52"/>
      <c r="AE9" s="52"/>
      <c r="AF9" s="52"/>
      <c r="AG9" s="52"/>
      <c r="AH9" s="52"/>
      <c r="AI9" s="52"/>
      <c r="AJ9" s="318"/>
      <c r="AK9" s="1217"/>
      <c r="AN9" s="583" t="str">
        <f t="shared" si="0"/>
        <v>Добавить строку</v>
      </c>
      <c r="AQ9" s="539">
        <v>0</v>
      </c>
    </row>
    <row r="10" spans="5:43" ht="0.75" hidden="1" customHeight="1">
      <c r="E10" s="1219"/>
      <c r="F10" s="1219"/>
      <c r="G10" s="1219"/>
      <c r="H10" s="1219"/>
      <c r="I10" s="1070"/>
      <c r="P10" s="1038"/>
      <c r="R10" s="843"/>
      <c r="S10" s="335"/>
      <c r="T10" s="336"/>
      <c r="U10" s="337"/>
      <c r="V10" s="337"/>
      <c r="W10" s="337"/>
      <c r="X10" s="337"/>
      <c r="Y10" s="337"/>
      <c r="Z10" s="337"/>
      <c r="AA10" s="337"/>
      <c r="AB10" s="337"/>
      <c r="AC10" s="337"/>
      <c r="AD10" s="337"/>
      <c r="AE10" s="337"/>
      <c r="AF10" s="337"/>
      <c r="AG10" s="337"/>
      <c r="AH10" s="337"/>
      <c r="AI10" s="337"/>
      <c r="AJ10" s="337"/>
      <c r="AK10" s="338"/>
      <c r="AN10" s="583" t="str">
        <f t="shared" si="0"/>
        <v/>
      </c>
      <c r="AQ10" s="578">
        <v>0</v>
      </c>
    </row>
    <row r="11" spans="5:43" ht="0.75" hidden="1" customHeight="1">
      <c r="E11" s="1219"/>
      <c r="F11" s="1219"/>
      <c r="G11" s="1219"/>
      <c r="H11" s="1218"/>
      <c r="R11" s="358"/>
      <c r="S11" s="335"/>
      <c r="T11" s="336"/>
      <c r="U11" s="337"/>
      <c r="V11" s="337"/>
      <c r="W11" s="337"/>
      <c r="X11" s="337"/>
      <c r="Y11" s="337"/>
      <c r="Z11" s="337"/>
      <c r="AA11" s="337"/>
      <c r="AB11" s="337"/>
      <c r="AC11" s="337"/>
      <c r="AD11" s="337"/>
      <c r="AE11" s="337"/>
      <c r="AF11" s="337"/>
      <c r="AG11" s="337"/>
      <c r="AH11" s="337"/>
      <c r="AI11" s="337"/>
      <c r="AJ11" s="337"/>
      <c r="AK11" s="338"/>
      <c r="AN11" s="583" t="str">
        <f t="shared" si="0"/>
        <v/>
      </c>
      <c r="AQ11" s="578">
        <v>0</v>
      </c>
    </row>
    <row r="12" spans="5:43" ht="0.75" hidden="1" customHeight="1">
      <c r="E12" s="1219"/>
      <c r="F12" s="1219"/>
      <c r="G12" s="1218"/>
      <c r="T12" s="327" t="s">
        <v>422</v>
      </c>
      <c r="AN12" s="583" t="str">
        <f t="shared" si="0"/>
        <v>Добавить источник для дифференциации</v>
      </c>
      <c r="AQ12" s="578">
        <v>0</v>
      </c>
    </row>
    <row r="13" spans="5:43" ht="0.75" hidden="1" customHeight="1">
      <c r="E13" s="1219"/>
      <c r="F13" s="1218"/>
      <c r="T13" s="327" t="s">
        <v>423</v>
      </c>
      <c r="AN13" s="583" t="str">
        <f t="shared" si="0"/>
        <v>Добавить централизованную систему для дифференциации</v>
      </c>
      <c r="AQ13" s="578">
        <v>0</v>
      </c>
    </row>
    <row r="14" spans="5:43" ht="0.75" hidden="1" customHeight="1">
      <c r="E14" s="1218"/>
      <c r="T14" s="327" t="s">
        <v>424</v>
      </c>
      <c r="AN14" s="583" t="str">
        <f t="shared" si="0"/>
        <v>Добавить территорию для дифференциации</v>
      </c>
      <c r="AQ14" s="578">
        <v>0</v>
      </c>
    </row>
    <row r="15" spans="5:43" ht="14.25" hidden="1" customHeight="1">
      <c r="AQ15" s="539">
        <v>0</v>
      </c>
    </row>
    <row r="16" spans="5:43" ht="14.25" hidden="1" customHeight="1">
      <c r="AD16" s="266"/>
      <c r="AE16" s="360"/>
      <c r="AF16" s="361"/>
      <c r="AG16" s="286" t="s">
        <v>61</v>
      </c>
      <c r="AH16" s="361"/>
      <c r="AI16" s="286" t="s">
        <v>61</v>
      </c>
      <c r="AQ16" s="539">
        <v>0</v>
      </c>
    </row>
    <row r="17" spans="15:43" ht="14.25" hidden="1" customHeight="1">
      <c r="AQ17" s="539">
        <v>0</v>
      </c>
    </row>
    <row r="18" spans="15:43" ht="14.25" hidden="1" customHeight="1">
      <c r="O18" s="349" t="s">
        <v>425</v>
      </c>
      <c r="X18" s="349"/>
      <c r="Z18" s="349"/>
      <c r="AF18" s="349"/>
      <c r="AH18" s="349"/>
      <c r="AQ18" s="539">
        <v>0</v>
      </c>
    </row>
    <row r="19" spans="15:43" ht="14.25" hidden="1" customHeight="1">
      <c r="AQ19" s="539">
        <v>0</v>
      </c>
    </row>
    <row r="20" spans="15:43" ht="14.25" hidden="1" customHeight="1">
      <c r="O20" s="891" t="s">
        <v>426</v>
      </c>
      <c r="Y20" s="885" t="s">
        <v>428</v>
      </c>
      <c r="AA20" s="885" t="s">
        <v>429</v>
      </c>
      <c r="AC20" s="885" t="s">
        <v>478</v>
      </c>
      <c r="AG20" s="885" t="s">
        <v>428</v>
      </c>
      <c r="AI20" s="885" t="s">
        <v>429</v>
      </c>
      <c r="AQ20" s="885">
        <v>0</v>
      </c>
    </row>
    <row r="21" spans="15:43" ht="14.25" hidden="1" customHeight="1">
      <c r="AQ21" s="539">
        <v>0</v>
      </c>
    </row>
    <row r="22" spans="15:43" ht="14.25" hidden="1" customHeight="1">
      <c r="AQ22" s="539">
        <v>0</v>
      </c>
    </row>
    <row r="23" spans="15:43" ht="14.65" customHeight="1">
      <c r="Q23" s="886"/>
      <c r="R23" s="757"/>
      <c r="S23" s="848"/>
      <c r="T23" s="557"/>
      <c r="U23" s="557"/>
      <c r="AQ23" s="539">
        <v>14</v>
      </c>
    </row>
    <row r="24" spans="15:43" ht="39.75" customHeight="1">
      <c r="Q24" s="886"/>
      <c r="R24" s="757"/>
      <c r="S24" s="1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174"/>
      <c r="U24" s="1174"/>
      <c r="V24" s="1174"/>
      <c r="W24" s="1174"/>
      <c r="X24" s="1174"/>
      <c r="Y24" s="1174"/>
      <c r="Z24" s="1174"/>
      <c r="AA24" s="1174"/>
      <c r="AB24" s="1174"/>
      <c r="AC24" s="1174"/>
      <c r="AD24" s="1174"/>
      <c r="AE24" s="1174"/>
      <c r="AF24" s="1174"/>
      <c r="AG24" s="1174"/>
      <c r="AH24" s="1174"/>
      <c r="AQ24" s="539">
        <v>38</v>
      </c>
    </row>
    <row r="25" spans="15:43" ht="14.65" customHeight="1">
      <c r="Q25" s="886"/>
      <c r="R25" s="757"/>
      <c r="S25" s="1148" t="str">
        <f>IF(org=0,"Не определено",org)</f>
        <v>АО "НИЖЕГОРОДСКИЙ ВОДОКАНАЛ"</v>
      </c>
      <c r="T25" s="1148"/>
      <c r="U25" s="1148"/>
      <c r="V25" s="1148"/>
      <c r="W25" s="1148"/>
      <c r="X25" s="1148"/>
      <c r="Y25" s="1148"/>
      <c r="Z25" s="1148"/>
      <c r="AA25" s="1148"/>
      <c r="AB25" s="1148"/>
      <c r="AC25" s="1148"/>
      <c r="AD25" s="1148"/>
      <c r="AE25" s="1148"/>
      <c r="AF25" s="1148"/>
      <c r="AG25" s="1148"/>
      <c r="AH25" s="1148"/>
      <c r="AQ25" s="539">
        <v>14</v>
      </c>
    </row>
    <row r="26" spans="15:43" ht="14.25" hidden="1" customHeight="1">
      <c r="Q26" s="886"/>
      <c r="R26" s="757"/>
      <c r="S26" s="848"/>
      <c r="T26" s="557"/>
      <c r="U26" s="557"/>
      <c r="V26" s="827"/>
      <c r="W26" s="827"/>
      <c r="X26" s="827"/>
      <c r="Y26" s="827"/>
      <c r="Z26" s="827"/>
      <c r="AA26" s="827"/>
      <c r="AB26" s="827"/>
      <c r="AC26" s="827"/>
      <c r="AD26" s="827"/>
      <c r="AE26" s="827"/>
      <c r="AF26" s="827"/>
      <c r="AG26" s="827"/>
      <c r="AH26" s="827"/>
      <c r="AI26" s="827"/>
      <c r="AQ26" s="539">
        <v>0</v>
      </c>
    </row>
    <row r="27" spans="15:43" ht="25.5" hidden="1" customHeight="1">
      <c r="S27" s="1184" t="s">
        <v>41</v>
      </c>
      <c r="T27" s="1184"/>
      <c r="U27" s="850"/>
      <c r="V27" s="1186" t="str">
        <f>IF(TITLE_NAME_OR_PR_CHANGE="",IF(TITLE_NAME_OR_PR="","",TITLE_NAME_OR_PR),TITLE_NAME_OR_PR_CHANGE)</f>
        <v/>
      </c>
      <c r="W27" s="1186"/>
      <c r="X27" s="1186"/>
      <c r="Y27" s="1186"/>
      <c r="Z27" s="1186"/>
      <c r="AC27" s="1186"/>
      <c r="AD27" s="1186"/>
      <c r="AE27" s="1186"/>
      <c r="AF27" s="1186"/>
      <c r="AG27" s="1186"/>
      <c r="AH27" s="1186"/>
      <c r="AQ27" s="593">
        <v>0</v>
      </c>
    </row>
    <row r="28" spans="15:43" ht="18.75" hidden="1" customHeight="1">
      <c r="S28" s="1184" t="s">
        <v>431</v>
      </c>
      <c r="T28" s="1184"/>
      <c r="U28" s="850"/>
      <c r="V28" s="1185" t="str">
        <f>IF(TITLE_DATE_PR_CHANGE="",IF(TITLE_DATE_PR="","",TITLE_DATE_PR),TITLE_DATE_PR_CHANGE)</f>
        <v/>
      </c>
      <c r="W28" s="1185"/>
      <c r="X28" s="1185"/>
      <c r="Y28" s="1185"/>
      <c r="Z28" s="1185"/>
      <c r="AC28" s="1185"/>
      <c r="AD28" s="1185"/>
      <c r="AE28" s="1185"/>
      <c r="AF28" s="1185"/>
      <c r="AG28" s="1185"/>
      <c r="AH28" s="1185"/>
      <c r="AQ28" s="593">
        <v>0</v>
      </c>
    </row>
    <row r="29" spans="15:43" ht="18.75" hidden="1" customHeight="1">
      <c r="S29" s="1184" t="s">
        <v>432</v>
      </c>
      <c r="T29" s="1184"/>
      <c r="U29" s="850"/>
      <c r="V29" s="1186" t="str">
        <f>IF(TITLE_NUMBER_PR_CHANGE="",IF(TITLE_NUMBER_PR="","",TITLE_NUMBER_PR),TITLE_NUMBER_PR_CHANGE)</f>
        <v/>
      </c>
      <c r="W29" s="1186"/>
      <c r="X29" s="1186"/>
      <c r="Y29" s="1186"/>
      <c r="Z29" s="1186"/>
      <c r="AC29" s="1186"/>
      <c r="AD29" s="1186"/>
      <c r="AE29" s="1186"/>
      <c r="AF29" s="1186"/>
      <c r="AG29" s="1186"/>
      <c r="AH29" s="1186"/>
      <c r="AQ29" s="593">
        <v>0</v>
      </c>
    </row>
    <row r="30" spans="15:43" ht="18.75" hidden="1" customHeight="1">
      <c r="S30" s="1184" t="s">
        <v>42</v>
      </c>
      <c r="T30" s="1184"/>
      <c r="U30" s="850"/>
      <c r="V30" s="1186" t="str">
        <f>IF(TITLE_IST_PUB_CHANGE="",IF(TITLE_IST_PUB="","",TITLE_IST_PUB),TITLE_IST_PUB_CHANGE)</f>
        <v/>
      </c>
      <c r="W30" s="1186"/>
      <c r="X30" s="1186"/>
      <c r="Y30" s="1186"/>
      <c r="Z30" s="1186"/>
      <c r="AC30" s="1186"/>
      <c r="AD30" s="1186"/>
      <c r="AE30" s="1186"/>
      <c r="AF30" s="1186"/>
      <c r="AG30" s="1186"/>
      <c r="AH30" s="1186"/>
      <c r="AQ30" s="593">
        <v>0</v>
      </c>
    </row>
    <row r="31" spans="15:43" ht="14.25" hidden="1" customHeight="1">
      <c r="Q31" s="886"/>
      <c r="R31" s="757"/>
      <c r="S31" s="848"/>
      <c r="T31" s="557"/>
      <c r="U31" s="557"/>
      <c r="V31" s="827"/>
      <c r="W31" s="827"/>
      <c r="X31" s="827"/>
      <c r="Y31" s="827"/>
      <c r="Z31" s="827"/>
      <c r="AA31" s="827"/>
      <c r="AB31" s="827"/>
      <c r="AC31" s="827"/>
      <c r="AD31" s="827"/>
      <c r="AE31" s="827"/>
      <c r="AF31" s="827"/>
      <c r="AG31" s="827"/>
      <c r="AH31" s="827"/>
      <c r="AI31" s="827"/>
      <c r="AQ31" s="539">
        <v>0</v>
      </c>
    </row>
    <row r="32" spans="15:43" ht="18.75" hidden="1" customHeight="1">
      <c r="S32" s="1184" t="s">
        <v>431</v>
      </c>
      <c r="T32" s="1184"/>
      <c r="U32" s="850"/>
      <c r="V32" s="1185" t="str">
        <f>IF(TITLE_DATE_PR_CHANGE="",IF(TITLE_DATE_PR="","",TITLE_DATE_PR),TITLE_DATE_PR_CHANGE)</f>
        <v/>
      </c>
      <c r="W32" s="1185"/>
      <c r="X32" s="1185"/>
      <c r="Y32" s="1185"/>
      <c r="Z32" s="1185"/>
      <c r="AC32" s="1185"/>
      <c r="AD32" s="1185"/>
      <c r="AE32" s="1185"/>
      <c r="AF32" s="1185"/>
      <c r="AG32" s="1185"/>
      <c r="AH32" s="1185"/>
      <c r="AQ32" s="593">
        <v>0</v>
      </c>
    </row>
    <row r="33" spans="1:43" ht="18" hidden="1" customHeight="1">
      <c r="S33" s="1184" t="s">
        <v>432</v>
      </c>
      <c r="T33" s="1184"/>
      <c r="U33" s="850"/>
      <c r="V33" s="1186" t="str">
        <f>IF(TITLE_NUMBER_PR_CHANGE="",IF(TITLE_NUMBER_PR="","",TITLE_NUMBER_PR),TITLE_NUMBER_PR_CHANGE)</f>
        <v/>
      </c>
      <c r="W33" s="1186"/>
      <c r="X33" s="1186"/>
      <c r="Y33" s="1186"/>
      <c r="Z33" s="1186"/>
      <c r="AC33" s="1186"/>
      <c r="AD33" s="1186"/>
      <c r="AE33" s="1186"/>
      <c r="AF33" s="1186"/>
      <c r="AG33" s="1186"/>
      <c r="AH33" s="1186"/>
      <c r="AQ33" s="593">
        <v>0</v>
      </c>
    </row>
    <row r="34" spans="1:43" ht="1.1499999999999999" customHeight="1">
      <c r="AA34" s="578" t="s">
        <v>435</v>
      </c>
      <c r="AI34" s="578" t="s">
        <v>435</v>
      </c>
      <c r="AQ34" s="593">
        <v>1</v>
      </c>
    </row>
    <row r="35" spans="1:43" ht="14.65" customHeight="1">
      <c r="Q35" s="886"/>
      <c r="R35" s="757"/>
      <c r="S35" s="848"/>
      <c r="T35" s="557"/>
      <c r="U35" s="851"/>
      <c r="V35" s="1204"/>
      <c r="W35" s="1204"/>
      <c r="X35" s="1204"/>
      <c r="Y35" s="1204"/>
      <c r="Z35" s="1204"/>
      <c r="AA35" s="1204"/>
      <c r="AB35" s="852"/>
      <c r="AC35" s="1204"/>
      <c r="AD35" s="1204"/>
      <c r="AE35" s="1204"/>
      <c r="AF35" s="1204"/>
      <c r="AG35" s="1204"/>
      <c r="AH35" s="1204"/>
      <c r="AI35" s="1204"/>
      <c r="AQ35" s="539">
        <v>14</v>
      </c>
    </row>
    <row r="36" spans="1:43" ht="14.65" customHeight="1">
      <c r="Q36" s="886"/>
      <c r="R36" s="757"/>
      <c r="S36" s="1070" t="s">
        <v>308</v>
      </c>
      <c r="T36" s="1070"/>
      <c r="U36" s="1070"/>
      <c r="V36" s="1070"/>
      <c r="W36" s="1070"/>
      <c r="X36" s="1070"/>
      <c r="Y36" s="1070"/>
      <c r="Z36" s="1070"/>
      <c r="AA36" s="1128"/>
      <c r="AB36" s="1128"/>
      <c r="AC36" s="1128"/>
      <c r="AD36" s="1070"/>
      <c r="AE36" s="1070"/>
      <c r="AF36" s="1070"/>
      <c r="AG36" s="1070"/>
      <c r="AH36" s="1070"/>
      <c r="AI36" s="1070"/>
      <c r="AJ36" s="1070"/>
      <c r="AK36" s="1070" t="s">
        <v>309</v>
      </c>
      <c r="AQ36" s="539">
        <v>14</v>
      </c>
    </row>
    <row r="37" spans="1:43" ht="14.65" customHeight="1">
      <c r="Q37" s="886"/>
      <c r="R37" s="757"/>
      <c r="S37" s="1205" t="s">
        <v>87</v>
      </c>
      <c r="T37" s="1155" t="s">
        <v>507</v>
      </c>
      <c r="U37" s="818"/>
      <c r="V37" s="1207"/>
      <c r="W37" s="1207"/>
      <c r="X37" s="1207"/>
      <c r="Y37" s="1207"/>
      <c r="Z37" s="1207"/>
      <c r="AA37" s="1155" t="s">
        <v>438</v>
      </c>
      <c r="AB37" s="1154" t="s">
        <v>508</v>
      </c>
      <c r="AC37" s="1154" t="s">
        <v>482</v>
      </c>
      <c r="AD37" s="1222" t="s">
        <v>437</v>
      </c>
      <c r="AE37" s="1222"/>
      <c r="AF37" s="1207"/>
      <c r="AG37" s="1207"/>
      <c r="AH37" s="1208"/>
      <c r="AI37" s="1209" t="s">
        <v>438</v>
      </c>
      <c r="AJ37" s="1212" t="s">
        <v>440</v>
      </c>
      <c r="AK37" s="1070"/>
      <c r="AQ37" s="539">
        <v>14</v>
      </c>
    </row>
    <row r="38" spans="1:43" ht="35.65" customHeight="1">
      <c r="Q38" s="886"/>
      <c r="R38" s="757"/>
      <c r="S38" s="1205"/>
      <c r="T38" s="1155"/>
      <c r="U38" s="823"/>
      <c r="V38" s="1050" t="s">
        <v>485</v>
      </c>
      <c r="W38" s="1070"/>
      <c r="X38" s="1129" t="s">
        <v>444</v>
      </c>
      <c r="Y38" s="1234"/>
      <c r="Z38" s="1234"/>
      <c r="AA38" s="1155"/>
      <c r="AB38" s="1154"/>
      <c r="AC38" s="1154"/>
      <c r="AD38" s="1050" t="s">
        <v>485</v>
      </c>
      <c r="AE38" s="1070"/>
      <c r="AF38" s="1234" t="s">
        <v>444</v>
      </c>
      <c r="AG38" s="1234"/>
      <c r="AH38" s="1130"/>
      <c r="AI38" s="1210"/>
      <c r="AJ38" s="1213"/>
      <c r="AK38" s="1070"/>
      <c r="AQ38" s="539">
        <v>34</v>
      </c>
    </row>
    <row r="39" spans="1:43" ht="14.65" customHeight="1">
      <c r="Q39" s="886"/>
      <c r="R39" s="757"/>
      <c r="S39" s="1205"/>
      <c r="T39" s="1155"/>
      <c r="U39" s="823"/>
      <c r="V39" s="1258" t="str">
        <f>IF($AD$39&lt;&gt;"",$AD$39,"")</f>
        <v/>
      </c>
      <c r="W39" s="1258"/>
      <c r="X39" s="1134"/>
      <c r="Y39" s="1235"/>
      <c r="Z39" s="1235"/>
      <c r="AA39" s="1155"/>
      <c r="AB39" s="1154"/>
      <c r="AC39" s="1154"/>
      <c r="AD39" s="1267"/>
      <c r="AE39" s="1257"/>
      <c r="AF39" s="1235"/>
      <c r="AG39" s="1235"/>
      <c r="AH39" s="1135"/>
      <c r="AI39" s="1210"/>
      <c r="AJ39" s="1213"/>
      <c r="AK39" s="1070"/>
      <c r="AQ39" s="539">
        <v>14</v>
      </c>
    </row>
    <row r="40" spans="1:43" ht="14.65" customHeight="1">
      <c r="B40" s="601" t="s">
        <v>145</v>
      </c>
      <c r="C40" s="601" t="s">
        <v>146</v>
      </c>
      <c r="D40" s="601" t="s">
        <v>147</v>
      </c>
      <c r="E40" s="874" t="s">
        <v>445</v>
      </c>
      <c r="F40" s="874" t="s">
        <v>446</v>
      </c>
      <c r="G40" s="874" t="s">
        <v>447</v>
      </c>
      <c r="H40" s="874" t="s">
        <v>448</v>
      </c>
      <c r="I40" s="874" t="s">
        <v>449</v>
      </c>
      <c r="J40" s="874" t="s">
        <v>450</v>
      </c>
      <c r="K40" s="874" t="s">
        <v>451</v>
      </c>
      <c r="L40" s="874" t="s">
        <v>426</v>
      </c>
      <c r="Q40" s="886"/>
      <c r="R40" s="757"/>
      <c r="S40" s="1205"/>
      <c r="T40" s="1155"/>
      <c r="U40" s="853"/>
      <c r="V40" s="633" t="s">
        <v>486</v>
      </c>
      <c r="W40" s="633" t="s">
        <v>487</v>
      </c>
      <c r="X40" s="603" t="s">
        <v>454</v>
      </c>
      <c r="Y40" s="1160" t="s">
        <v>455</v>
      </c>
      <c r="Z40" s="1172"/>
      <c r="AA40" s="1155"/>
      <c r="AB40" s="1154"/>
      <c r="AC40" s="1154"/>
      <c r="AD40" s="892" t="s">
        <v>486</v>
      </c>
      <c r="AE40" s="831" t="s">
        <v>487</v>
      </c>
      <c r="AF40" s="603" t="s">
        <v>454</v>
      </c>
      <c r="AG40" s="1160" t="s">
        <v>455</v>
      </c>
      <c r="AH40" s="1173"/>
      <c r="AI40" s="1211"/>
      <c r="AJ40" s="1214"/>
      <c r="AK40" s="1070"/>
      <c r="AQ40" s="539">
        <v>14</v>
      </c>
    </row>
    <row r="41" spans="1:43" ht="11.25" hidden="1" customHeight="1">
      <c r="Q41" s="855"/>
      <c r="R41" s="855">
        <v>1</v>
      </c>
      <c r="S41" s="330" t="s">
        <v>114</v>
      </c>
      <c r="T41" s="331" t="s">
        <v>102</v>
      </c>
      <c r="U41" s="856" t="str">
        <f ca="1">OFFSET(U41,0,-1)</f>
        <v>2</v>
      </c>
      <c r="V41" s="857">
        <f ca="1">OFFSET(V41,0,-1)+1</f>
        <v>3</v>
      </c>
      <c r="W41" s="857">
        <f ca="1">OFFSET(W41,0,-1)+1</f>
        <v>4</v>
      </c>
      <c r="X41" s="857">
        <f ca="1">OFFSET(X41,0,-1)+1</f>
        <v>5</v>
      </c>
      <c r="Y41" s="1203">
        <f ca="1">OFFSET(Y41,0,-1)+1</f>
        <v>6</v>
      </c>
      <c r="Z41" s="1203"/>
      <c r="AA41" s="681">
        <f ca="1">OFFSET(AA41,0,-2)+1</f>
        <v>7</v>
      </c>
      <c r="AB41" s="681"/>
      <c r="AC41" s="681"/>
      <c r="AD41" s="857">
        <f ca="1">OFFSET(AD41,0,-1)+1</f>
        <v>1</v>
      </c>
      <c r="AE41" s="857">
        <f ca="1">OFFSET(AE41,0,-1)+1</f>
        <v>2</v>
      </c>
      <c r="AF41" s="857">
        <f ca="1">OFFSET(AF41,0,-1)+1</f>
        <v>3</v>
      </c>
      <c r="AG41" s="1203">
        <f ca="1">OFFSET(AG41,0,-1)+1</f>
        <v>4</v>
      </c>
      <c r="AH41" s="1203"/>
      <c r="AI41" s="857">
        <f ca="1">OFFSET(AI41,0,-2)+1</f>
        <v>5</v>
      </c>
      <c r="AJ41" s="856">
        <f ca="1">OFFSET(AJ41,0,-1)</f>
        <v>5</v>
      </c>
      <c r="AK41" s="857">
        <f ca="1">OFFSET(AK41,0,-1)+1</f>
        <v>6</v>
      </c>
      <c r="AQ41" s="682">
        <v>0</v>
      </c>
    </row>
    <row r="42" spans="1:43" ht="107.25" customHeight="1">
      <c r="A42" s="607" t="s">
        <v>214</v>
      </c>
      <c r="E42" s="1218">
        <v>1</v>
      </c>
      <c r="R42" s="311"/>
      <c r="S42" s="833">
        <f>INDEX(PT_DIFFERENTIATION_NUM_NTAR,MATCH(A42,PT_DIFFERENTIATION_NTAR_ID,0))</f>
        <v>0</v>
      </c>
      <c r="T42" s="796" t="s">
        <v>133</v>
      </c>
      <c r="U42" s="834"/>
      <c r="V42" s="1188"/>
      <c r="W42" s="1188"/>
      <c r="X42" s="1188"/>
      <c r="Y42" s="1188"/>
      <c r="Z42" s="1188"/>
      <c r="AA42" s="1189"/>
      <c r="AB42" s="835"/>
      <c r="AC42" s="1188" t="str">
        <f>INDEX(PT_DIFFERENTIATION_NTAR,MATCH(A42,PT_DIFFERENTIATION_NTAR_ID,0))</f>
        <v/>
      </c>
      <c r="AD42" s="1188"/>
      <c r="AE42" s="1188"/>
      <c r="AF42" s="1188"/>
      <c r="AG42" s="1188"/>
      <c r="AH42" s="1188"/>
      <c r="AI42" s="1188"/>
      <c r="AJ42" s="1189"/>
      <c r="AK42" s="83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N42" s="583" t="str">
        <f t="shared" ref="AN42:AN56" si="1">IF(T42="","",T42)</f>
        <v>Наименование тарифа</v>
      </c>
      <c r="AQ42" s="539">
        <v>102</v>
      </c>
    </row>
    <row r="43" spans="1:43" ht="21.95" customHeight="1">
      <c r="A43" s="607" t="s">
        <v>214</v>
      </c>
      <c r="B43" s="607" t="s">
        <v>215</v>
      </c>
      <c r="E43" s="1219"/>
      <c r="F43" s="1218">
        <v>1</v>
      </c>
      <c r="Q43" s="880"/>
      <c r="R43" s="838"/>
      <c r="S43" s="833" t="str">
        <f>INDEX(PT_DIFFERENTIATION_NUM_TER,MATCH(B43,PT_DIFFERENTIATION_TER_ID,0))</f>
        <v>.</v>
      </c>
      <c r="T43" s="839" t="s">
        <v>405</v>
      </c>
      <c r="U43" s="834"/>
      <c r="V43" s="1188"/>
      <c r="W43" s="1188"/>
      <c r="X43" s="1188"/>
      <c r="Y43" s="1188"/>
      <c r="Z43" s="1188"/>
      <c r="AA43" s="1189"/>
      <c r="AB43" s="835"/>
      <c r="AC43" s="1188" t="str">
        <f>INDEX(PT_DIFFERENTIATION_TER,MATCH(B43,PT_DIFFERENTIATION_TER_ID,0))</f>
        <v/>
      </c>
      <c r="AD43" s="1188"/>
      <c r="AE43" s="1188"/>
      <c r="AF43" s="1188"/>
      <c r="AG43" s="1188"/>
      <c r="AH43" s="1188"/>
      <c r="AI43" s="1188"/>
      <c r="AJ43" s="1189"/>
      <c r="AK43" s="836" t="s">
        <v>406</v>
      </c>
      <c r="AN43" s="583" t="str">
        <f t="shared" si="1"/>
        <v>Территория действия тарифа</v>
      </c>
      <c r="AQ43" s="539">
        <v>21</v>
      </c>
    </row>
    <row r="44" spans="1:43" ht="24" customHeight="1">
      <c r="A44" s="607" t="s">
        <v>214</v>
      </c>
      <c r="B44" s="607" t="s">
        <v>215</v>
      </c>
      <c r="C44" s="607" t="s">
        <v>216</v>
      </c>
      <c r="E44" s="1219"/>
      <c r="F44" s="1219"/>
      <c r="G44" s="1218">
        <v>1</v>
      </c>
      <c r="Q44" s="880"/>
      <c r="R44" s="838"/>
      <c r="S44" s="833" t="str">
        <f>INDEX(PT_DIFFERENTIATION_NUM_CS,MATCH(C44,PT_DIFFERENTIATION_CS_ID,0))</f>
        <v>..</v>
      </c>
      <c r="T44" s="840" t="s">
        <v>407</v>
      </c>
      <c r="U44" s="834"/>
      <c r="V44" s="1188"/>
      <c r="W44" s="1188"/>
      <c r="X44" s="1188"/>
      <c r="Y44" s="1188"/>
      <c r="Z44" s="1188"/>
      <c r="AA44" s="1189"/>
      <c r="AB44" s="835"/>
      <c r="AC44" s="1188" t="str">
        <f>INDEX(PT_DIFFERENTIATION_CS,MATCH(C44,PT_DIFFERENTIATION_CS_ID,0))</f>
        <v/>
      </c>
      <c r="AD44" s="1188"/>
      <c r="AE44" s="1188"/>
      <c r="AF44" s="1188"/>
      <c r="AG44" s="1188"/>
      <c r="AH44" s="1188"/>
      <c r="AI44" s="1188"/>
      <c r="AJ44" s="1189"/>
      <c r="AK44" s="836" t="s">
        <v>408</v>
      </c>
      <c r="AN44" s="583" t="str">
        <f t="shared" si="1"/>
        <v xml:space="preserve">Наименование системы теплоснабжения </v>
      </c>
      <c r="AQ44" s="539">
        <v>23</v>
      </c>
    </row>
    <row r="45" spans="1:43" ht="21.95" customHeight="1">
      <c r="A45" s="607" t="s">
        <v>214</v>
      </c>
      <c r="B45" s="607" t="s">
        <v>215</v>
      </c>
      <c r="C45" s="607" t="s">
        <v>216</v>
      </c>
      <c r="D45" s="607" t="s">
        <v>217</v>
      </c>
      <c r="E45" s="1219"/>
      <c r="F45" s="1219"/>
      <c r="G45" s="1219"/>
      <c r="H45" s="1218">
        <v>1</v>
      </c>
      <c r="Q45" s="880"/>
      <c r="R45" s="838"/>
      <c r="S45" s="833" t="str">
        <f>INDEX(PT_DIFFERENTIATION_NUM_IST_TE,MATCH(D45,PT_DIFFERENTIATION_IST_TE_ID,0))</f>
        <v>...</v>
      </c>
      <c r="T45" s="841" t="s">
        <v>409</v>
      </c>
      <c r="U45" s="834"/>
      <c r="V45" s="1188"/>
      <c r="W45" s="1188"/>
      <c r="X45" s="1188"/>
      <c r="Y45" s="1188"/>
      <c r="Z45" s="1188"/>
      <c r="AA45" s="1189"/>
      <c r="AB45" s="835"/>
      <c r="AC45" s="1188" t="str">
        <f>INDEX(PT_DIFFERENTIATION_IST_TE,MATCH(D45,PT_DIFFERENTIATION_IST_TE_ID,0))</f>
        <v/>
      </c>
      <c r="AD45" s="1188"/>
      <c r="AE45" s="1188"/>
      <c r="AF45" s="1188"/>
      <c r="AG45" s="1188"/>
      <c r="AH45" s="1188"/>
      <c r="AI45" s="1188"/>
      <c r="AJ45" s="1189"/>
      <c r="AK45" s="836" t="s">
        <v>410</v>
      </c>
      <c r="AN45" s="583" t="str">
        <f t="shared" si="1"/>
        <v xml:space="preserve">Источник тепловой энергии  </v>
      </c>
      <c r="AQ45" s="539">
        <v>21</v>
      </c>
    </row>
    <row r="46" spans="1:43" ht="0" hidden="1" customHeight="1">
      <c r="A46" s="878" t="s">
        <v>214</v>
      </c>
      <c r="B46" s="878" t="s">
        <v>215</v>
      </c>
      <c r="C46" s="878" t="s">
        <v>216</v>
      </c>
      <c r="D46" s="878" t="s">
        <v>217</v>
      </c>
      <c r="E46" s="1219"/>
      <c r="F46" s="1219"/>
      <c r="G46" s="1219"/>
      <c r="H46" s="1219"/>
      <c r="I46" s="1070" t="str">
        <f>S45&amp;".1"</f>
        <v>....1</v>
      </c>
      <c r="L46" s="879" t="s">
        <v>411</v>
      </c>
      <c r="P46" s="1196">
        <v>1</v>
      </c>
      <c r="R46" s="843"/>
      <c r="S46" s="636"/>
      <c r="T46" s="860"/>
      <c r="U46" s="861"/>
      <c r="V46" s="1224"/>
      <c r="W46" s="1224"/>
      <c r="X46" s="1224"/>
      <c r="Y46" s="1224"/>
      <c r="Z46" s="1224"/>
      <c r="AA46" s="1225"/>
      <c r="AB46" s="862"/>
      <c r="AC46" s="1224"/>
      <c r="AD46" s="1224"/>
      <c r="AE46" s="1224"/>
      <c r="AF46" s="1224"/>
      <c r="AG46" s="1224"/>
      <c r="AH46" s="1224"/>
      <c r="AI46" s="1224"/>
      <c r="AJ46" s="1225"/>
      <c r="AK46" s="863"/>
      <c r="AN46" s="583" t="str">
        <f t="shared" si="1"/>
        <v/>
      </c>
      <c r="AQ46" s="578">
        <v>0</v>
      </c>
    </row>
    <row r="47" spans="1:43" ht="0" hidden="1" customHeight="1">
      <c r="A47" s="878" t="s">
        <v>214</v>
      </c>
      <c r="B47" s="878" t="s">
        <v>215</v>
      </c>
      <c r="C47" s="878" t="s">
        <v>216</v>
      </c>
      <c r="D47" s="878" t="s">
        <v>217</v>
      </c>
      <c r="E47" s="1219"/>
      <c r="F47" s="1219"/>
      <c r="G47" s="1219"/>
      <c r="H47" s="1219"/>
      <c r="I47" s="1051"/>
      <c r="J47" s="1070" t="str">
        <f>S45&amp;".1"</f>
        <v>....1</v>
      </c>
      <c r="P47" s="1038"/>
      <c r="Q47" s="1196">
        <v>1</v>
      </c>
      <c r="R47" s="845"/>
      <c r="S47" s="636"/>
      <c r="T47" s="881"/>
      <c r="U47" s="861"/>
      <c r="V47" s="1224"/>
      <c r="W47" s="1224"/>
      <c r="X47" s="1224"/>
      <c r="Y47" s="1224"/>
      <c r="Z47" s="1224"/>
      <c r="AA47" s="1225"/>
      <c r="AB47" s="862"/>
      <c r="AC47" s="1224"/>
      <c r="AD47" s="1224"/>
      <c r="AE47" s="1224"/>
      <c r="AF47" s="1224"/>
      <c r="AG47" s="1224"/>
      <c r="AH47" s="1224"/>
      <c r="AI47" s="1224"/>
      <c r="AJ47" s="1225"/>
      <c r="AK47" s="863"/>
      <c r="AN47" s="583" t="str">
        <f t="shared" si="1"/>
        <v/>
      </c>
      <c r="AQ47" s="578">
        <v>0</v>
      </c>
    </row>
    <row r="48" spans="1:43" ht="21.95" customHeight="1">
      <c r="A48" s="607" t="s">
        <v>214</v>
      </c>
      <c r="B48" s="607" t="s">
        <v>215</v>
      </c>
      <c r="C48" s="607" t="s">
        <v>216</v>
      </c>
      <c r="D48" s="607" t="s">
        <v>217</v>
      </c>
      <c r="E48" s="1219"/>
      <c r="F48" s="1219"/>
      <c r="G48" s="1219"/>
      <c r="H48" s="1219"/>
      <c r="I48" s="1051"/>
      <c r="J48" s="1051"/>
      <c r="K48" s="584" t="str">
        <f>S45&amp;".1"</f>
        <v>....1</v>
      </c>
      <c r="P48" s="1038"/>
      <c r="Q48" s="1038"/>
      <c r="R48" s="845">
        <v>1</v>
      </c>
      <c r="S48" s="865" t="str">
        <f>$K48</f>
        <v>....1</v>
      </c>
      <c r="T48" s="350"/>
      <c r="U48" s="834"/>
      <c r="V48" s="312"/>
      <c r="W48" s="314"/>
      <c r="X48" s="203"/>
      <c r="Y48" s="56" t="s">
        <v>61</v>
      </c>
      <c r="Z48" s="203"/>
      <c r="AA48" s="56" t="s">
        <v>61</v>
      </c>
      <c r="AB48" s="373"/>
      <c r="AC48" s="374" t="s">
        <v>22</v>
      </c>
      <c r="AD48" s="312"/>
      <c r="AE48" s="314"/>
      <c r="AF48" s="203"/>
      <c r="AG48" s="56" t="s">
        <v>61</v>
      </c>
      <c r="AH48" s="203"/>
      <c r="AI48" s="56" t="s">
        <v>61</v>
      </c>
      <c r="AJ48" s="332"/>
      <c r="AK48" s="1215" t="s">
        <v>488</v>
      </c>
      <c r="AL48" s="578" t="e">
        <f ca="1">STRCHECKDATE(#REF!)</f>
        <v>#NAME?</v>
      </c>
      <c r="AN48" s="583" t="str">
        <f t="shared" si="1"/>
        <v/>
      </c>
      <c r="AQ48" s="539">
        <v>21</v>
      </c>
    </row>
    <row r="49" spans="1:43" ht="11.45" customHeight="1">
      <c r="A49" s="607" t="s">
        <v>214</v>
      </c>
      <c r="B49" s="607" t="s">
        <v>215</v>
      </c>
      <c r="C49" s="607" t="s">
        <v>216</v>
      </c>
      <c r="D49" s="607" t="s">
        <v>217</v>
      </c>
      <c r="E49" s="1219"/>
      <c r="F49" s="1219"/>
      <c r="G49" s="1219"/>
      <c r="H49" s="1219"/>
      <c r="I49" s="1051"/>
      <c r="J49" s="1070"/>
      <c r="P49" s="1038"/>
      <c r="Q49" s="1038"/>
      <c r="R49" s="843"/>
      <c r="S49" s="316"/>
      <c r="T49" s="319" t="s">
        <v>476</v>
      </c>
      <c r="U49" s="52"/>
      <c r="V49" s="52"/>
      <c r="W49" s="52"/>
      <c r="X49" s="52"/>
      <c r="Y49" s="52"/>
      <c r="Z49" s="52"/>
      <c r="AA49" s="318"/>
      <c r="AB49" s="52"/>
      <c r="AC49" s="52"/>
      <c r="AD49" s="52"/>
      <c r="AE49" s="52"/>
      <c r="AF49" s="52"/>
      <c r="AG49" s="52"/>
      <c r="AH49" s="52"/>
      <c r="AI49" s="52"/>
      <c r="AJ49" s="318"/>
      <c r="AK49" s="1217"/>
      <c r="AN49" s="583" t="str">
        <f t="shared" si="1"/>
        <v>Добавить строку</v>
      </c>
      <c r="AQ49" s="539">
        <v>11</v>
      </c>
    </row>
    <row r="50" spans="1:43" ht="1.1499999999999999" customHeight="1">
      <c r="A50" s="878" t="s">
        <v>214</v>
      </c>
      <c r="B50" s="878" t="s">
        <v>215</v>
      </c>
      <c r="C50" s="878" t="s">
        <v>216</v>
      </c>
      <c r="D50" s="878" t="s">
        <v>217</v>
      </c>
      <c r="E50" s="1219"/>
      <c r="F50" s="1219"/>
      <c r="G50" s="1219"/>
      <c r="H50" s="1219"/>
      <c r="I50" s="1070"/>
      <c r="P50" s="1038"/>
      <c r="R50" s="843"/>
      <c r="S50" s="335"/>
      <c r="T50" s="336" t="s">
        <v>420</v>
      </c>
      <c r="U50" s="337"/>
      <c r="V50" s="337"/>
      <c r="W50" s="337"/>
      <c r="X50" s="337"/>
      <c r="Y50" s="337"/>
      <c r="Z50" s="337"/>
      <c r="AA50" s="337"/>
      <c r="AB50" s="337"/>
      <c r="AC50" s="337"/>
      <c r="AD50" s="337"/>
      <c r="AE50" s="337"/>
      <c r="AF50" s="337"/>
      <c r="AG50" s="337"/>
      <c r="AH50" s="337"/>
      <c r="AI50" s="337"/>
      <c r="AJ50" s="337"/>
      <c r="AK50" s="338"/>
      <c r="AN50" s="583" t="str">
        <f t="shared" si="1"/>
        <v>Добавить группу потребителей</v>
      </c>
      <c r="AQ50" s="578">
        <v>1</v>
      </c>
    </row>
    <row r="51" spans="1:43" ht="1.1499999999999999" customHeight="1">
      <c r="A51" s="878" t="s">
        <v>214</v>
      </c>
      <c r="B51" s="878" t="s">
        <v>215</v>
      </c>
      <c r="C51" s="878" t="s">
        <v>216</v>
      </c>
      <c r="D51" s="878" t="s">
        <v>217</v>
      </c>
      <c r="E51" s="1219"/>
      <c r="F51" s="1219"/>
      <c r="G51" s="1219"/>
      <c r="H51" s="1218"/>
      <c r="R51" s="363"/>
      <c r="S51" s="335"/>
      <c r="T51" s="336"/>
      <c r="U51" s="337"/>
      <c r="V51" s="337"/>
      <c r="W51" s="337"/>
      <c r="X51" s="337"/>
      <c r="Y51" s="337"/>
      <c r="Z51" s="337"/>
      <c r="AA51" s="337"/>
      <c r="AB51" s="337"/>
      <c r="AC51" s="337"/>
      <c r="AD51" s="337"/>
      <c r="AE51" s="337"/>
      <c r="AF51" s="337"/>
      <c r="AG51" s="337"/>
      <c r="AH51" s="337"/>
      <c r="AI51" s="337"/>
      <c r="AJ51" s="337"/>
      <c r="AK51" s="338"/>
      <c r="AN51" s="583" t="str">
        <f t="shared" si="1"/>
        <v/>
      </c>
      <c r="AQ51" s="682">
        <v>1</v>
      </c>
    </row>
    <row r="52" spans="1:43" ht="1.1499999999999999" customHeight="1">
      <c r="A52" s="878" t="s">
        <v>214</v>
      </c>
      <c r="B52" s="878" t="s">
        <v>215</v>
      </c>
      <c r="C52" s="878" t="s">
        <v>216</v>
      </c>
      <c r="E52" s="1219"/>
      <c r="F52" s="1219"/>
      <c r="G52" s="1218"/>
      <c r="T52" s="327" t="s">
        <v>422</v>
      </c>
      <c r="AN52" s="583" t="str">
        <f t="shared" si="1"/>
        <v>Добавить источник для дифференциации</v>
      </c>
      <c r="AQ52" s="578">
        <v>1</v>
      </c>
    </row>
    <row r="53" spans="1:43" ht="1.1499999999999999" customHeight="1">
      <c r="A53" s="878" t="s">
        <v>214</v>
      </c>
      <c r="B53" s="878" t="s">
        <v>215</v>
      </c>
      <c r="E53" s="1219"/>
      <c r="F53" s="1218"/>
      <c r="T53" s="327" t="s">
        <v>423</v>
      </c>
      <c r="AN53" s="583" t="str">
        <f t="shared" si="1"/>
        <v>Добавить централизованную систему для дифференциации</v>
      </c>
      <c r="AQ53" s="578">
        <v>1</v>
      </c>
    </row>
    <row r="54" spans="1:43" ht="1.1499999999999999" customHeight="1">
      <c r="A54" s="878" t="s">
        <v>214</v>
      </c>
      <c r="E54" s="1219"/>
      <c r="T54" s="327" t="s">
        <v>424</v>
      </c>
      <c r="AN54" s="583" t="str">
        <f t="shared" si="1"/>
        <v>Добавить территорию для дифференциации</v>
      </c>
      <c r="AQ54" s="578">
        <v>1</v>
      </c>
    </row>
    <row r="55" spans="1:43" ht="1.1499999999999999" customHeight="1">
      <c r="A55" s="878" t="s">
        <v>214</v>
      </c>
      <c r="E55" s="1218"/>
      <c r="T55" s="327" t="s">
        <v>424</v>
      </c>
      <c r="AN55" s="583" t="str">
        <f t="shared" si="1"/>
        <v>Добавить территорию для дифференциации</v>
      </c>
      <c r="AQ55" s="578">
        <v>1</v>
      </c>
    </row>
    <row r="56" spans="1:43" ht="1.1499999999999999" customHeight="1">
      <c r="T56" s="327" t="s">
        <v>456</v>
      </c>
      <c r="AN56" s="583" t="str">
        <f t="shared" si="1"/>
        <v>Добавить наименование тарифа</v>
      </c>
      <c r="AQ56" s="578">
        <v>1</v>
      </c>
    </row>
    <row r="57" spans="1:43" ht="11.45" customHeight="1">
      <c r="AQ57" s="539">
        <v>11</v>
      </c>
    </row>
    <row r="58" spans="1:43" ht="19.899999999999999" customHeight="1">
      <c r="T58" s="1038"/>
      <c r="U58" s="1038"/>
      <c r="V58" s="1038"/>
      <c r="W58" s="1038"/>
      <c r="X58" s="1038"/>
      <c r="Y58" s="1038"/>
      <c r="Z58" s="1038"/>
      <c r="AA58" s="1038"/>
      <c r="AB58" s="1038"/>
      <c r="AC58" s="1038"/>
      <c r="AD58" s="1038"/>
      <c r="AE58" s="1038"/>
      <c r="AF58" s="1038"/>
      <c r="AG58" s="1038"/>
      <c r="AH58" s="1038"/>
      <c r="AI58" s="1038"/>
      <c r="AJ58" s="1038"/>
      <c r="AK58" s="1038"/>
      <c r="AQ58" s="539">
        <v>19</v>
      </c>
    </row>
    <row r="59" spans="1:43" ht="21" customHeight="1">
      <c r="T59" s="1038"/>
      <c r="U59" s="1038"/>
      <c r="V59" s="1038"/>
      <c r="W59" s="1038"/>
      <c r="X59" s="1038"/>
      <c r="Y59" s="1038"/>
      <c r="Z59" s="1038"/>
      <c r="AA59" s="1038"/>
      <c r="AB59" s="1038"/>
      <c r="AC59" s="1038"/>
      <c r="AD59" s="1038"/>
      <c r="AE59" s="1038"/>
      <c r="AF59" s="1038"/>
      <c r="AG59" s="1038"/>
      <c r="AH59" s="1038"/>
      <c r="AI59" s="1038"/>
      <c r="AJ59" s="1038"/>
      <c r="AK59" s="1038"/>
      <c r="AQ59" s="539">
        <v>20</v>
      </c>
    </row>
    <row r="60" spans="1:43" ht="14.65" customHeight="1">
      <c r="AQ60" s="539">
        <v>14</v>
      </c>
    </row>
    <row r="61" spans="1:43" ht="19.899999999999999" customHeight="1">
      <c r="T61" s="1038"/>
      <c r="U61" s="1038"/>
      <c r="V61" s="1038"/>
      <c r="W61" s="1038"/>
      <c r="X61" s="1038"/>
      <c r="Y61" s="1038"/>
      <c r="Z61" s="1038"/>
      <c r="AA61" s="1038"/>
      <c r="AB61" s="1038"/>
      <c r="AC61" s="1038"/>
      <c r="AD61" s="1038"/>
      <c r="AE61" s="1038"/>
      <c r="AF61" s="1038"/>
      <c r="AG61" s="1038"/>
      <c r="AH61" s="1038"/>
      <c r="AI61" s="1038"/>
      <c r="AJ61" s="1038"/>
      <c r="AK61" s="1038"/>
      <c r="AQ61" s="539">
        <v>19</v>
      </c>
    </row>
    <row r="62" spans="1:43" ht="16.899999999999999" customHeight="1">
      <c r="T62" s="1038"/>
      <c r="U62" s="1038"/>
      <c r="V62" s="1038"/>
      <c r="W62" s="1038"/>
      <c r="X62" s="1038"/>
      <c r="Y62" s="1038"/>
      <c r="Z62" s="1038"/>
      <c r="AA62" s="1038"/>
      <c r="AB62" s="1038"/>
      <c r="AC62" s="1038"/>
      <c r="AD62" s="1038"/>
      <c r="AE62" s="1038"/>
      <c r="AF62" s="1038"/>
      <c r="AG62" s="1038"/>
      <c r="AH62" s="1038"/>
      <c r="AI62" s="1038"/>
      <c r="AJ62" s="1038"/>
      <c r="AK62" s="1038"/>
      <c r="AQ62" s="539">
        <v>16</v>
      </c>
    </row>
    <row r="63" spans="1:43" ht="14.65" customHeight="1">
      <c r="AQ63" s="539">
        <v>14</v>
      </c>
    </row>
    <row r="64" spans="1:43" ht="22.5" hidden="1" customHeight="1">
      <c r="A64" s="539" t="s">
        <v>81</v>
      </c>
      <c r="B64" s="539">
        <v>0</v>
      </c>
      <c r="C64" s="539">
        <v>0</v>
      </c>
      <c r="D64" s="539">
        <v>0</v>
      </c>
      <c r="E64" s="539">
        <v>0</v>
      </c>
      <c r="F64" s="539">
        <v>0</v>
      </c>
      <c r="G64" s="539">
        <v>0</v>
      </c>
      <c r="H64" s="539">
        <v>0</v>
      </c>
      <c r="I64" s="539">
        <v>0</v>
      </c>
      <c r="J64" s="539">
        <v>0</v>
      </c>
      <c r="K64" s="539">
        <v>0</v>
      </c>
      <c r="L64" s="561">
        <v>0</v>
      </c>
      <c r="M64" s="301">
        <v>0</v>
      </c>
      <c r="N64" s="301">
        <v>0</v>
      </c>
      <c r="O64" s="301">
        <v>0</v>
      </c>
      <c r="P64" s="12">
        <v>3</v>
      </c>
      <c r="Q64" s="890">
        <v>3</v>
      </c>
      <c r="R64" s="822">
        <v>3</v>
      </c>
      <c r="S64" s="554">
        <v>12</v>
      </c>
      <c r="T64" s="539">
        <v>31</v>
      </c>
      <c r="U64" s="539">
        <v>0</v>
      </c>
      <c r="V64" s="539">
        <v>0</v>
      </c>
      <c r="W64" s="539">
        <v>0</v>
      </c>
      <c r="X64" s="539">
        <v>0</v>
      </c>
      <c r="Y64" s="539">
        <v>0</v>
      </c>
      <c r="Z64" s="539">
        <v>0</v>
      </c>
      <c r="AA64" s="539">
        <v>0</v>
      </c>
      <c r="AB64" s="539">
        <v>27</v>
      </c>
      <c r="AC64" s="539">
        <v>24</v>
      </c>
      <c r="AD64" s="539">
        <v>21</v>
      </c>
      <c r="AE64" s="539">
        <v>21</v>
      </c>
      <c r="AF64" s="539">
        <v>11</v>
      </c>
      <c r="AG64" s="539">
        <v>3</v>
      </c>
      <c r="AH64" s="539">
        <v>11</v>
      </c>
      <c r="AI64" s="539">
        <v>8</v>
      </c>
      <c r="AJ64" s="539">
        <v>4</v>
      </c>
      <c r="AK64" s="539">
        <v>115</v>
      </c>
      <c r="AL64" s="578">
        <v>10</v>
      </c>
      <c r="AM64" s="578">
        <v>10</v>
      </c>
      <c r="AN64" s="578">
        <v>10</v>
      </c>
      <c r="AO64" s="578">
        <v>10</v>
      </c>
      <c r="AP64" s="578">
        <v>10</v>
      </c>
      <c r="AQ64" s="53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030" hidden="1" customWidth="1"/>
    <col min="2" max="2" width="11" style="1030" hidden="1" customWidth="1"/>
    <col min="3" max="3" width="10.5703125" style="1030" hidden="1"/>
    <col min="4" max="4" width="12.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7" width="3.7109375" style="1030" hidden="1" customWidth="1"/>
    <col min="18" max="18" width="3" style="1030" customWidth="1"/>
    <col min="19" max="19" width="12" style="1030" customWidth="1"/>
    <col min="20" max="20" width="31" style="1030" customWidth="1"/>
    <col min="21" max="21" width="0.140625" style="1030" customWidth="1"/>
    <col min="22" max="25" width="21.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3.7109375" style="1030" customWidth="1"/>
    <col min="31" max="32" width="3" style="1030" customWidth="1"/>
    <col min="33" max="33" width="24" style="1030" customWidth="1"/>
    <col min="34" max="34" width="3.7109375" style="1030" customWidth="1"/>
    <col min="35" max="36" width="3" style="1030" customWidth="1"/>
    <col min="37" max="37" width="24" style="1030" customWidth="1"/>
    <col min="38" max="38" width="3.7109375" style="1030" customWidth="1"/>
    <col min="39" max="40" width="3" style="1030" customWidth="1"/>
    <col min="41" max="41" width="18" style="1030" customWidth="1"/>
    <col min="42" max="42" width="3.7109375" style="1030" customWidth="1"/>
    <col min="43" max="44" width="3" style="1030" customWidth="1"/>
    <col min="45" max="45" width="18" style="1030" customWidth="1"/>
    <col min="46" max="49" width="21" style="1030" customWidth="1"/>
    <col min="50" max="50" width="11" style="1030" customWidth="1"/>
    <col min="51" max="51" width="3.7109375" style="1030" customWidth="1"/>
    <col min="52" max="52" width="11" style="1030" customWidth="1"/>
    <col min="53" max="53" width="8.5703125" style="1030" hidden="1" customWidth="1"/>
    <col min="54" max="54" width="4" style="1030" customWidth="1"/>
    <col min="55" max="55" width="115" style="1030" customWidth="1"/>
    <col min="56" max="60" width="10" style="1030" customWidth="1"/>
    <col min="61" max="61" width="10.5703125" style="1030" hidden="1"/>
  </cols>
  <sheetData>
    <row r="1" spans="5:61" ht="22.5" hidden="1" customHeight="1">
      <c r="BI1" s="539" t="s">
        <v>14</v>
      </c>
    </row>
    <row r="2" spans="5:61" ht="21" hidden="1" customHeight="1">
      <c r="E2" s="1192">
        <v>1</v>
      </c>
      <c r="R2" s="311"/>
      <c r="S2" s="833" t="e">
        <f>INDEX(PT_DIFFERENTIATION_NUM_NTAR,MATCH(A2,PT_DIFFERENTIATION_NTAR_ID,0))</f>
        <v>#N/A</v>
      </c>
      <c r="T2" s="796" t="s">
        <v>133</v>
      </c>
      <c r="U2" s="834"/>
      <c r="V2" s="1188"/>
      <c r="W2" s="1188"/>
      <c r="X2" s="1188"/>
      <c r="Y2" s="1188"/>
      <c r="Z2" s="1188"/>
      <c r="AA2" s="1188"/>
      <c r="AB2" s="1188"/>
      <c r="AC2" s="1189"/>
      <c r="AD2" s="1187" t="e">
        <f>INDEX(PT_DIFFERENTIATION_NTAR,MATCH(A2,PT_DIFFERENTIATION_NTAR_ID,0))</f>
        <v>#N/A</v>
      </c>
      <c r="AE2" s="1188"/>
      <c r="AF2" s="1188"/>
      <c r="AG2" s="1188"/>
      <c r="AH2" s="1188"/>
      <c r="AI2" s="1188"/>
      <c r="AJ2" s="1188"/>
      <c r="AK2" s="1188"/>
      <c r="AL2" s="1188"/>
      <c r="AM2" s="1188"/>
      <c r="AN2" s="1188"/>
      <c r="AO2" s="1188"/>
      <c r="AP2" s="1188"/>
      <c r="AQ2" s="1188"/>
      <c r="AR2" s="1188"/>
      <c r="AS2" s="1188"/>
      <c r="AT2" s="1188"/>
      <c r="AU2" s="1188"/>
      <c r="AV2" s="1188"/>
      <c r="AW2" s="1188"/>
      <c r="AX2" s="1188"/>
      <c r="AY2" s="1188"/>
      <c r="AZ2" s="1188"/>
      <c r="BA2" s="1188"/>
      <c r="BB2" s="1189"/>
      <c r="BC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583" t="str">
        <f t="shared" ref="BF2:BF8" si="0">IF(T2="","",T2)</f>
        <v>Наименование тарифа</v>
      </c>
      <c r="BI2" s="539">
        <v>0</v>
      </c>
    </row>
    <row r="3" spans="5:61" ht="21" hidden="1" customHeight="1">
      <c r="E3" s="1193"/>
      <c r="F3" s="1192">
        <v>1</v>
      </c>
      <c r="Q3" s="880"/>
      <c r="R3" s="838"/>
      <c r="S3" s="833" t="e">
        <f>INDEX(PT_DIFFERENTIATION_NUM_TER,MATCH(B3,PT_DIFFERENTIATION_TER_ID,0))</f>
        <v>#N/A</v>
      </c>
      <c r="T3" s="839" t="s">
        <v>405</v>
      </c>
      <c r="U3" s="834"/>
      <c r="V3" s="1188"/>
      <c r="W3" s="1188"/>
      <c r="X3" s="1188"/>
      <c r="Y3" s="1188"/>
      <c r="Z3" s="1188"/>
      <c r="AA3" s="1188"/>
      <c r="AB3" s="1188"/>
      <c r="AC3" s="1189"/>
      <c r="AD3" s="1187" t="e">
        <f>INDEX(PT_DIFFERENTIATION_TER,MATCH(B3,PT_DIFFERENTIATION_TER_ID,0))</f>
        <v>#N/A</v>
      </c>
      <c r="AE3" s="1188"/>
      <c r="AF3" s="1188"/>
      <c r="AG3" s="1188"/>
      <c r="AH3" s="1188"/>
      <c r="AI3" s="1188"/>
      <c r="AJ3" s="1188"/>
      <c r="AK3" s="1188"/>
      <c r="AL3" s="1188"/>
      <c r="AM3" s="1188"/>
      <c r="AN3" s="1188"/>
      <c r="AO3" s="1188"/>
      <c r="AP3" s="1188"/>
      <c r="AQ3" s="1188"/>
      <c r="AR3" s="1188"/>
      <c r="AS3" s="1188"/>
      <c r="AT3" s="1188"/>
      <c r="AU3" s="1188"/>
      <c r="AV3" s="1188"/>
      <c r="AW3" s="1188"/>
      <c r="AX3" s="1188"/>
      <c r="AY3" s="1188"/>
      <c r="AZ3" s="1188"/>
      <c r="BA3" s="1188"/>
      <c r="BB3" s="1189"/>
      <c r="BC3" s="836" t="s">
        <v>406</v>
      </c>
      <c r="BF3" s="583" t="str">
        <f t="shared" si="0"/>
        <v>Территория действия тарифа</v>
      </c>
      <c r="BI3" s="539">
        <v>0</v>
      </c>
    </row>
    <row r="4" spans="5:61" ht="42" hidden="1" customHeight="1">
      <c r="E4" s="1193"/>
      <c r="F4" s="1193"/>
      <c r="G4" s="1192">
        <v>1</v>
      </c>
      <c r="Q4" s="880"/>
      <c r="R4" s="838"/>
      <c r="S4" s="833" t="e">
        <f>INDEX(PT_DIFFERENTIATION_NUM_CS,MATCH(C4,PT_DIFFERENTIATION_CS_ID,0))</f>
        <v>#N/A</v>
      </c>
      <c r="T4" s="840" t="s">
        <v>489</v>
      </c>
      <c r="U4" s="834"/>
      <c r="V4" s="1188"/>
      <c r="W4" s="1188"/>
      <c r="X4" s="1188"/>
      <c r="Y4" s="1188"/>
      <c r="Z4" s="1188"/>
      <c r="AA4" s="1188"/>
      <c r="AB4" s="1188"/>
      <c r="AC4" s="1189"/>
      <c r="AD4" s="1187" t="e">
        <f>INDEX(PT_DIFFERENTIATION_CS,MATCH(C4,PT_DIFFERENTIATION_CS_ID,0))</f>
        <v>#N/A</v>
      </c>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88"/>
      <c r="BB4" s="1189"/>
      <c r="BC4" s="836" t="s">
        <v>490</v>
      </c>
      <c r="BF4" s="583" t="str">
        <f t="shared" si="0"/>
        <v>Наименование централизованной системы холодного водоснабжения</v>
      </c>
      <c r="BI4" s="539">
        <v>0</v>
      </c>
    </row>
    <row r="5" spans="5:61" ht="14.25" hidden="1" customHeight="1">
      <c r="E5" s="1193"/>
      <c r="F5" s="1193"/>
      <c r="G5" s="1193"/>
      <c r="H5" s="1192">
        <v>1</v>
      </c>
      <c r="Q5" s="909"/>
      <c r="R5" s="845"/>
      <c r="S5" s="636"/>
      <c r="T5" s="910"/>
      <c r="U5" s="861"/>
      <c r="V5" s="1224"/>
      <c r="W5" s="1224"/>
      <c r="X5" s="1224"/>
      <c r="Y5" s="1224"/>
      <c r="Z5" s="1224"/>
      <c r="AA5" s="1224"/>
      <c r="AB5" s="1224"/>
      <c r="AC5" s="1225"/>
      <c r="AD5" s="1223"/>
      <c r="AE5" s="1224"/>
      <c r="AF5" s="1224"/>
      <c r="AG5" s="1224"/>
      <c r="AH5" s="1224"/>
      <c r="AI5" s="1224"/>
      <c r="AJ5" s="1224"/>
      <c r="AK5" s="1224"/>
      <c r="AL5" s="1224"/>
      <c r="AM5" s="1224"/>
      <c r="AN5" s="1224"/>
      <c r="AO5" s="1224"/>
      <c r="AP5" s="1224"/>
      <c r="AQ5" s="1224"/>
      <c r="AR5" s="1224"/>
      <c r="AS5" s="1224"/>
      <c r="AT5" s="1224"/>
      <c r="AU5" s="1224"/>
      <c r="AV5" s="1224"/>
      <c r="AW5" s="1224"/>
      <c r="AX5" s="1224"/>
      <c r="AY5" s="1224"/>
      <c r="AZ5" s="1224"/>
      <c r="BA5" s="1224"/>
      <c r="BB5" s="1225"/>
      <c r="BC5" s="863" t="s">
        <v>410</v>
      </c>
      <c r="BF5" s="583" t="str">
        <f t="shared" si="0"/>
        <v/>
      </c>
      <c r="BI5" s="578">
        <v>0</v>
      </c>
    </row>
    <row r="6" spans="5:61" ht="14.25" hidden="1" customHeight="1">
      <c r="E6" s="1193"/>
      <c r="F6" s="1193"/>
      <c r="G6" s="1193"/>
      <c r="H6" s="1193"/>
      <c r="I6" s="1194" t="str">
        <f>S5&amp;".1"</f>
        <v>.1</v>
      </c>
      <c r="L6" s="864" t="s">
        <v>411</v>
      </c>
      <c r="P6" s="1196">
        <v>1</v>
      </c>
      <c r="R6" s="843"/>
      <c r="S6" s="636"/>
      <c r="T6" s="860"/>
      <c r="U6" s="861"/>
      <c r="V6" s="1224"/>
      <c r="W6" s="1224"/>
      <c r="X6" s="1224"/>
      <c r="Y6" s="1224"/>
      <c r="Z6" s="1224"/>
      <c r="AA6" s="1224"/>
      <c r="AB6" s="1224"/>
      <c r="AC6" s="1225"/>
      <c r="AD6" s="1223"/>
      <c r="AE6" s="1224"/>
      <c r="AF6" s="1224"/>
      <c r="AG6" s="1224"/>
      <c r="AH6" s="1224"/>
      <c r="AI6" s="1224"/>
      <c r="AJ6" s="1224"/>
      <c r="AK6" s="1224"/>
      <c r="AL6" s="1224"/>
      <c r="AM6" s="1224"/>
      <c r="AN6" s="1224"/>
      <c r="AO6" s="1224"/>
      <c r="AP6" s="1224"/>
      <c r="AQ6" s="1224"/>
      <c r="AR6" s="1224"/>
      <c r="AS6" s="1224"/>
      <c r="AT6" s="1224"/>
      <c r="AU6" s="1224"/>
      <c r="AV6" s="1224"/>
      <c r="AW6" s="1224"/>
      <c r="AX6" s="1224"/>
      <c r="AY6" s="1224"/>
      <c r="AZ6" s="1224"/>
      <c r="BA6" s="1224"/>
      <c r="BB6" s="1225"/>
      <c r="BC6" s="863"/>
      <c r="BF6" s="583" t="str">
        <f t="shared" si="0"/>
        <v/>
      </c>
      <c r="BI6" s="578">
        <v>0</v>
      </c>
    </row>
    <row r="7" spans="5:61" ht="14.25" hidden="1" customHeight="1">
      <c r="E7" s="1193"/>
      <c r="F7" s="1193"/>
      <c r="G7" s="1193"/>
      <c r="H7" s="1193"/>
      <c r="I7" s="1195"/>
      <c r="J7" s="1194" t="str">
        <f>S5&amp;".1"</f>
        <v>.1</v>
      </c>
      <c r="P7" s="1038"/>
      <c r="Q7" s="1196">
        <v>1</v>
      </c>
      <c r="R7" s="845"/>
      <c r="S7" s="636"/>
      <c r="T7" s="881"/>
      <c r="U7" s="861"/>
      <c r="V7" s="1224"/>
      <c r="W7" s="1224"/>
      <c r="X7" s="1224"/>
      <c r="Y7" s="1224"/>
      <c r="Z7" s="1224"/>
      <c r="AA7" s="1224"/>
      <c r="AB7" s="1224"/>
      <c r="AC7" s="1225"/>
      <c r="AD7" s="1223"/>
      <c r="AE7" s="1224"/>
      <c r="AF7" s="1224"/>
      <c r="AG7" s="1224"/>
      <c r="AH7" s="1224"/>
      <c r="AI7" s="1224"/>
      <c r="AJ7" s="1224"/>
      <c r="AK7" s="1224"/>
      <c r="AL7" s="1224"/>
      <c r="AM7" s="1224"/>
      <c r="AN7" s="1224"/>
      <c r="AO7" s="1224"/>
      <c r="AP7" s="1224"/>
      <c r="AQ7" s="1224"/>
      <c r="AR7" s="1224"/>
      <c r="AS7" s="1224"/>
      <c r="AT7" s="1224"/>
      <c r="AU7" s="1224"/>
      <c r="AV7" s="1224"/>
      <c r="AW7" s="1224"/>
      <c r="AX7" s="1224"/>
      <c r="AY7" s="1224"/>
      <c r="AZ7" s="1224"/>
      <c r="BA7" s="1224"/>
      <c r="BB7" s="1225"/>
      <c r="BC7" s="863"/>
      <c r="BF7" s="583" t="str">
        <f t="shared" si="0"/>
        <v/>
      </c>
      <c r="BI7" s="578">
        <v>0</v>
      </c>
    </row>
    <row r="8" spans="5:61" ht="11.25" hidden="1" customHeight="1">
      <c r="E8" s="1193"/>
      <c r="F8" s="1193"/>
      <c r="G8" s="1193"/>
      <c r="H8" s="1193"/>
      <c r="I8" s="1195"/>
      <c r="J8" s="1195"/>
      <c r="K8" s="1194" t="e">
        <f>S4&amp;".1"</f>
        <v>#N/A</v>
      </c>
      <c r="P8" s="1038"/>
      <c r="Q8" s="1038"/>
      <c r="R8" s="1252">
        <v>1</v>
      </c>
      <c r="S8" s="1249" t="e">
        <f>$K8</f>
        <v>#N/A</v>
      </c>
      <c r="T8" s="1269"/>
      <c r="U8" s="834"/>
      <c r="V8" s="312"/>
      <c r="W8" s="314"/>
      <c r="X8" s="312"/>
      <c r="Y8" s="314"/>
      <c r="Z8" s="203"/>
      <c r="AA8" s="56" t="s">
        <v>61</v>
      </c>
      <c r="AB8" s="203"/>
      <c r="AC8" s="56" t="s">
        <v>61</v>
      </c>
      <c r="AD8" s="1141" t="s">
        <v>61</v>
      </c>
      <c r="AE8" s="1245"/>
      <c r="AF8" s="1151">
        <v>1</v>
      </c>
      <c r="AG8" s="1268"/>
      <c r="AH8" s="1079" t="s">
        <v>61</v>
      </c>
      <c r="AI8" s="1245"/>
      <c r="AJ8" s="1151">
        <v>1</v>
      </c>
      <c r="AK8" s="1259" t="s">
        <v>22</v>
      </c>
      <c r="AL8" s="1079" t="s">
        <v>61</v>
      </c>
      <c r="AM8" s="1129"/>
      <c r="AN8" s="1151">
        <v>1</v>
      </c>
      <c r="AO8" s="1272"/>
      <c r="AP8" s="1273" t="s">
        <v>61</v>
      </c>
      <c r="AQ8" s="883"/>
      <c r="AR8" s="92">
        <v>1</v>
      </c>
      <c r="AS8" s="14" t="s">
        <v>22</v>
      </c>
      <c r="AT8" s="312"/>
      <c r="AU8" s="314"/>
      <c r="AV8" s="312"/>
      <c r="AW8" s="314"/>
      <c r="AX8" s="203"/>
      <c r="AY8" s="56" t="s">
        <v>61</v>
      </c>
      <c r="AZ8" s="203"/>
      <c r="BA8" s="56" t="s">
        <v>61</v>
      </c>
      <c r="BB8" s="332"/>
      <c r="BC8" s="1215" t="s">
        <v>509</v>
      </c>
      <c r="BF8" s="583" t="str">
        <f t="shared" si="0"/>
        <v/>
      </c>
      <c r="BI8" s="539">
        <v>0</v>
      </c>
    </row>
    <row r="9" spans="5:61" ht="11.25" hidden="1" customHeight="1">
      <c r="E9" s="1193"/>
      <c r="F9" s="1193"/>
      <c r="G9" s="1193"/>
      <c r="H9" s="1193"/>
      <c r="I9" s="1195"/>
      <c r="J9" s="1195"/>
      <c r="K9" s="1194"/>
      <c r="P9" s="1038"/>
      <c r="Q9" s="1038"/>
      <c r="R9" s="1252"/>
      <c r="S9" s="1250"/>
      <c r="T9" s="1270"/>
      <c r="U9" s="834"/>
      <c r="V9" s="345"/>
      <c r="W9" s="352"/>
      <c r="X9" s="345"/>
      <c r="Y9" s="352"/>
      <c r="Z9" s="345"/>
      <c r="AA9" s="345"/>
      <c r="AB9" s="345"/>
      <c r="AC9" s="345"/>
      <c r="AD9" s="1142"/>
      <c r="AE9" s="1245"/>
      <c r="AF9" s="1151"/>
      <c r="AG9" s="1268"/>
      <c r="AH9" s="1079"/>
      <c r="AI9" s="1245"/>
      <c r="AJ9" s="1151"/>
      <c r="AK9" s="1259"/>
      <c r="AL9" s="1079"/>
      <c r="AM9" s="1134"/>
      <c r="AN9" s="1151"/>
      <c r="AO9" s="1272"/>
      <c r="AP9" s="1274"/>
      <c r="AQ9" s="265"/>
      <c r="AR9" s="49"/>
      <c r="AS9" s="49" t="s">
        <v>510</v>
      </c>
      <c r="AT9" s="345"/>
      <c r="AU9" s="352"/>
      <c r="AV9" s="345"/>
      <c r="AW9" s="352"/>
      <c r="AX9" s="345"/>
      <c r="AY9" s="345"/>
      <c r="AZ9" s="345"/>
      <c r="BA9" s="345"/>
      <c r="BB9" s="351"/>
      <c r="BC9" s="1216"/>
      <c r="BI9" s="539">
        <v>0</v>
      </c>
    </row>
    <row r="10" spans="5:61" ht="11.25" hidden="1" customHeight="1">
      <c r="E10" s="1193"/>
      <c r="F10" s="1193"/>
      <c r="G10" s="1193"/>
      <c r="H10" s="1193"/>
      <c r="I10" s="1195"/>
      <c r="J10" s="1195"/>
      <c r="K10" s="1194"/>
      <c r="P10" s="1038"/>
      <c r="Q10" s="1038"/>
      <c r="R10" s="1252"/>
      <c r="S10" s="1250"/>
      <c r="T10" s="1270"/>
      <c r="U10" s="834"/>
      <c r="V10" s="345"/>
      <c r="W10" s="352"/>
      <c r="X10" s="345"/>
      <c r="Y10" s="352"/>
      <c r="Z10" s="345"/>
      <c r="AA10" s="345"/>
      <c r="AB10" s="345"/>
      <c r="AC10" s="345"/>
      <c r="AD10" s="1142"/>
      <c r="AE10" s="1245"/>
      <c r="AF10" s="1151"/>
      <c r="AG10" s="1268"/>
      <c r="AH10" s="1079"/>
      <c r="AI10" s="1245"/>
      <c r="AJ10" s="1151"/>
      <c r="AK10" s="1259"/>
      <c r="AL10" s="1079"/>
      <c r="AM10" s="265"/>
      <c r="AN10" s="304"/>
      <c r="AO10" s="304" t="s">
        <v>511</v>
      </c>
      <c r="AP10" s="49"/>
      <c r="AQ10" s="49"/>
      <c r="AR10" s="49"/>
      <c r="AS10" s="345"/>
      <c r="AT10" s="345"/>
      <c r="AU10" s="352"/>
      <c r="AV10" s="345"/>
      <c r="AW10" s="352"/>
      <c r="AX10" s="345"/>
      <c r="AY10" s="345"/>
      <c r="AZ10" s="345"/>
      <c r="BA10" s="345"/>
      <c r="BB10" s="351"/>
      <c r="BC10" s="1216"/>
      <c r="BI10" s="539">
        <v>0</v>
      </c>
    </row>
    <row r="11" spans="5:61" ht="11.25" hidden="1" customHeight="1">
      <c r="E11" s="1193"/>
      <c r="F11" s="1193"/>
      <c r="G11" s="1193"/>
      <c r="H11" s="1193"/>
      <c r="I11" s="1195"/>
      <c r="J11" s="1195"/>
      <c r="K11" s="1194"/>
      <c r="P11" s="1038"/>
      <c r="Q11" s="1038"/>
      <c r="R11" s="1252"/>
      <c r="S11" s="1250"/>
      <c r="T11" s="1270"/>
      <c r="U11" s="834"/>
      <c r="V11" s="345"/>
      <c r="W11" s="352"/>
      <c r="X11" s="345"/>
      <c r="Y11" s="352"/>
      <c r="Z11" s="345"/>
      <c r="AA11" s="345"/>
      <c r="AB11" s="345"/>
      <c r="AC11" s="345"/>
      <c r="AD11" s="1142"/>
      <c r="AE11" s="1245"/>
      <c r="AF11" s="1151"/>
      <c r="AG11" s="1268"/>
      <c r="AH11" s="1079"/>
      <c r="AI11" s="354"/>
      <c r="AJ11" s="44"/>
      <c r="AK11" s="120" t="s">
        <v>512</v>
      </c>
      <c r="AL11" s="345"/>
      <c r="AM11" s="345"/>
      <c r="AN11" s="345"/>
      <c r="AO11" s="345"/>
      <c r="AP11" s="345"/>
      <c r="AQ11" s="345"/>
      <c r="AR11" s="345"/>
      <c r="AS11" s="345"/>
      <c r="AT11" s="345"/>
      <c r="AU11" s="352"/>
      <c r="AV11" s="345"/>
      <c r="AW11" s="352"/>
      <c r="AX11" s="345"/>
      <c r="AY11" s="345"/>
      <c r="AZ11" s="345"/>
      <c r="BA11" s="345"/>
      <c r="BB11" s="351"/>
      <c r="BC11" s="1216"/>
      <c r="BI11" s="539">
        <v>0</v>
      </c>
    </row>
    <row r="12" spans="5:61" ht="11.25" hidden="1" customHeight="1">
      <c r="E12" s="1193"/>
      <c r="F12" s="1193"/>
      <c r="G12" s="1193"/>
      <c r="H12" s="1193"/>
      <c r="I12" s="1195"/>
      <c r="J12" s="1195"/>
      <c r="K12" s="1194"/>
      <c r="P12" s="1038"/>
      <c r="Q12" s="1038"/>
      <c r="R12" s="1252"/>
      <c r="S12" s="1251"/>
      <c r="T12" s="1271"/>
      <c r="U12" s="834"/>
      <c r="V12" s="345"/>
      <c r="W12" s="346" t="str">
        <f>Z8&amp;"-"&amp;AB8</f>
        <v>-</v>
      </c>
      <c r="X12" s="345"/>
      <c r="Y12" s="346" t="str">
        <f>AB8&amp;"-"&amp;AD8</f>
        <v>-да</v>
      </c>
      <c r="Z12" s="345"/>
      <c r="AA12" s="345"/>
      <c r="AB12" s="345"/>
      <c r="AC12" s="345"/>
      <c r="AD12" s="1085"/>
      <c r="AE12" s="356"/>
      <c r="AF12" s="357"/>
      <c r="AG12" s="49" t="s">
        <v>513</v>
      </c>
      <c r="AH12" s="345"/>
      <c r="AI12" s="345"/>
      <c r="AJ12" s="345"/>
      <c r="AK12" s="345"/>
      <c r="AL12" s="345"/>
      <c r="AM12" s="345"/>
      <c r="AN12" s="345"/>
      <c r="AO12" s="345"/>
      <c r="AP12" s="345"/>
      <c r="AQ12" s="345"/>
      <c r="AR12" s="345"/>
      <c r="AS12" s="345"/>
      <c r="AT12" s="345"/>
      <c r="AU12" s="346" t="str">
        <f>AX8&amp;"-"&amp;AZ8</f>
        <v>-</v>
      </c>
      <c r="AV12" s="345"/>
      <c r="AW12" s="346" t="str">
        <f>AZ8&amp;"-"&amp;BB8</f>
        <v>-</v>
      </c>
      <c r="AX12" s="345"/>
      <c r="AY12" s="345"/>
      <c r="AZ12" s="345"/>
      <c r="BA12" s="345"/>
      <c r="BB12" s="355" t="str">
        <f>BE8&amp;"-"&amp;BG8</f>
        <v>-</v>
      </c>
      <c r="BC12" s="1216"/>
      <c r="BF12" s="583" t="str">
        <f t="shared" ref="BF12:BF18" si="1">IF(T12="","",T12)</f>
        <v/>
      </c>
      <c r="BI12" s="539">
        <v>0</v>
      </c>
    </row>
    <row r="13" spans="5:61" ht="11.25" hidden="1" customHeight="1">
      <c r="E13" s="1193"/>
      <c r="F13" s="1193"/>
      <c r="G13" s="1193"/>
      <c r="H13" s="1193"/>
      <c r="I13" s="1195"/>
      <c r="J13" s="1194"/>
      <c r="P13" s="1038"/>
      <c r="Q13" s="1038"/>
      <c r="R13" s="843"/>
      <c r="S13" s="316"/>
      <c r="T13" s="319" t="s">
        <v>476</v>
      </c>
      <c r="U13" s="52"/>
      <c r="V13" s="52"/>
      <c r="W13" s="52"/>
      <c r="X13" s="52"/>
      <c r="Y13" s="52"/>
      <c r="Z13" s="52"/>
      <c r="AA13" s="52"/>
      <c r="AB13" s="52"/>
      <c r="AC13" s="52"/>
      <c r="AD13" s="36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318"/>
      <c r="BC13" s="1217"/>
      <c r="BF13" s="583" t="str">
        <f t="shared" si="1"/>
        <v>Добавить строку</v>
      </c>
      <c r="BI13" s="539">
        <v>0</v>
      </c>
    </row>
    <row r="14" spans="5:61" ht="14.25" hidden="1" customHeight="1">
      <c r="E14" s="1193"/>
      <c r="F14" s="1193"/>
      <c r="G14" s="1193"/>
      <c r="H14" s="1193"/>
      <c r="I14" s="1194"/>
      <c r="P14" s="1038"/>
      <c r="R14" s="843"/>
      <c r="S14" s="335"/>
      <c r="T14" s="336"/>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8"/>
      <c r="BF14" s="583" t="str">
        <f t="shared" si="1"/>
        <v/>
      </c>
      <c r="BI14" s="578">
        <v>0</v>
      </c>
    </row>
    <row r="15" spans="5:61" ht="14.25" hidden="1" customHeight="1">
      <c r="E15" s="1193"/>
      <c r="F15" s="1193"/>
      <c r="G15" s="1193"/>
      <c r="H15" s="1192"/>
      <c r="R15" s="358"/>
      <c r="S15" s="335"/>
      <c r="T15" s="33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8"/>
      <c r="BF15" s="583" t="str">
        <f t="shared" si="1"/>
        <v/>
      </c>
      <c r="BI15" s="578">
        <v>0</v>
      </c>
    </row>
    <row r="16" spans="5:61" ht="14.25" hidden="1" customHeight="1">
      <c r="E16" s="1193"/>
      <c r="F16" s="1193"/>
      <c r="G16" s="1192"/>
      <c r="BF16" s="583" t="str">
        <f t="shared" si="1"/>
        <v/>
      </c>
      <c r="BI16" s="578">
        <v>0</v>
      </c>
    </row>
    <row r="17" spans="5:61" ht="14.25" hidden="1" customHeight="1">
      <c r="E17" s="1193"/>
      <c r="F17" s="1192"/>
      <c r="T17" s="327" t="s">
        <v>423</v>
      </c>
      <c r="BF17" s="583" t="str">
        <f t="shared" si="1"/>
        <v>Добавить централизованную систему для дифференциации</v>
      </c>
      <c r="BI17" s="578">
        <v>0</v>
      </c>
    </row>
    <row r="18" spans="5:61" ht="14.25" hidden="1" customHeight="1">
      <c r="E18" s="1192"/>
      <c r="T18" s="327" t="s">
        <v>424</v>
      </c>
      <c r="BF18" s="583" t="str">
        <f t="shared" si="1"/>
        <v>Добавить территорию для дифференциации</v>
      </c>
      <c r="BI18" s="578">
        <v>0</v>
      </c>
    </row>
    <row r="19" spans="5:61" ht="14.25" hidden="1" customHeight="1">
      <c r="BI19" s="539">
        <v>0</v>
      </c>
    </row>
    <row r="20" spans="5:61" ht="14.25" hidden="1" customHeight="1">
      <c r="AD20" s="359" t="s">
        <v>19</v>
      </c>
      <c r="AF20" s="359">
        <v>1</v>
      </c>
      <c r="AH20" s="359" t="s">
        <v>19</v>
      </c>
      <c r="AJ20" s="359">
        <v>1</v>
      </c>
      <c r="AL20" s="359" t="s">
        <v>19</v>
      </c>
      <c r="AN20" s="359">
        <v>1</v>
      </c>
      <c r="AP20" s="359" t="s">
        <v>19</v>
      </c>
      <c r="AR20" s="359">
        <v>1</v>
      </c>
      <c r="AT20" s="313"/>
      <c r="AU20" s="334"/>
      <c r="AV20" s="313"/>
      <c r="AW20" s="334"/>
      <c r="AX20" s="361"/>
      <c r="AY20" s="286" t="s">
        <v>61</v>
      </c>
      <c r="AZ20" s="361"/>
      <c r="BA20" s="286" t="s">
        <v>61</v>
      </c>
      <c r="BI20" s="539">
        <v>0</v>
      </c>
    </row>
    <row r="21" spans="5:61" ht="14.25" hidden="1" customHeight="1">
      <c r="BI21" s="539">
        <v>0</v>
      </c>
    </row>
    <row r="22" spans="5:61" ht="14.25" hidden="1" customHeight="1">
      <c r="O22" s="329" t="s">
        <v>425</v>
      </c>
      <c r="Z22" s="349"/>
      <c r="AB22" s="349"/>
      <c r="AX22" s="349"/>
      <c r="AZ22" s="349"/>
      <c r="BI22" s="539">
        <v>0</v>
      </c>
    </row>
    <row r="23" spans="5:61" ht="14.25" hidden="1" customHeight="1">
      <c r="BI23" s="539">
        <v>0</v>
      </c>
    </row>
    <row r="24" spans="5:61" ht="14.25" hidden="1" customHeight="1">
      <c r="O24" s="885" t="s">
        <v>426</v>
      </c>
      <c r="AA24" s="885" t="s">
        <v>428</v>
      </c>
      <c r="AC24" s="885" t="s">
        <v>429</v>
      </c>
      <c r="AD24" s="885" t="s">
        <v>477</v>
      </c>
      <c r="AH24" s="885" t="s">
        <v>477</v>
      </c>
      <c r="AK24" s="885" t="s">
        <v>514</v>
      </c>
      <c r="AL24" s="885" t="s">
        <v>477</v>
      </c>
      <c r="AP24" s="885" t="s">
        <v>477</v>
      </c>
      <c r="AY24" s="885" t="s">
        <v>428</v>
      </c>
      <c r="BA24" s="885" t="s">
        <v>429</v>
      </c>
      <c r="BI24" s="885">
        <v>0</v>
      </c>
    </row>
    <row r="25" spans="5:61" ht="14.25" hidden="1" customHeight="1">
      <c r="BI25" s="539">
        <v>0</v>
      </c>
    </row>
    <row r="26" spans="5:61" ht="14.25" hidden="1" customHeight="1">
      <c r="BI26" s="539">
        <v>0</v>
      </c>
    </row>
    <row r="27" spans="5:61" ht="14.65" customHeight="1">
      <c r="Q27" s="886"/>
      <c r="R27" s="757"/>
      <c r="S27" s="848"/>
      <c r="T27" s="557"/>
      <c r="U27" s="557"/>
      <c r="BI27" s="539">
        <v>14</v>
      </c>
    </row>
    <row r="28" spans="5:61" ht="14.65" customHeight="1">
      <c r="Q28" s="886"/>
      <c r="R28" s="757"/>
      <c r="S28" s="11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174"/>
      <c r="AS28" s="1174"/>
      <c r="AT28" s="1174"/>
      <c r="AU28" s="1174"/>
      <c r="AV28" s="1174"/>
      <c r="AW28" s="1174"/>
      <c r="AX28" s="1174"/>
      <c r="AY28" s="1174"/>
      <c r="AZ28" s="1174"/>
      <c r="BI28" s="539">
        <v>14</v>
      </c>
    </row>
    <row r="29" spans="5:61" ht="14.65" customHeight="1">
      <c r="Q29" s="886"/>
      <c r="R29" s="757"/>
      <c r="S29" s="1148" t="str">
        <f>IF(org=0,"Не определено",org)</f>
        <v>АО "НИЖЕГОРОДСКИЙ ВОДОКАНАЛ"</v>
      </c>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I29" s="539">
        <v>14</v>
      </c>
    </row>
    <row r="30" spans="5:61" ht="14.25" hidden="1" customHeight="1">
      <c r="Q30" s="886"/>
      <c r="R30" s="757"/>
      <c r="S30" s="848"/>
      <c r="T30" s="557"/>
      <c r="U30" s="55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I30" s="539">
        <v>0</v>
      </c>
    </row>
    <row r="31" spans="5:61" ht="25.5" hidden="1" customHeight="1">
      <c r="S31" s="1184" t="s">
        <v>41</v>
      </c>
      <c r="T31" s="1184"/>
      <c r="U31" s="850"/>
      <c r="V31" s="1186" t="str">
        <f>IF(TITLE_NAME_OR_PR_CHANGE="",IF(TITLE_NAME_OR_PR="","",TITLE_NAME_OR_PR),TITLE_NAME_OR_PR_CHANGE)</f>
        <v/>
      </c>
      <c r="W31" s="1186"/>
      <c r="X31" s="1186"/>
      <c r="Y31" s="1186"/>
      <c r="Z31" s="1186"/>
      <c r="AA31" s="1186"/>
      <c r="AB31" s="1186"/>
      <c r="AD31" s="1186" t="str">
        <f>IF(TITLE_NAME_OR_PR_CHANGE="",IF(TITLE_NAME_OR_PR="","",TITLE_NAME_OR_PR),TITLE_NAME_OR_PR_CHANGE)</f>
        <v/>
      </c>
      <c r="AE31" s="1186"/>
      <c r="AF31" s="1186"/>
      <c r="AG31" s="1186"/>
      <c r="AH31" s="1186"/>
      <c r="AI31" s="1186"/>
      <c r="AJ31" s="1186"/>
      <c r="AK31" s="1186"/>
      <c r="AL31" s="1186"/>
      <c r="AM31" s="1186"/>
      <c r="AN31" s="1186"/>
      <c r="AO31" s="1186"/>
      <c r="AP31" s="1186"/>
      <c r="AQ31" s="1186"/>
      <c r="AR31" s="1186"/>
      <c r="AS31" s="1186"/>
      <c r="AT31" s="1186"/>
      <c r="AU31" s="1186"/>
      <c r="AV31" s="1186"/>
      <c r="AW31" s="1186"/>
      <c r="AX31" s="1186"/>
      <c r="AY31" s="1186"/>
      <c r="AZ31" s="1186"/>
      <c r="BI31" s="593">
        <v>0</v>
      </c>
    </row>
    <row r="32" spans="5:61" ht="18.75" hidden="1" customHeight="1">
      <c r="S32" s="1184" t="s">
        <v>431</v>
      </c>
      <c r="T32" s="1184"/>
      <c r="U32" s="850"/>
      <c r="V32" s="1185" t="str">
        <f>IF(TITLE_DATE_PR_CHANGE="",IF(TITLE_DATE_PR="","",TITLE_DATE_PR),TITLE_DATE_PR_CHANGE)</f>
        <v/>
      </c>
      <c r="W32" s="1185"/>
      <c r="X32" s="1185"/>
      <c r="Y32" s="1185"/>
      <c r="Z32" s="1185"/>
      <c r="AA32" s="1185"/>
      <c r="AB32" s="1185"/>
      <c r="AD32" s="1185" t="str">
        <f>IF(TITLE_DATE_PR_CHANGE="",IF(TITLE_DATE_PR="","",TITLE_DATE_PR),TITLE_DATE_PR_CHANGE)</f>
        <v/>
      </c>
      <c r="AE32" s="1185"/>
      <c r="AF32" s="1185"/>
      <c r="AG32" s="1185"/>
      <c r="AH32" s="1185"/>
      <c r="AI32" s="1185"/>
      <c r="AJ32" s="1185"/>
      <c r="AK32" s="1185"/>
      <c r="AL32" s="1185"/>
      <c r="AM32" s="1185"/>
      <c r="AN32" s="1185"/>
      <c r="AO32" s="1185"/>
      <c r="AP32" s="1185"/>
      <c r="AQ32" s="1185"/>
      <c r="AR32" s="1185"/>
      <c r="AS32" s="1185"/>
      <c r="AT32" s="1185"/>
      <c r="AU32" s="1185"/>
      <c r="AV32" s="1185"/>
      <c r="AW32" s="1185"/>
      <c r="AX32" s="1185"/>
      <c r="AY32" s="1185"/>
      <c r="AZ32" s="1185"/>
      <c r="BI32" s="593">
        <v>0</v>
      </c>
    </row>
    <row r="33" spans="1:61" ht="18.75" hidden="1" customHeight="1">
      <c r="S33" s="1184" t="s">
        <v>432</v>
      </c>
      <c r="T33" s="1184"/>
      <c r="U33" s="850"/>
      <c r="V33" s="1186" t="str">
        <f>IF(TITLE_NUMBER_PR_CHANGE="",IF(TITLE_NUMBER_PR="","",TITLE_NUMBER_PR),TITLE_NUMBER_PR_CHANGE)</f>
        <v/>
      </c>
      <c r="W33" s="1186"/>
      <c r="X33" s="1186"/>
      <c r="Y33" s="1186"/>
      <c r="Z33" s="1186"/>
      <c r="AA33" s="1186"/>
      <c r="AB33" s="1186"/>
      <c r="AD33" s="1186" t="str">
        <f>IF(TITLE_NUMBER_PR_CHANGE="",IF(TITLE_NUMBER_PR="","",TITLE_NUMBER_PR),TITLE_NUMBER_PR_CHANGE)</f>
        <v/>
      </c>
      <c r="AE33" s="1186"/>
      <c r="AF33" s="1186"/>
      <c r="AG33" s="1186"/>
      <c r="AH33" s="1186"/>
      <c r="AI33" s="1186"/>
      <c r="AJ33" s="1186"/>
      <c r="AK33" s="1186"/>
      <c r="AL33" s="1186"/>
      <c r="AM33" s="1186"/>
      <c r="AN33" s="1186"/>
      <c r="AO33" s="1186"/>
      <c r="AP33" s="1186"/>
      <c r="AQ33" s="1186"/>
      <c r="AR33" s="1186"/>
      <c r="AS33" s="1186"/>
      <c r="AT33" s="1186"/>
      <c r="AU33" s="1186"/>
      <c r="AV33" s="1186"/>
      <c r="AW33" s="1186"/>
      <c r="AX33" s="1186"/>
      <c r="AY33" s="1186"/>
      <c r="AZ33" s="1186"/>
      <c r="BI33" s="593">
        <v>0</v>
      </c>
    </row>
    <row r="34" spans="1:61" ht="18.75" hidden="1" customHeight="1">
      <c r="S34" s="1184" t="s">
        <v>42</v>
      </c>
      <c r="T34" s="1184"/>
      <c r="U34" s="850"/>
      <c r="V34" s="1186" t="str">
        <f>IF(TITLE_IST_PUB_CHANGE="",IF(TITLE_IST_PUB="","",TITLE_IST_PUB),TITLE_IST_PUB_CHANGE)</f>
        <v/>
      </c>
      <c r="W34" s="1186"/>
      <c r="X34" s="1186"/>
      <c r="Y34" s="1186"/>
      <c r="Z34" s="1186"/>
      <c r="AA34" s="1186"/>
      <c r="AB34" s="1186"/>
      <c r="AD34" s="1186" t="str">
        <f>IF(TITLE_IST_PUB_CHANGE="",IF(TITLE_IST_PUB="","",TITLE_IST_PUB),TITLE_IST_PUB_CHANGE)</f>
        <v/>
      </c>
      <c r="AE34" s="1186"/>
      <c r="AF34" s="1186"/>
      <c r="AG34" s="1186"/>
      <c r="AH34" s="1186"/>
      <c r="AI34" s="1186"/>
      <c r="AJ34" s="1186"/>
      <c r="AK34" s="1186"/>
      <c r="AL34" s="1186"/>
      <c r="AM34" s="1186"/>
      <c r="AN34" s="1186"/>
      <c r="AO34" s="1186"/>
      <c r="AP34" s="1186"/>
      <c r="AQ34" s="1186"/>
      <c r="AR34" s="1186"/>
      <c r="AS34" s="1186"/>
      <c r="AT34" s="1186"/>
      <c r="AU34" s="1186"/>
      <c r="AV34" s="1186"/>
      <c r="AW34" s="1186"/>
      <c r="AX34" s="1186"/>
      <c r="AY34" s="1186"/>
      <c r="AZ34" s="1186"/>
      <c r="BI34" s="593">
        <v>0</v>
      </c>
    </row>
    <row r="35" spans="1:61" ht="14.25" hidden="1" customHeight="1">
      <c r="Q35" s="886"/>
      <c r="R35" s="757"/>
      <c r="S35" s="848"/>
      <c r="T35" s="557"/>
      <c r="U35" s="55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I35" s="539">
        <v>0</v>
      </c>
    </row>
    <row r="36" spans="1:61" ht="18.75" hidden="1" customHeight="1">
      <c r="S36" s="1184" t="s">
        <v>431</v>
      </c>
      <c r="T36" s="1184"/>
      <c r="U36" s="850"/>
      <c r="V36" s="1185" t="str">
        <f>IF(TITLE_DATE_PR_CHANGE="",IF(TITLE_DATE_PR="","",TITLE_DATE_PR),TITLE_DATE_PR_CHANGE)</f>
        <v/>
      </c>
      <c r="W36" s="1185"/>
      <c r="X36" s="1185"/>
      <c r="Y36" s="1185"/>
      <c r="Z36" s="1185"/>
      <c r="AA36" s="1185"/>
      <c r="AB36" s="1185"/>
      <c r="AD36" s="1185" t="str">
        <f>IF(TITLE_DATE_PR_CHANGE="",IF(TITLE_DATE_PR="","",TITLE_DATE_PR),TITLE_DATE_PR_CHANGE)</f>
        <v/>
      </c>
      <c r="AE36" s="1185"/>
      <c r="AF36" s="1185"/>
      <c r="AG36" s="1185"/>
      <c r="AH36" s="1185"/>
      <c r="AI36" s="1185"/>
      <c r="AJ36" s="1185"/>
      <c r="AK36" s="1185"/>
      <c r="AL36" s="1185"/>
      <c r="AM36" s="1185"/>
      <c r="AN36" s="1185"/>
      <c r="AO36" s="1185"/>
      <c r="AP36" s="1185"/>
      <c r="AQ36" s="1185"/>
      <c r="AR36" s="1185"/>
      <c r="AS36" s="1185"/>
      <c r="AT36" s="1185"/>
      <c r="AU36" s="1185"/>
      <c r="AV36" s="1185"/>
      <c r="AW36" s="1185"/>
      <c r="AX36" s="1185"/>
      <c r="AY36" s="1185"/>
      <c r="AZ36" s="1185"/>
      <c r="BI36" s="593">
        <v>0</v>
      </c>
    </row>
    <row r="37" spans="1:61" ht="18.75" hidden="1" customHeight="1">
      <c r="S37" s="1184" t="s">
        <v>432</v>
      </c>
      <c r="T37" s="1184"/>
      <c r="U37" s="850"/>
      <c r="V37" s="1186" t="str">
        <f>IF(TITLE_NUMBER_PR_CHANGE="",IF(TITLE_NUMBER_PR="","",TITLE_NUMBER_PR),TITLE_NUMBER_PR_CHANGE)</f>
        <v/>
      </c>
      <c r="W37" s="1186"/>
      <c r="X37" s="1186"/>
      <c r="Y37" s="1186"/>
      <c r="Z37" s="1186"/>
      <c r="AA37" s="1186"/>
      <c r="AB37" s="1186"/>
      <c r="AD37" s="1186" t="str">
        <f>IF(TITLE_NUMBER_PR_CHANGE="",IF(TITLE_NUMBER_PR="","",TITLE_NUMBER_PR),TITLE_NUMBER_PR_CHANGE)</f>
        <v/>
      </c>
      <c r="AE37" s="1186"/>
      <c r="AF37" s="1186"/>
      <c r="AG37" s="1186"/>
      <c r="AH37" s="1186"/>
      <c r="AI37" s="1186"/>
      <c r="AJ37" s="1186"/>
      <c r="AK37" s="1186"/>
      <c r="AL37" s="1186"/>
      <c r="AM37" s="1186"/>
      <c r="AN37" s="1186"/>
      <c r="AO37" s="1186"/>
      <c r="AP37" s="1186"/>
      <c r="AQ37" s="1186"/>
      <c r="AR37" s="1186"/>
      <c r="AS37" s="1186"/>
      <c r="AT37" s="1186"/>
      <c r="AU37" s="1186"/>
      <c r="AV37" s="1186"/>
      <c r="AW37" s="1186"/>
      <c r="AX37" s="1186"/>
      <c r="AY37" s="1186"/>
      <c r="AZ37" s="1186"/>
      <c r="BI37" s="593">
        <v>0</v>
      </c>
    </row>
    <row r="38" spans="1:61" ht="0" hidden="1" customHeight="1">
      <c r="AC38" s="578" t="s">
        <v>435</v>
      </c>
      <c r="BA38" s="578" t="s">
        <v>435</v>
      </c>
      <c r="BI38" s="593">
        <v>0</v>
      </c>
    </row>
    <row r="39" spans="1:61" ht="14.65" customHeight="1">
      <c r="Q39" s="886"/>
      <c r="R39" s="757"/>
      <c r="S39" s="848"/>
      <c r="T39" s="557"/>
      <c r="U39" s="851"/>
      <c r="V39" s="1204"/>
      <c r="W39" s="1204"/>
      <c r="X39" s="1204"/>
      <c r="Y39" s="1204"/>
      <c r="Z39" s="1204"/>
      <c r="AA39" s="1204"/>
      <c r="AB39" s="1204"/>
      <c r="AC39" s="1204"/>
      <c r="AD39" s="1204"/>
      <c r="AE39" s="1204"/>
      <c r="AF39" s="1204"/>
      <c r="AG39" s="1204"/>
      <c r="AH39" s="1204"/>
      <c r="AI39" s="1204"/>
      <c r="AJ39" s="1204"/>
      <c r="AK39" s="1204"/>
      <c r="AL39" s="1204"/>
      <c r="AM39" s="1204"/>
      <c r="AN39" s="1204"/>
      <c r="AO39" s="1204"/>
      <c r="AP39" s="1204"/>
      <c r="AQ39" s="1204"/>
      <c r="AR39" s="1204"/>
      <c r="AS39" s="1204"/>
      <c r="AT39" s="1204"/>
      <c r="AU39" s="1204"/>
      <c r="AV39" s="1204"/>
      <c r="AW39" s="1204"/>
      <c r="AX39" s="1204"/>
      <c r="AY39" s="1204"/>
      <c r="AZ39" s="1204"/>
      <c r="BA39" s="1204"/>
      <c r="BI39" s="539">
        <v>14</v>
      </c>
    </row>
    <row r="40" spans="1:61" ht="14.65" customHeight="1">
      <c r="Q40" s="886"/>
      <c r="R40" s="757"/>
      <c r="S40" s="1070" t="s">
        <v>308</v>
      </c>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P40" s="1070"/>
      <c r="AQ40" s="1070"/>
      <c r="AR40" s="1070"/>
      <c r="AS40" s="1070"/>
      <c r="AT40" s="1070"/>
      <c r="AU40" s="1070"/>
      <c r="AV40" s="1070"/>
      <c r="AW40" s="1070"/>
      <c r="AX40" s="1070"/>
      <c r="AY40" s="1070"/>
      <c r="AZ40" s="1070"/>
      <c r="BA40" s="1070"/>
      <c r="BB40" s="1070"/>
      <c r="BC40" s="1070" t="s">
        <v>309</v>
      </c>
      <c r="BI40" s="539">
        <v>14</v>
      </c>
    </row>
    <row r="41" spans="1:61" ht="14.65" customHeight="1">
      <c r="Q41" s="886"/>
      <c r="R41" s="757"/>
      <c r="S41" s="1205" t="s">
        <v>87</v>
      </c>
      <c r="T41" s="1155" t="s">
        <v>515</v>
      </c>
      <c r="U41" s="818"/>
      <c r="V41" s="1206" t="s">
        <v>437</v>
      </c>
      <c r="W41" s="1207"/>
      <c r="X41" s="1207"/>
      <c r="Y41" s="1207"/>
      <c r="Z41" s="1207"/>
      <c r="AA41" s="1207"/>
      <c r="AB41" s="1208"/>
      <c r="AC41" s="1209" t="s">
        <v>438</v>
      </c>
      <c r="AD41" s="1238" t="s">
        <v>516</v>
      </c>
      <c r="AE41" s="1222"/>
      <c r="AF41" s="1222"/>
      <c r="AG41" s="1239"/>
      <c r="AH41" s="1238" t="s">
        <v>517</v>
      </c>
      <c r="AI41" s="1222"/>
      <c r="AJ41" s="1222"/>
      <c r="AK41" s="1239"/>
      <c r="AL41" s="1238" t="s">
        <v>518</v>
      </c>
      <c r="AM41" s="1222"/>
      <c r="AN41" s="1222"/>
      <c r="AO41" s="1239"/>
      <c r="AP41" s="1238" t="s">
        <v>519</v>
      </c>
      <c r="AQ41" s="1222"/>
      <c r="AR41" s="1222"/>
      <c r="AS41" s="1239"/>
      <c r="AT41" s="1206" t="s">
        <v>437</v>
      </c>
      <c r="AU41" s="1207"/>
      <c r="AV41" s="1207"/>
      <c r="AW41" s="1207"/>
      <c r="AX41" s="1207"/>
      <c r="AY41" s="1207"/>
      <c r="AZ41" s="1208"/>
      <c r="BA41" s="1209" t="s">
        <v>438</v>
      </c>
      <c r="BB41" s="1212" t="s">
        <v>440</v>
      </c>
      <c r="BC41" s="1070"/>
      <c r="BI41" s="539">
        <v>14</v>
      </c>
    </row>
    <row r="42" spans="1:61" ht="35.65" customHeight="1">
      <c r="Q42" s="886"/>
      <c r="R42" s="757"/>
      <c r="S42" s="1205"/>
      <c r="T42" s="1155"/>
      <c r="U42" s="823"/>
      <c r="V42" s="1129" t="s">
        <v>520</v>
      </c>
      <c r="W42" s="1130"/>
      <c r="X42" s="1129" t="s">
        <v>521</v>
      </c>
      <c r="Y42" s="1130"/>
      <c r="Z42" s="1129" t="s">
        <v>522</v>
      </c>
      <c r="AA42" s="1234"/>
      <c r="AB42" s="1130"/>
      <c r="AC42" s="1210"/>
      <c r="AD42" s="1240"/>
      <c r="AE42" s="1241"/>
      <c r="AF42" s="1241"/>
      <c r="AG42" s="1253"/>
      <c r="AH42" s="1240"/>
      <c r="AI42" s="1241"/>
      <c r="AJ42" s="1241"/>
      <c r="AK42" s="1253"/>
      <c r="AL42" s="1240"/>
      <c r="AM42" s="1241"/>
      <c r="AN42" s="1241"/>
      <c r="AO42" s="1253"/>
      <c r="AP42" s="1240"/>
      <c r="AQ42" s="1241"/>
      <c r="AR42" s="1241"/>
      <c r="AS42" s="1253"/>
      <c r="AT42" s="1129" t="s">
        <v>520</v>
      </c>
      <c r="AU42" s="1130"/>
      <c r="AV42" s="1129" t="s">
        <v>521</v>
      </c>
      <c r="AW42" s="1130"/>
      <c r="AX42" s="1129" t="s">
        <v>522</v>
      </c>
      <c r="AY42" s="1234"/>
      <c r="AZ42" s="1130"/>
      <c r="BA42" s="1210"/>
      <c r="BB42" s="1213"/>
      <c r="BC42" s="1070"/>
      <c r="BI42" s="539">
        <v>34</v>
      </c>
    </row>
    <row r="43" spans="1:61" ht="14.65" customHeight="1">
      <c r="Q43" s="886"/>
      <c r="R43" s="757"/>
      <c r="S43" s="1205"/>
      <c r="T43" s="1155"/>
      <c r="U43" s="823"/>
      <c r="V43" s="1134"/>
      <c r="W43" s="1135"/>
      <c r="X43" s="1134"/>
      <c r="Y43" s="1135"/>
      <c r="Z43" s="1134"/>
      <c r="AA43" s="1235"/>
      <c r="AB43" s="1135"/>
      <c r="AC43" s="1210"/>
      <c r="AD43" s="1240"/>
      <c r="AE43" s="1241"/>
      <c r="AF43" s="1241"/>
      <c r="AG43" s="1253"/>
      <c r="AH43" s="1240"/>
      <c r="AI43" s="1241"/>
      <c r="AJ43" s="1241"/>
      <c r="AK43" s="1253"/>
      <c r="AL43" s="1240"/>
      <c r="AM43" s="1241"/>
      <c r="AN43" s="1241"/>
      <c r="AO43" s="1253"/>
      <c r="AP43" s="1240"/>
      <c r="AQ43" s="1241"/>
      <c r="AR43" s="1241"/>
      <c r="AS43" s="1253"/>
      <c r="AT43" s="1134"/>
      <c r="AU43" s="1135"/>
      <c r="AV43" s="1134"/>
      <c r="AW43" s="1135"/>
      <c r="AX43" s="1134"/>
      <c r="AY43" s="1235"/>
      <c r="AZ43" s="1135"/>
      <c r="BA43" s="1210"/>
      <c r="BB43" s="1213"/>
      <c r="BC43" s="1070"/>
      <c r="BI43" s="539">
        <v>14</v>
      </c>
    </row>
    <row r="44" spans="1:61" ht="14.65" customHeight="1">
      <c r="B44" s="599" t="s">
        <v>145</v>
      </c>
      <c r="C44" s="599" t="s">
        <v>146</v>
      </c>
      <c r="D44" s="599" t="s">
        <v>147</v>
      </c>
      <c r="E44" s="842" t="s">
        <v>445</v>
      </c>
      <c r="F44" s="842" t="s">
        <v>446</v>
      </c>
      <c r="G44" s="842" t="s">
        <v>447</v>
      </c>
      <c r="H44" s="842" t="s">
        <v>448</v>
      </c>
      <c r="I44" s="842" t="s">
        <v>449</v>
      </c>
      <c r="J44" s="842" t="s">
        <v>450</v>
      </c>
      <c r="K44" s="842" t="s">
        <v>451</v>
      </c>
      <c r="L44" s="842" t="s">
        <v>426</v>
      </c>
      <c r="Q44" s="886"/>
      <c r="R44" s="757"/>
      <c r="S44" s="1205"/>
      <c r="T44" s="1155"/>
      <c r="U44" s="853"/>
      <c r="V44" s="633" t="s">
        <v>486</v>
      </c>
      <c r="W44" s="633" t="s">
        <v>487</v>
      </c>
      <c r="X44" s="633" t="s">
        <v>486</v>
      </c>
      <c r="Y44" s="633" t="s">
        <v>487</v>
      </c>
      <c r="Z44" s="603" t="s">
        <v>454</v>
      </c>
      <c r="AA44" s="1160" t="s">
        <v>455</v>
      </c>
      <c r="AB44" s="1173"/>
      <c r="AC44" s="1211"/>
      <c r="AD44" s="1242"/>
      <c r="AE44" s="1243"/>
      <c r="AF44" s="1243"/>
      <c r="AG44" s="1244"/>
      <c r="AH44" s="1242"/>
      <c r="AI44" s="1243"/>
      <c r="AJ44" s="1243"/>
      <c r="AK44" s="1244"/>
      <c r="AL44" s="1242"/>
      <c r="AM44" s="1243"/>
      <c r="AN44" s="1243"/>
      <c r="AO44" s="1244"/>
      <c r="AP44" s="1242"/>
      <c r="AQ44" s="1243"/>
      <c r="AR44" s="1243"/>
      <c r="AS44" s="1244"/>
      <c r="AT44" s="633" t="s">
        <v>486</v>
      </c>
      <c r="AU44" s="633" t="s">
        <v>487</v>
      </c>
      <c r="AV44" s="633" t="s">
        <v>486</v>
      </c>
      <c r="AW44" s="633" t="s">
        <v>487</v>
      </c>
      <c r="AX44" s="603" t="s">
        <v>454</v>
      </c>
      <c r="AY44" s="1160" t="s">
        <v>455</v>
      </c>
      <c r="AZ44" s="1173"/>
      <c r="BA44" s="1211"/>
      <c r="BB44" s="1214"/>
      <c r="BC44" s="1070"/>
      <c r="BI44" s="539">
        <v>14</v>
      </c>
    </row>
    <row r="45" spans="1:61" ht="11.25" hidden="1" customHeight="1">
      <c r="Q45" s="855"/>
      <c r="R45" s="855">
        <v>1</v>
      </c>
      <c r="S45" s="330" t="s">
        <v>114</v>
      </c>
      <c r="T45" s="331" t="s">
        <v>102</v>
      </c>
      <c r="U45" s="856" t="str">
        <f ca="1">OFFSET(U45,0,-1)</f>
        <v>2</v>
      </c>
      <c r="V45" s="857">
        <f t="shared" ref="V45:AA45" ca="1" si="2">OFFSET(V45,0,-1)+1</f>
        <v>3</v>
      </c>
      <c r="W45" s="857">
        <f t="shared" ca="1" si="2"/>
        <v>4</v>
      </c>
      <c r="X45" s="857">
        <f t="shared" ca="1" si="2"/>
        <v>5</v>
      </c>
      <c r="Y45" s="857">
        <f t="shared" ca="1" si="2"/>
        <v>6</v>
      </c>
      <c r="Z45" s="857">
        <f t="shared" ca="1" si="2"/>
        <v>7</v>
      </c>
      <c r="AA45" s="1203">
        <f t="shared" ca="1" si="2"/>
        <v>8</v>
      </c>
      <c r="AB45" s="1203"/>
      <c r="AC45" s="857">
        <f ca="1">OFFSET(AC45,0,-2)+1</f>
        <v>9</v>
      </c>
      <c r="AD45" s="857">
        <f ca="1">OFFSET(AD45,0,-1)+1</f>
        <v>10</v>
      </c>
      <c r="AE45" s="857"/>
      <c r="AF45" s="857"/>
      <c r="AG45" s="857"/>
      <c r="AH45" s="857"/>
      <c r="AI45" s="857"/>
      <c r="AJ45" s="857"/>
      <c r="AK45" s="857"/>
      <c r="AL45" s="857"/>
      <c r="AM45" s="857"/>
      <c r="AN45" s="857"/>
      <c r="AO45" s="857"/>
      <c r="AP45" s="857"/>
      <c r="AQ45" s="857"/>
      <c r="AR45" s="857"/>
      <c r="AS45" s="857"/>
      <c r="AT45" s="857"/>
      <c r="AU45" s="857"/>
      <c r="AV45" s="857"/>
      <c r="AW45" s="857">
        <f ca="1">OFFSET(AW45,0,-1)+1</f>
        <v>1</v>
      </c>
      <c r="AX45" s="857">
        <f ca="1">OFFSET(AX45,0,-1)+1</f>
        <v>2</v>
      </c>
      <c r="AY45" s="1203">
        <f ca="1">OFFSET(AY45,0,-1)+1</f>
        <v>3</v>
      </c>
      <c r="AZ45" s="1203"/>
      <c r="BA45" s="857">
        <f ca="1">OFFSET(BA45,0,-2)+1</f>
        <v>4</v>
      </c>
      <c r="BB45" s="856">
        <f ca="1">OFFSET(BB45,0,-1)</f>
        <v>4</v>
      </c>
      <c r="BC45" s="857">
        <f ca="1">OFFSET(BC45,0,-1)+1</f>
        <v>5</v>
      </c>
      <c r="BI45" s="682">
        <v>0</v>
      </c>
    </row>
    <row r="46" spans="1:61" ht="21.95" customHeight="1">
      <c r="A46" s="858" t="s">
        <v>254</v>
      </c>
      <c r="E46" s="1192">
        <v>1</v>
      </c>
      <c r="R46" s="311"/>
      <c r="S46" s="833">
        <f>INDEX(PT_DIFFERENTIATION_NUM_NTAR,MATCH(A46,PT_DIFFERENTIATION_NTAR_ID,0))</f>
        <v>0</v>
      </c>
      <c r="T46" s="796" t="s">
        <v>133</v>
      </c>
      <c r="U46" s="834"/>
      <c r="V46" s="1188"/>
      <c r="W46" s="1188"/>
      <c r="X46" s="1188"/>
      <c r="Y46" s="1188"/>
      <c r="Z46" s="1188"/>
      <c r="AA46" s="1188"/>
      <c r="AB46" s="1188"/>
      <c r="AC46" s="1189"/>
      <c r="AD46" s="1187" t="str">
        <f>INDEX(PT_DIFFERENTIATION_NTAR,MATCH(A46,PT_DIFFERENTIATION_NTAR_ID,0))</f>
        <v/>
      </c>
      <c r="AE46" s="1188"/>
      <c r="AF46" s="1188"/>
      <c r="AG46" s="1188"/>
      <c r="AH46" s="1188"/>
      <c r="AI46" s="1188"/>
      <c r="AJ46" s="1188"/>
      <c r="AK46" s="1188"/>
      <c r="AL46" s="1188"/>
      <c r="AM46" s="1188"/>
      <c r="AN46" s="1188"/>
      <c r="AO46" s="1188"/>
      <c r="AP46" s="1188"/>
      <c r="AQ46" s="1188"/>
      <c r="AR46" s="1188"/>
      <c r="AS46" s="1188"/>
      <c r="AT46" s="1188"/>
      <c r="AU46" s="1188"/>
      <c r="AV46" s="1188"/>
      <c r="AW46" s="1188"/>
      <c r="AX46" s="1188"/>
      <c r="AY46" s="1188"/>
      <c r="AZ46" s="1188"/>
      <c r="BA46" s="1188"/>
      <c r="BB46" s="1189"/>
      <c r="BC46"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6" s="583" t="str">
        <f t="shared" ref="BF46:BF52" si="3">IF(T46="","",T46)</f>
        <v>Наименование тарифа</v>
      </c>
      <c r="BI46" s="539">
        <v>21</v>
      </c>
    </row>
    <row r="47" spans="1:61" ht="21.95" customHeight="1">
      <c r="A47" s="858" t="s">
        <v>254</v>
      </c>
      <c r="B47" s="858" t="s">
        <v>255</v>
      </c>
      <c r="E47" s="1193"/>
      <c r="F47" s="1192">
        <v>1</v>
      </c>
      <c r="Q47" s="880"/>
      <c r="R47" s="838"/>
      <c r="S47" s="833" t="str">
        <f>INDEX(PT_DIFFERENTIATION_NUM_TER,MATCH(B47,PT_DIFFERENTIATION_TER_ID,0))</f>
        <v>.</v>
      </c>
      <c r="T47" s="839" t="s">
        <v>405</v>
      </c>
      <c r="U47" s="834"/>
      <c r="V47" s="1188"/>
      <c r="W47" s="1188"/>
      <c r="X47" s="1188"/>
      <c r="Y47" s="1188"/>
      <c r="Z47" s="1188"/>
      <c r="AA47" s="1188"/>
      <c r="AB47" s="1188"/>
      <c r="AC47" s="1189"/>
      <c r="AD47" s="1187" t="str">
        <f>INDEX(PT_DIFFERENTIATION_TER,MATCH(B47,PT_DIFFERENTIATION_TER_ID,0))</f>
        <v/>
      </c>
      <c r="AE47" s="1188"/>
      <c r="AF47" s="1188"/>
      <c r="AG47" s="1188"/>
      <c r="AH47" s="1188"/>
      <c r="AI47" s="1188"/>
      <c r="AJ47" s="1188"/>
      <c r="AK47" s="1188"/>
      <c r="AL47" s="1188"/>
      <c r="AM47" s="1188"/>
      <c r="AN47" s="1188"/>
      <c r="AO47" s="1188"/>
      <c r="AP47" s="1188"/>
      <c r="AQ47" s="1188"/>
      <c r="AR47" s="1188"/>
      <c r="AS47" s="1188"/>
      <c r="AT47" s="1188"/>
      <c r="AU47" s="1188"/>
      <c r="AV47" s="1188"/>
      <c r="AW47" s="1188"/>
      <c r="AX47" s="1188"/>
      <c r="AY47" s="1188"/>
      <c r="AZ47" s="1188"/>
      <c r="BA47" s="1188"/>
      <c r="BB47" s="1189"/>
      <c r="BC47" s="836" t="s">
        <v>406</v>
      </c>
      <c r="BF47" s="583" t="str">
        <f t="shared" si="3"/>
        <v>Территория действия тарифа</v>
      </c>
      <c r="BI47" s="539">
        <v>21</v>
      </c>
    </row>
    <row r="48" spans="1:61" ht="43.15" customHeight="1">
      <c r="A48" s="858" t="s">
        <v>254</v>
      </c>
      <c r="B48" s="858" t="s">
        <v>255</v>
      </c>
      <c r="C48" s="858" t="s">
        <v>256</v>
      </c>
      <c r="E48" s="1193"/>
      <c r="F48" s="1193"/>
      <c r="G48" s="1192">
        <v>1</v>
      </c>
      <c r="Q48" s="880"/>
      <c r="R48" s="838"/>
      <c r="S48" s="833" t="str">
        <f>INDEX(PT_DIFFERENTIATION_NUM_CS,MATCH(C48,PT_DIFFERENTIATION_CS_ID,0))</f>
        <v>..</v>
      </c>
      <c r="T48" s="840" t="s">
        <v>489</v>
      </c>
      <c r="U48" s="834"/>
      <c r="V48" s="1188"/>
      <c r="W48" s="1188"/>
      <c r="X48" s="1188"/>
      <c r="Y48" s="1188"/>
      <c r="Z48" s="1188"/>
      <c r="AA48" s="1188"/>
      <c r="AB48" s="1188"/>
      <c r="AC48" s="1189"/>
      <c r="AD48" s="1187" t="str">
        <f>INDEX(PT_DIFFERENTIATION_CS,MATCH(C48,PT_DIFFERENTIATION_CS_ID,0))</f>
        <v/>
      </c>
      <c r="AE48" s="1188"/>
      <c r="AF48" s="1188"/>
      <c r="AG48" s="1188"/>
      <c r="AH48" s="1188"/>
      <c r="AI48" s="1188"/>
      <c r="AJ48" s="1188"/>
      <c r="AK48" s="1188"/>
      <c r="AL48" s="1188"/>
      <c r="AM48" s="1188"/>
      <c r="AN48" s="1188"/>
      <c r="AO48" s="1188"/>
      <c r="AP48" s="1188"/>
      <c r="AQ48" s="1188"/>
      <c r="AR48" s="1188"/>
      <c r="AS48" s="1188"/>
      <c r="AT48" s="1188"/>
      <c r="AU48" s="1188"/>
      <c r="AV48" s="1188"/>
      <c r="AW48" s="1188"/>
      <c r="AX48" s="1188"/>
      <c r="AY48" s="1188"/>
      <c r="AZ48" s="1188"/>
      <c r="BA48" s="1188"/>
      <c r="BB48" s="1189"/>
      <c r="BC48" s="836" t="s">
        <v>490</v>
      </c>
      <c r="BF48" s="583" t="str">
        <f t="shared" si="3"/>
        <v>Наименование централизованной системы холодного водоснабжения</v>
      </c>
      <c r="BI48" s="539">
        <v>41</v>
      </c>
    </row>
    <row r="49" spans="1:61" ht="0" hidden="1" customHeight="1">
      <c r="A49" s="575" t="s">
        <v>254</v>
      </c>
      <c r="B49" s="575" t="s">
        <v>255</v>
      </c>
      <c r="C49" s="575" t="s">
        <v>256</v>
      </c>
      <c r="D49" s="575" t="s">
        <v>523</v>
      </c>
      <c r="E49" s="1193"/>
      <c r="F49" s="1193"/>
      <c r="G49" s="1193"/>
      <c r="H49" s="1192">
        <v>1</v>
      </c>
      <c r="Q49" s="909"/>
      <c r="R49" s="845"/>
      <c r="S49" s="636"/>
      <c r="T49" s="910"/>
      <c r="U49" s="861"/>
      <c r="V49" s="1224"/>
      <c r="W49" s="1224"/>
      <c r="X49" s="1224"/>
      <c r="Y49" s="1224"/>
      <c r="Z49" s="1224"/>
      <c r="AA49" s="1224"/>
      <c r="AB49" s="1224"/>
      <c r="AC49" s="1225"/>
      <c r="AD49" s="1223"/>
      <c r="AE49" s="1224"/>
      <c r="AF49" s="1224"/>
      <c r="AG49" s="1224"/>
      <c r="AH49" s="1224"/>
      <c r="AI49" s="1224"/>
      <c r="AJ49" s="1224"/>
      <c r="AK49" s="1224"/>
      <c r="AL49" s="1224"/>
      <c r="AM49" s="1224"/>
      <c r="AN49" s="1224"/>
      <c r="AO49" s="1224"/>
      <c r="AP49" s="1224"/>
      <c r="AQ49" s="1224"/>
      <c r="AR49" s="1224"/>
      <c r="AS49" s="1224"/>
      <c r="AT49" s="1224"/>
      <c r="AU49" s="1224"/>
      <c r="AV49" s="1224"/>
      <c r="AW49" s="1224"/>
      <c r="AX49" s="1224"/>
      <c r="AY49" s="1224"/>
      <c r="AZ49" s="1224"/>
      <c r="BA49" s="1224"/>
      <c r="BB49" s="1225"/>
      <c r="BC49" s="863" t="s">
        <v>410</v>
      </c>
      <c r="BF49" s="583" t="str">
        <f t="shared" si="3"/>
        <v/>
      </c>
      <c r="BI49" s="578">
        <v>0</v>
      </c>
    </row>
    <row r="50" spans="1:61" ht="0" hidden="1" customHeight="1">
      <c r="A50" s="575" t="s">
        <v>254</v>
      </c>
      <c r="B50" s="575" t="s">
        <v>255</v>
      </c>
      <c r="C50" s="575" t="s">
        <v>256</v>
      </c>
      <c r="D50" s="575" t="s">
        <v>523</v>
      </c>
      <c r="E50" s="1193"/>
      <c r="F50" s="1193"/>
      <c r="G50" s="1193"/>
      <c r="H50" s="1193"/>
      <c r="I50" s="1194" t="str">
        <f>S49&amp;".1"</f>
        <v>.1</v>
      </c>
      <c r="L50" s="864" t="s">
        <v>411</v>
      </c>
      <c r="P50" s="1196">
        <v>1</v>
      </c>
      <c r="R50" s="843"/>
      <c r="S50" s="636"/>
      <c r="T50" s="860"/>
      <c r="U50" s="861"/>
      <c r="V50" s="1224"/>
      <c r="W50" s="1224"/>
      <c r="X50" s="1224"/>
      <c r="Y50" s="1224"/>
      <c r="Z50" s="1224"/>
      <c r="AA50" s="1224"/>
      <c r="AB50" s="1224"/>
      <c r="AC50" s="1225"/>
      <c r="AD50" s="1223"/>
      <c r="AE50" s="1224"/>
      <c r="AF50" s="1224"/>
      <c r="AG50" s="1224"/>
      <c r="AH50" s="1224"/>
      <c r="AI50" s="1224"/>
      <c r="AJ50" s="1224"/>
      <c r="AK50" s="1224"/>
      <c r="AL50" s="1224"/>
      <c r="AM50" s="1224"/>
      <c r="AN50" s="1224"/>
      <c r="AO50" s="1224"/>
      <c r="AP50" s="1224"/>
      <c r="AQ50" s="1224"/>
      <c r="AR50" s="1224"/>
      <c r="AS50" s="1224"/>
      <c r="AT50" s="1224"/>
      <c r="AU50" s="1224"/>
      <c r="AV50" s="1224"/>
      <c r="AW50" s="1224"/>
      <c r="AX50" s="1224"/>
      <c r="AY50" s="1224"/>
      <c r="AZ50" s="1224"/>
      <c r="BA50" s="1224"/>
      <c r="BB50" s="1225"/>
      <c r="BC50" s="863"/>
      <c r="BF50" s="583" t="str">
        <f t="shared" si="3"/>
        <v/>
      </c>
      <c r="BI50" s="578">
        <v>0</v>
      </c>
    </row>
    <row r="51" spans="1:61" ht="0" hidden="1" customHeight="1">
      <c r="A51" s="575" t="s">
        <v>254</v>
      </c>
      <c r="B51" s="575" t="s">
        <v>255</v>
      </c>
      <c r="C51" s="575" t="s">
        <v>256</v>
      </c>
      <c r="D51" s="575" t="s">
        <v>523</v>
      </c>
      <c r="E51" s="1193"/>
      <c r="F51" s="1193"/>
      <c r="G51" s="1193"/>
      <c r="H51" s="1193"/>
      <c r="I51" s="1195"/>
      <c r="J51" s="1194" t="str">
        <f>S49&amp;".1"</f>
        <v>.1</v>
      </c>
      <c r="P51" s="1038"/>
      <c r="Q51" s="1196">
        <v>1</v>
      </c>
      <c r="R51" s="845"/>
      <c r="S51" s="636"/>
      <c r="T51" s="881"/>
      <c r="U51" s="861"/>
      <c r="V51" s="1224"/>
      <c r="W51" s="1224"/>
      <c r="X51" s="1224"/>
      <c r="Y51" s="1224"/>
      <c r="Z51" s="1224"/>
      <c r="AA51" s="1224"/>
      <c r="AB51" s="1224"/>
      <c r="AC51" s="1225"/>
      <c r="AD51" s="1223"/>
      <c r="AE51" s="1224"/>
      <c r="AF51" s="1224"/>
      <c r="AG51" s="1224"/>
      <c r="AH51" s="1224"/>
      <c r="AI51" s="1224"/>
      <c r="AJ51" s="1224"/>
      <c r="AK51" s="1224"/>
      <c r="AL51" s="1224"/>
      <c r="AM51" s="1224"/>
      <c r="AN51" s="1275"/>
      <c r="AO51" s="1275"/>
      <c r="AP51" s="1224"/>
      <c r="AQ51" s="1224"/>
      <c r="AR51" s="1224"/>
      <c r="AS51" s="1224"/>
      <c r="AT51" s="1224"/>
      <c r="AU51" s="1224"/>
      <c r="AV51" s="1224"/>
      <c r="AW51" s="1224"/>
      <c r="AX51" s="1224"/>
      <c r="AY51" s="1224"/>
      <c r="AZ51" s="1224"/>
      <c r="BA51" s="1224"/>
      <c r="BB51" s="1225"/>
      <c r="BC51" s="863"/>
      <c r="BF51" s="583" t="str">
        <f t="shared" si="3"/>
        <v/>
      </c>
      <c r="BI51" s="578">
        <v>0</v>
      </c>
    </row>
    <row r="52" spans="1:61" ht="11.45" customHeight="1">
      <c r="A52" s="858" t="s">
        <v>254</v>
      </c>
      <c r="B52" s="858" t="s">
        <v>255</v>
      </c>
      <c r="C52" s="858" t="s">
        <v>256</v>
      </c>
      <c r="D52" s="858" t="s">
        <v>523</v>
      </c>
      <c r="E52" s="1193"/>
      <c r="F52" s="1193"/>
      <c r="G52" s="1193"/>
      <c r="H52" s="1193"/>
      <c r="I52" s="1195"/>
      <c r="J52" s="1195"/>
      <c r="K52" s="1194" t="str">
        <f>S48&amp;".1"</f>
        <v>...1</v>
      </c>
      <c r="P52" s="1038"/>
      <c r="Q52" s="1038"/>
      <c r="R52" s="845">
        <v>1</v>
      </c>
      <c r="S52" s="1249" t="str">
        <f>$K52</f>
        <v>...1</v>
      </c>
      <c r="T52" s="1269"/>
      <c r="U52" s="834"/>
      <c r="V52" s="312"/>
      <c r="W52" s="314"/>
      <c r="X52" s="312"/>
      <c r="Y52" s="314"/>
      <c r="Z52" s="203"/>
      <c r="AA52" s="56" t="s">
        <v>61</v>
      </c>
      <c r="AB52" s="203"/>
      <c r="AC52" s="56" t="s">
        <v>61</v>
      </c>
      <c r="AD52" s="1141" t="s">
        <v>61</v>
      </c>
      <c r="AE52" s="1245"/>
      <c r="AF52" s="1151">
        <v>1</v>
      </c>
      <c r="AG52" s="1268"/>
      <c r="AH52" s="1079" t="s">
        <v>61</v>
      </c>
      <c r="AI52" s="1245"/>
      <c r="AJ52" s="1151">
        <v>1</v>
      </c>
      <c r="AK52" s="1259" t="s">
        <v>22</v>
      </c>
      <c r="AL52" s="1079" t="s">
        <v>61</v>
      </c>
      <c r="AM52" s="1129"/>
      <c r="AN52" s="1151">
        <v>1</v>
      </c>
      <c r="AO52" s="1272"/>
      <c r="AP52" s="1273" t="s">
        <v>61</v>
      </c>
      <c r="AQ52" s="883"/>
      <c r="AR52" s="92">
        <v>1</v>
      </c>
      <c r="AS52" s="14" t="s">
        <v>22</v>
      </c>
      <c r="AT52" s="312"/>
      <c r="AU52" s="314"/>
      <c r="AV52" s="312"/>
      <c r="AW52" s="314"/>
      <c r="AX52" s="203"/>
      <c r="AY52" s="56" t="s">
        <v>61</v>
      </c>
      <c r="AZ52" s="203"/>
      <c r="BA52" s="56" t="s">
        <v>61</v>
      </c>
      <c r="BB52" s="332"/>
      <c r="BC52" s="1215" t="s">
        <v>509</v>
      </c>
      <c r="BF52" s="583" t="str">
        <f t="shared" si="3"/>
        <v/>
      </c>
      <c r="BI52" s="539">
        <v>11</v>
      </c>
    </row>
    <row r="53" spans="1:61" ht="11.45" customHeight="1">
      <c r="E53" s="1193"/>
      <c r="F53" s="1193"/>
      <c r="G53" s="1193"/>
      <c r="H53" s="1193"/>
      <c r="I53" s="1195"/>
      <c r="J53" s="1195"/>
      <c r="K53" s="1194"/>
      <c r="P53" s="1038"/>
      <c r="Q53" s="1038"/>
      <c r="R53" s="845"/>
      <c r="S53" s="1250"/>
      <c r="T53" s="1270"/>
      <c r="U53" s="834"/>
      <c r="V53" s="345"/>
      <c r="W53" s="352"/>
      <c r="X53" s="345"/>
      <c r="Y53" s="352"/>
      <c r="Z53" s="345"/>
      <c r="AA53" s="345"/>
      <c r="AB53" s="345"/>
      <c r="AC53" s="345"/>
      <c r="AD53" s="1142"/>
      <c r="AE53" s="1245"/>
      <c r="AF53" s="1151"/>
      <c r="AG53" s="1268"/>
      <c r="AH53" s="1079"/>
      <c r="AI53" s="1245"/>
      <c r="AJ53" s="1151"/>
      <c r="AK53" s="1259"/>
      <c r="AL53" s="1079"/>
      <c r="AM53" s="1134"/>
      <c r="AN53" s="1151"/>
      <c r="AO53" s="1272"/>
      <c r="AP53" s="1274"/>
      <c r="AQ53" s="265"/>
      <c r="AR53" s="49"/>
      <c r="AS53" s="49" t="s">
        <v>510</v>
      </c>
      <c r="AT53" s="345"/>
      <c r="AU53" s="352"/>
      <c r="AV53" s="345"/>
      <c r="AW53" s="352"/>
      <c r="AX53" s="345"/>
      <c r="AY53" s="345"/>
      <c r="AZ53" s="345"/>
      <c r="BA53" s="345"/>
      <c r="BB53" s="351"/>
      <c r="BC53" s="1216"/>
      <c r="BI53" s="539">
        <v>11</v>
      </c>
    </row>
    <row r="54" spans="1:61" ht="11.45" customHeight="1">
      <c r="A54" s="858" t="s">
        <v>254</v>
      </c>
      <c r="E54" s="1193"/>
      <c r="F54" s="1193"/>
      <c r="G54" s="1193"/>
      <c r="H54" s="1193"/>
      <c r="I54" s="1195"/>
      <c r="J54" s="1195"/>
      <c r="K54" s="1194"/>
      <c r="P54" s="1038"/>
      <c r="Q54" s="1038"/>
      <c r="R54" s="845"/>
      <c r="S54" s="1250"/>
      <c r="T54" s="1270"/>
      <c r="U54" s="834"/>
      <c r="V54" s="345"/>
      <c r="W54" s="352"/>
      <c r="X54" s="345"/>
      <c r="Y54" s="352"/>
      <c r="Z54" s="345"/>
      <c r="AA54" s="345"/>
      <c r="AB54" s="345"/>
      <c r="AC54" s="345"/>
      <c r="AD54" s="1142"/>
      <c r="AE54" s="1245"/>
      <c r="AF54" s="1151"/>
      <c r="AG54" s="1268"/>
      <c r="AH54" s="1079"/>
      <c r="AI54" s="1245"/>
      <c r="AJ54" s="1151"/>
      <c r="AK54" s="1259"/>
      <c r="AL54" s="1079"/>
      <c r="AM54" s="265"/>
      <c r="AN54" s="304"/>
      <c r="AO54" s="304" t="s">
        <v>511</v>
      </c>
      <c r="AP54" s="49"/>
      <c r="AQ54" s="49"/>
      <c r="AR54" s="49"/>
      <c r="AS54" s="345"/>
      <c r="AT54" s="345"/>
      <c r="AU54" s="352"/>
      <c r="AV54" s="345"/>
      <c r="AW54" s="352"/>
      <c r="AX54" s="345"/>
      <c r="AY54" s="345"/>
      <c r="AZ54" s="345"/>
      <c r="BA54" s="345"/>
      <c r="BB54" s="351"/>
      <c r="BC54" s="1216"/>
      <c r="BI54" s="539">
        <v>11</v>
      </c>
    </row>
    <row r="55" spans="1:61" ht="11.45" customHeight="1">
      <c r="A55" s="858" t="s">
        <v>254</v>
      </c>
      <c r="E55" s="1193"/>
      <c r="F55" s="1193"/>
      <c r="G55" s="1193"/>
      <c r="H55" s="1193"/>
      <c r="I55" s="1195"/>
      <c r="J55" s="1195"/>
      <c r="K55" s="1194"/>
      <c r="P55" s="1038"/>
      <c r="Q55" s="1038"/>
      <c r="R55" s="845"/>
      <c r="S55" s="1250"/>
      <c r="T55" s="1270"/>
      <c r="U55" s="834"/>
      <c r="V55" s="345"/>
      <c r="W55" s="352"/>
      <c r="X55" s="345"/>
      <c r="Y55" s="352"/>
      <c r="Z55" s="345"/>
      <c r="AA55" s="345"/>
      <c r="AB55" s="345"/>
      <c r="AC55" s="345"/>
      <c r="AD55" s="1142"/>
      <c r="AE55" s="1245"/>
      <c r="AF55" s="1151"/>
      <c r="AG55" s="1268"/>
      <c r="AH55" s="1079"/>
      <c r="AI55" s="354"/>
      <c r="AJ55" s="44"/>
      <c r="AK55" s="120" t="s">
        <v>512</v>
      </c>
      <c r="AL55" s="345"/>
      <c r="AM55" s="345"/>
      <c r="AN55" s="345"/>
      <c r="AO55" s="345"/>
      <c r="AP55" s="345"/>
      <c r="AQ55" s="345"/>
      <c r="AR55" s="345"/>
      <c r="AS55" s="345"/>
      <c r="AT55" s="345"/>
      <c r="AU55" s="352"/>
      <c r="AV55" s="345"/>
      <c r="AW55" s="352"/>
      <c r="AX55" s="345"/>
      <c r="AY55" s="345"/>
      <c r="AZ55" s="345"/>
      <c r="BA55" s="345"/>
      <c r="BB55" s="351"/>
      <c r="BC55" s="1216"/>
      <c r="BI55" s="539">
        <v>11</v>
      </c>
    </row>
    <row r="56" spans="1:61" ht="11.45" customHeight="1">
      <c r="A56" s="858" t="s">
        <v>254</v>
      </c>
      <c r="B56" s="858" t="s">
        <v>255</v>
      </c>
      <c r="C56" s="858" t="s">
        <v>256</v>
      </c>
      <c r="D56" s="858" t="s">
        <v>523</v>
      </c>
      <c r="E56" s="1193"/>
      <c r="F56" s="1193"/>
      <c r="G56" s="1193"/>
      <c r="H56" s="1193"/>
      <c r="I56" s="1195"/>
      <c r="J56" s="1195"/>
      <c r="K56" s="1194"/>
      <c r="P56" s="1038"/>
      <c r="Q56" s="1038"/>
      <c r="R56" s="845"/>
      <c r="S56" s="1251"/>
      <c r="T56" s="1271"/>
      <c r="U56" s="834"/>
      <c r="V56" s="345"/>
      <c r="W56" s="346" t="str">
        <f>Z52&amp;"-"&amp;AB52</f>
        <v>-</v>
      </c>
      <c r="X56" s="345"/>
      <c r="Y56" s="346" t="str">
        <f>AB52&amp;"-"&amp;AD52</f>
        <v>-да</v>
      </c>
      <c r="Z56" s="345"/>
      <c r="AA56" s="345"/>
      <c r="AB56" s="345"/>
      <c r="AC56" s="345"/>
      <c r="AD56" s="1085"/>
      <c r="AE56" s="356"/>
      <c r="AF56" s="357"/>
      <c r="AG56" s="49" t="s">
        <v>513</v>
      </c>
      <c r="AH56" s="345"/>
      <c r="AI56" s="345"/>
      <c r="AJ56" s="345"/>
      <c r="AK56" s="345"/>
      <c r="AL56" s="345"/>
      <c r="AM56" s="345"/>
      <c r="AN56" s="345"/>
      <c r="AO56" s="345"/>
      <c r="AP56" s="345"/>
      <c r="AQ56" s="345"/>
      <c r="AR56" s="345"/>
      <c r="AS56" s="345"/>
      <c r="AT56" s="345"/>
      <c r="AU56" s="346" t="str">
        <f>AX52&amp;"-"&amp;AZ52</f>
        <v>-</v>
      </c>
      <c r="AV56" s="345"/>
      <c r="AW56" s="346" t="str">
        <f>AZ52&amp;"-"&amp;BB52</f>
        <v>-</v>
      </c>
      <c r="AX56" s="345"/>
      <c r="AY56" s="345"/>
      <c r="AZ56" s="345"/>
      <c r="BA56" s="345"/>
      <c r="BB56" s="355" t="str">
        <f>BE52&amp;"-"&amp;BG52</f>
        <v>-</v>
      </c>
      <c r="BC56" s="1216"/>
      <c r="BF56" s="583" t="str">
        <f t="shared" ref="BF56:BF63" si="4">IF(T56="","",T56)</f>
        <v/>
      </c>
      <c r="BI56" s="539">
        <v>11</v>
      </c>
    </row>
    <row r="57" spans="1:61" ht="11.45" customHeight="1">
      <c r="A57" s="858" t="s">
        <v>254</v>
      </c>
      <c r="B57" s="858" t="s">
        <v>255</v>
      </c>
      <c r="C57" s="858" t="s">
        <v>256</v>
      </c>
      <c r="D57" s="858" t="s">
        <v>523</v>
      </c>
      <c r="E57" s="1193"/>
      <c r="F57" s="1193"/>
      <c r="G57" s="1193"/>
      <c r="H57" s="1193"/>
      <c r="I57" s="1195"/>
      <c r="J57" s="1194"/>
      <c r="P57" s="1038"/>
      <c r="Q57" s="1038"/>
      <c r="R57" s="843"/>
      <c r="S57" s="316"/>
      <c r="T57" s="319" t="s">
        <v>476</v>
      </c>
      <c r="U57" s="52"/>
      <c r="V57" s="52"/>
      <c r="W57" s="52"/>
      <c r="X57" s="52"/>
      <c r="Y57" s="52"/>
      <c r="Z57" s="52"/>
      <c r="AA57" s="52"/>
      <c r="AB57" s="52"/>
      <c r="AC57" s="318"/>
      <c r="AD57" s="36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318"/>
      <c r="BC57" s="1217"/>
      <c r="BF57" s="583" t="str">
        <f t="shared" si="4"/>
        <v>Добавить строку</v>
      </c>
      <c r="BI57" s="539">
        <v>11</v>
      </c>
    </row>
    <row r="58" spans="1:61" ht="0" hidden="1" customHeight="1">
      <c r="A58" s="575" t="s">
        <v>254</v>
      </c>
      <c r="B58" s="575" t="s">
        <v>255</v>
      </c>
      <c r="C58" s="575" t="s">
        <v>256</v>
      </c>
      <c r="D58" s="575" t="s">
        <v>523</v>
      </c>
      <c r="E58" s="1193"/>
      <c r="F58" s="1193"/>
      <c r="G58" s="1193"/>
      <c r="H58" s="1193"/>
      <c r="I58" s="1194"/>
      <c r="P58" s="1038"/>
      <c r="R58" s="843"/>
      <c r="S58" s="335"/>
      <c r="T58" s="336"/>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c r="BC58" s="338"/>
      <c r="BF58" s="583" t="str">
        <f t="shared" si="4"/>
        <v/>
      </c>
      <c r="BI58" s="578">
        <v>0</v>
      </c>
    </row>
    <row r="59" spans="1:61" ht="0" hidden="1" customHeight="1">
      <c r="A59" s="575" t="s">
        <v>254</v>
      </c>
      <c r="B59" s="575" t="s">
        <v>255</v>
      </c>
      <c r="C59" s="575" t="s">
        <v>256</v>
      </c>
      <c r="D59" s="575" t="s">
        <v>523</v>
      </c>
      <c r="E59" s="1193"/>
      <c r="F59" s="1193"/>
      <c r="G59" s="1193"/>
      <c r="H59" s="1192"/>
      <c r="R59" s="358"/>
      <c r="S59" s="335"/>
      <c r="T59" s="336"/>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c r="BC59" s="338"/>
      <c r="BF59" s="583" t="str">
        <f t="shared" si="4"/>
        <v/>
      </c>
      <c r="BI59" s="578">
        <v>0</v>
      </c>
    </row>
    <row r="60" spans="1:61" ht="0" hidden="1" customHeight="1">
      <c r="A60" s="575" t="s">
        <v>254</v>
      </c>
      <c r="B60" s="575" t="s">
        <v>255</v>
      </c>
      <c r="C60" s="575" t="s">
        <v>256</v>
      </c>
      <c r="E60" s="1193"/>
      <c r="F60" s="1193"/>
      <c r="G60" s="1192"/>
      <c r="BF60" s="583" t="str">
        <f t="shared" si="4"/>
        <v/>
      </c>
      <c r="BI60" s="578">
        <v>0</v>
      </c>
    </row>
    <row r="61" spans="1:61" ht="0" hidden="1" customHeight="1">
      <c r="A61" s="575" t="s">
        <v>254</v>
      </c>
      <c r="B61" s="575" t="s">
        <v>255</v>
      </c>
      <c r="E61" s="1193"/>
      <c r="F61" s="1192"/>
      <c r="T61" s="327" t="s">
        <v>423</v>
      </c>
      <c r="BF61" s="583" t="str">
        <f t="shared" si="4"/>
        <v>Добавить централизованную систему для дифференциации</v>
      </c>
      <c r="BI61" s="578">
        <v>0</v>
      </c>
    </row>
    <row r="62" spans="1:61" ht="0" hidden="1" customHeight="1">
      <c r="A62" s="575" t="s">
        <v>254</v>
      </c>
      <c r="E62" s="1192"/>
      <c r="T62" s="327" t="s">
        <v>424</v>
      </c>
      <c r="BF62" s="583" t="str">
        <f t="shared" si="4"/>
        <v>Добавить территорию для дифференциации</v>
      </c>
      <c r="BI62" s="578">
        <v>0</v>
      </c>
    </row>
    <row r="63" spans="1:61" ht="0" hidden="1" customHeight="1">
      <c r="T63" s="327" t="s">
        <v>456</v>
      </c>
      <c r="BF63" s="583" t="str">
        <f t="shared" si="4"/>
        <v>Добавить наименование тарифа</v>
      </c>
      <c r="BI63" s="578">
        <v>0</v>
      </c>
    </row>
    <row r="64" spans="1:61" ht="11.45" customHeight="1">
      <c r="BI64" s="539">
        <v>11</v>
      </c>
    </row>
    <row r="65" spans="1:61" ht="19.899999999999999" customHeight="1">
      <c r="T65" s="1038"/>
      <c r="U65" s="1038"/>
      <c r="V65" s="1038"/>
      <c r="W65" s="1038"/>
      <c r="X65" s="1038"/>
      <c r="Y65" s="1038"/>
      <c r="Z65" s="1038"/>
      <c r="AA65" s="1038"/>
      <c r="AB65" s="1038"/>
      <c r="AC65" s="1038"/>
      <c r="AD65" s="1038"/>
      <c r="AE65" s="1038"/>
      <c r="AF65" s="1038"/>
      <c r="AG65" s="1038"/>
      <c r="AH65" s="1038"/>
      <c r="AI65" s="1038"/>
      <c r="AJ65" s="1038"/>
      <c r="AK65" s="1038"/>
      <c r="AL65" s="1038"/>
      <c r="AM65" s="1038"/>
      <c r="AN65" s="1038"/>
      <c r="AO65" s="1038"/>
      <c r="AP65" s="1038"/>
      <c r="AQ65" s="1038"/>
      <c r="AR65" s="1038"/>
      <c r="AS65" s="1038"/>
      <c r="AT65" s="1038"/>
      <c r="AU65" s="1038"/>
      <c r="AV65" s="1038"/>
      <c r="AW65" s="1038"/>
      <c r="AX65" s="1038"/>
      <c r="AY65" s="1038"/>
      <c r="AZ65" s="1038"/>
      <c r="BA65" s="1038"/>
      <c r="BB65" s="1038"/>
      <c r="BC65" s="1038"/>
      <c r="BI65" s="539">
        <v>19</v>
      </c>
    </row>
    <row r="66" spans="1:61" ht="14.65" customHeight="1">
      <c r="BI66" s="539">
        <v>14</v>
      </c>
    </row>
    <row r="67" spans="1:61" ht="19.899999999999999" customHeight="1">
      <c r="T67" s="1038"/>
      <c r="U67" s="1038"/>
      <c r="V67" s="1038"/>
      <c r="W67" s="1038"/>
      <c r="X67" s="1038"/>
      <c r="Y67" s="1038"/>
      <c r="Z67" s="1038"/>
      <c r="AA67" s="1038"/>
      <c r="AB67" s="1038"/>
      <c r="AC67" s="1038"/>
      <c r="AD67" s="1038"/>
      <c r="AE67" s="1038"/>
      <c r="AF67" s="1038"/>
      <c r="AG67" s="1038"/>
      <c r="AH67" s="1038"/>
      <c r="AI67" s="1038"/>
      <c r="AJ67" s="1038"/>
      <c r="AK67" s="1038"/>
      <c r="AL67" s="1038"/>
      <c r="AM67" s="1038"/>
      <c r="AN67" s="1038"/>
      <c r="AO67" s="1038"/>
      <c r="AP67" s="1038"/>
      <c r="AQ67" s="1038"/>
      <c r="AR67" s="1038"/>
      <c r="AS67" s="1038"/>
      <c r="AT67" s="1038"/>
      <c r="AU67" s="1038"/>
      <c r="AV67" s="1038"/>
      <c r="AW67" s="1038"/>
      <c r="AX67" s="1038"/>
      <c r="AY67" s="1038"/>
      <c r="AZ67" s="1038"/>
      <c r="BA67" s="1038"/>
      <c r="BB67" s="1038"/>
      <c r="BC67" s="1038"/>
      <c r="BI67" s="539">
        <v>19</v>
      </c>
    </row>
    <row r="68" spans="1:61" ht="14.65" customHeight="1">
      <c r="BI68" s="539">
        <v>14</v>
      </c>
    </row>
    <row r="69" spans="1:61" ht="14.25" hidden="1" customHeight="1">
      <c r="A69" s="556" t="s">
        <v>81</v>
      </c>
      <c r="B69" s="556">
        <v>0</v>
      </c>
      <c r="C69" s="556">
        <v>0</v>
      </c>
      <c r="D69" s="556">
        <v>0</v>
      </c>
      <c r="E69" s="556">
        <v>0</v>
      </c>
      <c r="F69" s="556">
        <v>0</v>
      </c>
      <c r="G69" s="556">
        <v>0</v>
      </c>
      <c r="H69" s="556">
        <v>0</v>
      </c>
      <c r="I69" s="556">
        <v>0</v>
      </c>
      <c r="J69" s="556">
        <v>0</v>
      </c>
      <c r="K69" s="556">
        <v>0</v>
      </c>
      <c r="L69" s="668">
        <v>0</v>
      </c>
      <c r="M69" s="12">
        <v>0</v>
      </c>
      <c r="N69" s="12">
        <v>0</v>
      </c>
      <c r="O69" s="12">
        <v>0</v>
      </c>
      <c r="P69" s="12">
        <v>0</v>
      </c>
      <c r="Q69" s="890">
        <v>0</v>
      </c>
      <c r="R69" s="822">
        <v>3</v>
      </c>
      <c r="S69" s="554">
        <v>12</v>
      </c>
      <c r="T69" s="539">
        <v>31</v>
      </c>
      <c r="U69" s="539">
        <v>0</v>
      </c>
      <c r="V69" s="539">
        <v>0</v>
      </c>
      <c r="W69" s="539">
        <v>0</v>
      </c>
      <c r="X69" s="539">
        <v>0</v>
      </c>
      <c r="Y69" s="539">
        <v>0</v>
      </c>
      <c r="Z69" s="539">
        <v>0</v>
      </c>
      <c r="AA69" s="539">
        <v>0</v>
      </c>
      <c r="AB69" s="539">
        <v>0</v>
      </c>
      <c r="AC69" s="539">
        <v>0</v>
      </c>
      <c r="AD69" s="539">
        <v>3</v>
      </c>
      <c r="AE69" s="539">
        <v>3</v>
      </c>
      <c r="AF69" s="539">
        <v>3</v>
      </c>
      <c r="AG69" s="539">
        <v>24</v>
      </c>
      <c r="AH69" s="539">
        <v>3</v>
      </c>
      <c r="AI69" s="539">
        <v>3</v>
      </c>
      <c r="AJ69" s="539">
        <v>3</v>
      </c>
      <c r="AK69" s="539">
        <v>24</v>
      </c>
      <c r="AL69" s="539">
        <v>3</v>
      </c>
      <c r="AM69" s="539">
        <v>3</v>
      </c>
      <c r="AN69" s="539">
        <v>3</v>
      </c>
      <c r="AO69" s="539">
        <v>18</v>
      </c>
      <c r="AP69" s="539">
        <v>3</v>
      </c>
      <c r="AQ69" s="539">
        <v>3</v>
      </c>
      <c r="AR69" s="539">
        <v>3</v>
      </c>
      <c r="AS69" s="539">
        <v>18</v>
      </c>
      <c r="AT69" s="539">
        <v>21</v>
      </c>
      <c r="AU69" s="539">
        <v>21</v>
      </c>
      <c r="AV69" s="539">
        <v>21</v>
      </c>
      <c r="AW69" s="539">
        <v>21</v>
      </c>
      <c r="AX69" s="539">
        <v>11</v>
      </c>
      <c r="AY69" s="539">
        <v>3</v>
      </c>
      <c r="AZ69" s="539">
        <v>11</v>
      </c>
      <c r="BA69" s="539">
        <v>0</v>
      </c>
      <c r="BB69" s="539">
        <v>4</v>
      </c>
      <c r="BC69" s="539">
        <v>115</v>
      </c>
      <c r="BD69" s="578">
        <v>10</v>
      </c>
      <c r="BE69" s="578">
        <v>10</v>
      </c>
      <c r="BF69" s="578">
        <v>10</v>
      </c>
      <c r="BG69" s="578">
        <v>10</v>
      </c>
      <c r="BH69" s="578">
        <v>10</v>
      </c>
      <c r="BI69" s="53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4.140625" style="1030" hidden="1" customWidth="1"/>
    <col min="10" max="10" width="9.85546875" style="1030" hidden="1" customWidth="1"/>
    <col min="11" max="11" width="14.710937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5" style="1030" customWidth="1"/>
    <col min="21" max="21" width="0.140625" style="1030" customWidth="1"/>
    <col min="22" max="24" width="24.7109375" style="1030" hidden="1" customWidth="1"/>
    <col min="25" max="25" width="11.7109375" style="1030" hidden="1" customWidth="1"/>
    <col min="26" max="26" width="3.7109375" style="1030" hidden="1" customWidth="1"/>
    <col min="27" max="27" width="11.7109375" style="1030" hidden="1" customWidth="1"/>
    <col min="28" max="28" width="8.5703125" style="1030" hidden="1" customWidth="1"/>
    <col min="29" max="29" width="24.7109375" style="1030" customWidth="1"/>
    <col min="30" max="31" width="24" style="1030" customWidth="1"/>
    <col min="32" max="32" width="11" style="1030" customWidth="1"/>
    <col min="33" max="33" width="3.7109375" style="1030" customWidth="1"/>
    <col min="34" max="34" width="11" style="1030" customWidth="1"/>
    <col min="35" max="35" width="8.5703125" style="1030" hidden="1" customWidth="1"/>
    <col min="36" max="36" width="4" style="1030" customWidth="1"/>
    <col min="37" max="37" width="115" style="1030" customWidth="1"/>
    <col min="38" max="42" width="10" style="1030" customWidth="1"/>
    <col min="43" max="43" width="10.5703125" style="1030" hidden="1"/>
  </cols>
  <sheetData>
    <row r="1" spans="5:43" ht="22.5" hidden="1" customHeight="1">
      <c r="AQ1" s="539" t="s">
        <v>14</v>
      </c>
    </row>
    <row r="2" spans="5:43" ht="23.25" hidden="1" customHeight="1">
      <c r="E2" s="1192">
        <v>1</v>
      </c>
      <c r="R2" s="311"/>
      <c r="S2" s="833" t="e">
        <f>INDEX(PT_DIFFERENTIATION_NUM_NTAR,MATCH(A2,PT_DIFFERENTIATION_NTAR_ID,0))</f>
        <v>#N/A</v>
      </c>
      <c r="T2" s="796" t="s">
        <v>133</v>
      </c>
      <c r="U2" s="834"/>
      <c r="V2" s="1187"/>
      <c r="W2" s="1188"/>
      <c r="X2" s="1188"/>
      <c r="Y2" s="1188"/>
      <c r="Z2" s="1188"/>
      <c r="AA2" s="1188"/>
      <c r="AB2" s="1189"/>
      <c r="AC2" s="1187" t="e">
        <f>INDEX(PT_DIFFERENTIATION_NTAR,MATCH(A2,PT_DIFFERENTIATION_NTAR_ID,0))</f>
        <v>#N/A</v>
      </c>
      <c r="AD2" s="1188"/>
      <c r="AE2" s="1188"/>
      <c r="AF2" s="1188"/>
      <c r="AG2" s="1188"/>
      <c r="AH2" s="1188"/>
      <c r="AI2" s="1188"/>
      <c r="AJ2" s="1189"/>
      <c r="AK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3" t="str">
        <f t="shared" ref="AN2:AN13" si="0">IF(T2="","",T2)</f>
        <v>Наименование тарифа</v>
      </c>
      <c r="AQ2" s="539">
        <v>0</v>
      </c>
    </row>
    <row r="3" spans="5:43" ht="23.25"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9"/>
      <c r="AC3" s="1187" t="e">
        <f>INDEX(PT_DIFFERENTIATION_TER,MATCH(B3,PT_DIFFERENTIATION_TER_ID,0))</f>
        <v>#N/A</v>
      </c>
      <c r="AD3" s="1188"/>
      <c r="AE3" s="1188"/>
      <c r="AF3" s="1188"/>
      <c r="AG3" s="1188"/>
      <c r="AH3" s="1188"/>
      <c r="AI3" s="1188"/>
      <c r="AJ3" s="1189"/>
      <c r="AK3" s="836" t="s">
        <v>406</v>
      </c>
      <c r="AN3" s="583" t="str">
        <f t="shared" si="0"/>
        <v>Территория действия тарифа</v>
      </c>
      <c r="AQ3" s="539">
        <v>0</v>
      </c>
    </row>
    <row r="4" spans="5:43" ht="23.25" hidden="1" customHeight="1">
      <c r="E4" s="1193"/>
      <c r="F4" s="1193"/>
      <c r="G4" s="1192">
        <v>1</v>
      </c>
      <c r="Q4" s="837"/>
      <c r="R4" s="838"/>
      <c r="S4" s="833" t="e">
        <f>INDEX(PT_DIFFERENTIATION_NUM_CS,MATCH(C4,PT_DIFFERENTIATION_CS_ID,0))</f>
        <v>#N/A</v>
      </c>
      <c r="T4" s="840" t="s">
        <v>524</v>
      </c>
      <c r="U4" s="834"/>
      <c r="V4" s="1187"/>
      <c r="W4" s="1188"/>
      <c r="X4" s="1188"/>
      <c r="Y4" s="1188"/>
      <c r="Z4" s="1188"/>
      <c r="AA4" s="1188"/>
      <c r="AB4" s="1189"/>
      <c r="AC4" s="1187" t="e">
        <f>INDEX(PT_DIFFERENTIATION_CS,MATCH(C4,PT_DIFFERENTIATION_CS_ID,0))</f>
        <v>#N/A</v>
      </c>
      <c r="AD4" s="1188"/>
      <c r="AE4" s="1188"/>
      <c r="AF4" s="1188"/>
      <c r="AG4" s="1188"/>
      <c r="AH4" s="1188"/>
      <c r="AI4" s="1188"/>
      <c r="AJ4" s="1189"/>
      <c r="AK4" s="836" t="s">
        <v>525</v>
      </c>
      <c r="AN4" s="583" t="str">
        <f t="shared" si="0"/>
        <v>Наименование централизованной системы водоотведения</v>
      </c>
      <c r="AQ4" s="539">
        <v>0</v>
      </c>
    </row>
    <row r="5" spans="5:43" ht="23.25" hidden="1" customHeight="1">
      <c r="E5" s="1193"/>
      <c r="F5" s="1193"/>
      <c r="G5" s="1193"/>
      <c r="H5" s="1193"/>
      <c r="I5" s="1194" t="e">
        <f>S4&amp;".1"</f>
        <v>#N/A</v>
      </c>
      <c r="P5" s="1196">
        <v>1</v>
      </c>
      <c r="R5" s="843"/>
      <c r="S5" s="833" t="e">
        <f>$I5</f>
        <v>#N/A</v>
      </c>
      <c r="T5" s="844" t="s">
        <v>491</v>
      </c>
      <c r="U5" s="834"/>
      <c r="V5" s="1260"/>
      <c r="W5" s="1261"/>
      <c r="X5" s="1261"/>
      <c r="Y5" s="1261"/>
      <c r="Z5" s="1261"/>
      <c r="AA5" s="1261"/>
      <c r="AB5" s="1262"/>
      <c r="AC5" s="1263"/>
      <c r="AD5" s="1264"/>
      <c r="AE5" s="1264"/>
      <c r="AF5" s="1264"/>
      <c r="AG5" s="1264"/>
      <c r="AH5" s="1264"/>
      <c r="AI5" s="1264"/>
      <c r="AJ5" s="1265"/>
      <c r="AK5" s="836" t="s">
        <v>492</v>
      </c>
      <c r="AN5" s="583" t="str">
        <f t="shared" si="0"/>
        <v>Наименование признака дифференциации</v>
      </c>
      <c r="AQ5" s="539">
        <v>0</v>
      </c>
    </row>
    <row r="6" spans="5:43" ht="23.25" hidden="1" customHeight="1">
      <c r="E6" s="1193"/>
      <c r="F6" s="1193"/>
      <c r="G6" s="1193"/>
      <c r="H6" s="1193"/>
      <c r="I6" s="1195"/>
      <c r="J6" s="1194" t="e">
        <f>I5&amp;".1"</f>
        <v>#N/A</v>
      </c>
      <c r="L6" s="842" t="s">
        <v>414</v>
      </c>
      <c r="P6" s="1038"/>
      <c r="Q6" s="1196">
        <v>1</v>
      </c>
      <c r="R6" s="845"/>
      <c r="S6" s="833" t="e">
        <f>$J6</f>
        <v>#N/A</v>
      </c>
      <c r="T6" s="846" t="s">
        <v>415</v>
      </c>
      <c r="U6" s="834"/>
      <c r="V6" s="1181"/>
      <c r="W6" s="1182"/>
      <c r="X6" s="1182"/>
      <c r="Y6" s="1182"/>
      <c r="Z6" s="1182"/>
      <c r="AA6" s="1182"/>
      <c r="AB6" s="1183"/>
      <c r="AC6" s="1181"/>
      <c r="AD6" s="1182"/>
      <c r="AE6" s="1182"/>
      <c r="AF6" s="1182"/>
      <c r="AG6" s="1182"/>
      <c r="AH6" s="1182"/>
      <c r="AI6" s="1182"/>
      <c r="AJ6" s="1183"/>
      <c r="AK6" s="875" t="s">
        <v>493</v>
      </c>
      <c r="AN6" s="583" t="str">
        <f t="shared" si="0"/>
        <v>Группа потребителей</v>
      </c>
      <c r="AQ6" s="539">
        <v>0</v>
      </c>
    </row>
    <row r="7" spans="5:43" ht="23.25" hidden="1" customHeight="1">
      <c r="E7" s="1193"/>
      <c r="F7" s="1193"/>
      <c r="G7" s="1193"/>
      <c r="H7" s="1193"/>
      <c r="I7" s="1195"/>
      <c r="J7" s="1195"/>
      <c r="K7" s="1194" t="e">
        <f>J6&amp;".1"</f>
        <v>#N/A</v>
      </c>
      <c r="P7" s="1038"/>
      <c r="Q7" s="1038"/>
      <c r="R7" s="845">
        <v>1</v>
      </c>
      <c r="S7" s="833" t="e">
        <f>$K7</f>
        <v>#N/A</v>
      </c>
      <c r="T7" s="398"/>
      <c r="U7" s="834"/>
      <c r="V7" s="312"/>
      <c r="W7" s="312"/>
      <c r="X7" s="314"/>
      <c r="Y7" s="1197"/>
      <c r="Z7" s="1079" t="s">
        <v>61</v>
      </c>
      <c r="AA7" s="1197"/>
      <c r="AB7" s="1079" t="s">
        <v>61</v>
      </c>
      <c r="AC7" s="312"/>
      <c r="AD7" s="312"/>
      <c r="AE7" s="314"/>
      <c r="AF7" s="1197"/>
      <c r="AG7" s="1079" t="s">
        <v>61</v>
      </c>
      <c r="AH7" s="1199"/>
      <c r="AI7" s="1079" t="s">
        <v>61</v>
      </c>
      <c r="AJ7" s="399"/>
      <c r="AK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8" t="e">
        <f ca="1">STRCHECKDATE(V8:AJ8)</f>
        <v>#NAME?</v>
      </c>
      <c r="AN7" s="583" t="str">
        <f t="shared" si="0"/>
        <v/>
      </c>
      <c r="AQ7" s="539">
        <v>0</v>
      </c>
    </row>
    <row r="8" spans="5:43" ht="14.25" hidden="1" customHeight="1">
      <c r="E8" s="1193"/>
      <c r="F8" s="1193"/>
      <c r="G8" s="1193"/>
      <c r="H8" s="1193"/>
      <c r="I8" s="1195"/>
      <c r="J8" s="1195"/>
      <c r="K8" s="1194"/>
      <c r="P8" s="1038"/>
      <c r="Q8" s="1038"/>
      <c r="R8" s="845"/>
      <c r="S8" s="127"/>
      <c r="T8" s="834"/>
      <c r="U8" s="834"/>
      <c r="V8" s="313"/>
      <c r="W8" s="313"/>
      <c r="X8" s="315" t="str">
        <f>Y7&amp;"-"&amp;AA7</f>
        <v>-</v>
      </c>
      <c r="Y8" s="1198"/>
      <c r="Z8" s="1079"/>
      <c r="AA8" s="1198"/>
      <c r="AB8" s="1079"/>
      <c r="AC8" s="313"/>
      <c r="AD8" s="313"/>
      <c r="AE8" s="315" t="str">
        <f>AF7&amp;"-"&amp;AH7</f>
        <v>-</v>
      </c>
      <c r="AF8" s="1198"/>
      <c r="AG8" s="1079"/>
      <c r="AH8" s="1200"/>
      <c r="AI8" s="1079"/>
      <c r="AJ8" s="388"/>
      <c r="AK8" s="1266"/>
      <c r="AN8" s="583" t="str">
        <f t="shared" si="0"/>
        <v/>
      </c>
      <c r="AQ8" s="539">
        <v>0</v>
      </c>
    </row>
    <row r="9" spans="5:43" ht="21" hidden="1" customHeight="1">
      <c r="E9" s="1193"/>
      <c r="F9" s="1193"/>
      <c r="G9" s="1193"/>
      <c r="H9" s="1193"/>
      <c r="I9" s="1195"/>
      <c r="J9" s="1194"/>
      <c r="P9" s="1038"/>
      <c r="Q9" s="1038"/>
      <c r="R9" s="843"/>
      <c r="S9" s="316"/>
      <c r="T9" s="319" t="s">
        <v>494</v>
      </c>
      <c r="U9" s="52"/>
      <c r="V9" s="52"/>
      <c r="W9" s="52"/>
      <c r="X9" s="52"/>
      <c r="Y9" s="52"/>
      <c r="Z9" s="52"/>
      <c r="AA9" s="52"/>
      <c r="AB9" s="52"/>
      <c r="AC9" s="52"/>
      <c r="AD9" s="52"/>
      <c r="AE9" s="52"/>
      <c r="AF9" s="52"/>
      <c r="AG9" s="52"/>
      <c r="AH9" s="52"/>
      <c r="AI9" s="52"/>
      <c r="AJ9" s="52"/>
      <c r="AK9" s="836" t="s">
        <v>495</v>
      </c>
      <c r="AN9" s="583" t="str">
        <f t="shared" si="0"/>
        <v>Добавить значение признака дифференциации</v>
      </c>
      <c r="AQ9" s="539">
        <v>0</v>
      </c>
    </row>
    <row r="10" spans="5:43" ht="21" hidden="1" customHeight="1">
      <c r="E10" s="1193"/>
      <c r="F10" s="1193"/>
      <c r="G10" s="1193"/>
      <c r="H10" s="1193"/>
      <c r="I10" s="1194"/>
      <c r="P10" s="1038"/>
      <c r="R10" s="843"/>
      <c r="S10" s="316"/>
      <c r="T10" s="322" t="s">
        <v>420</v>
      </c>
      <c r="U10" s="52"/>
      <c r="V10" s="52"/>
      <c r="W10" s="52"/>
      <c r="X10" s="52"/>
      <c r="Y10" s="52"/>
      <c r="Z10" s="52"/>
      <c r="AA10" s="52"/>
      <c r="AB10" s="320"/>
      <c r="AC10" s="52"/>
      <c r="AD10" s="52"/>
      <c r="AE10" s="52"/>
      <c r="AF10" s="52"/>
      <c r="AG10" s="52"/>
      <c r="AH10" s="52"/>
      <c r="AI10" s="320"/>
      <c r="AJ10" s="52"/>
      <c r="AK10" s="400"/>
      <c r="AN10" s="583" t="str">
        <f t="shared" si="0"/>
        <v>Добавить группу потребителей</v>
      </c>
      <c r="AQ10" s="539">
        <v>0</v>
      </c>
    </row>
    <row r="11" spans="5:43" ht="21" hidden="1" customHeight="1">
      <c r="E11" s="1193"/>
      <c r="F11" s="1193"/>
      <c r="G11" s="1193"/>
      <c r="H11" s="1192"/>
      <c r="R11" s="311"/>
      <c r="S11" s="316"/>
      <c r="T11" s="377" t="s">
        <v>496</v>
      </c>
      <c r="U11" s="52"/>
      <c r="V11" s="52"/>
      <c r="W11" s="52"/>
      <c r="X11" s="52"/>
      <c r="Y11" s="52"/>
      <c r="Z11" s="52"/>
      <c r="AA11" s="52"/>
      <c r="AB11" s="320"/>
      <c r="AC11" s="52"/>
      <c r="AD11" s="52"/>
      <c r="AE11" s="52"/>
      <c r="AF11" s="52"/>
      <c r="AG11" s="52"/>
      <c r="AH11" s="52"/>
      <c r="AI11" s="320"/>
      <c r="AJ11" s="52"/>
      <c r="AK11" s="321"/>
      <c r="AN11" s="583" t="str">
        <f t="shared" si="0"/>
        <v>Добавить наименование признака дифференциации</v>
      </c>
      <c r="AQ11" s="539">
        <v>0</v>
      </c>
    </row>
    <row r="12" spans="5:43" ht="14.25" hidden="1" customHeight="1">
      <c r="E12" s="1193"/>
      <c r="F12" s="1192"/>
      <c r="T12" s="327" t="s">
        <v>423</v>
      </c>
      <c r="AN12" s="583" t="str">
        <f t="shared" si="0"/>
        <v>Добавить централизованную систему для дифференциации</v>
      </c>
      <c r="AQ12" s="578">
        <v>0</v>
      </c>
    </row>
    <row r="13" spans="5:43" ht="14.25" hidden="1" customHeight="1">
      <c r="E13" s="1192"/>
      <c r="T13" s="327" t="s">
        <v>424</v>
      </c>
      <c r="AN13" s="583" t="str">
        <f t="shared" si="0"/>
        <v>Добавить территорию для дифференциации</v>
      </c>
      <c r="AQ13" s="578">
        <v>0</v>
      </c>
    </row>
    <row r="14" spans="5:43" ht="14.25" hidden="1" customHeight="1">
      <c r="AQ14" s="539">
        <v>0</v>
      </c>
    </row>
    <row r="15" spans="5:43" ht="14.25" hidden="1" customHeight="1">
      <c r="AC15" s="276"/>
      <c r="AD15" s="276"/>
      <c r="AE15" s="328"/>
      <c r="AF15" s="1191"/>
      <c r="AG15" s="1190" t="s">
        <v>61</v>
      </c>
      <c r="AH15" s="1191"/>
      <c r="AI15" s="1190" t="s">
        <v>61</v>
      </c>
      <c r="AQ15" s="539">
        <v>0</v>
      </c>
    </row>
    <row r="16" spans="5:43" ht="14.25" hidden="1" customHeight="1">
      <c r="AC16" s="276"/>
      <c r="AD16" s="276"/>
      <c r="AE16" s="315" t="str">
        <f>AF15&amp;"-"&amp;AH15</f>
        <v>-</v>
      </c>
      <c r="AF16" s="1190"/>
      <c r="AG16" s="1190"/>
      <c r="AH16" s="1190"/>
      <c r="AI16" s="1190"/>
      <c r="AQ16" s="539">
        <v>0</v>
      </c>
    </row>
    <row r="17" spans="15:43" ht="14.25" hidden="1" customHeight="1">
      <c r="AQ17" s="539">
        <v>0</v>
      </c>
    </row>
    <row r="18" spans="15:43" ht="22.5" hidden="1" customHeight="1">
      <c r="O18" s="329" t="s">
        <v>425</v>
      </c>
      <c r="Y18" s="329"/>
      <c r="AA18" s="329"/>
      <c r="AF18" s="329"/>
      <c r="AH18" s="329"/>
      <c r="AQ18" s="556">
        <v>0</v>
      </c>
    </row>
    <row r="19" spans="15:43" ht="14.25" hidden="1" customHeight="1">
      <c r="AQ19" s="556">
        <v>0</v>
      </c>
    </row>
    <row r="20" spans="15:43" ht="12" hidden="1" customHeight="1">
      <c r="O20" s="842" t="s">
        <v>426</v>
      </c>
      <c r="T20" s="556" t="s">
        <v>427</v>
      </c>
      <c r="Z20" s="599" t="s">
        <v>428</v>
      </c>
      <c r="AB20" s="599" t="s">
        <v>429</v>
      </c>
      <c r="AC20" s="556" t="s">
        <v>427</v>
      </c>
      <c r="AG20" s="599" t="s">
        <v>430</v>
      </c>
      <c r="AI20" s="599" t="s">
        <v>429</v>
      </c>
      <c r="AQ20" s="556">
        <v>0</v>
      </c>
    </row>
    <row r="21" spans="15:43" ht="14.25" hidden="1" customHeight="1">
      <c r="AQ21" s="539">
        <v>0</v>
      </c>
    </row>
    <row r="22" spans="15:43" ht="14.25" hidden="1" customHeight="1">
      <c r="AQ22" s="539">
        <v>0</v>
      </c>
    </row>
    <row r="23" spans="15:43" ht="14.65" customHeight="1">
      <c r="Q23" s="757"/>
      <c r="R23" s="757"/>
      <c r="S23" s="848"/>
      <c r="T23" s="557"/>
      <c r="U23" s="557"/>
      <c r="AQ23" s="539">
        <v>14</v>
      </c>
    </row>
    <row r="24" spans="15:43" ht="14.65" customHeight="1">
      <c r="Q24" s="757"/>
      <c r="R24" s="757"/>
      <c r="S24" s="1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174"/>
      <c r="U24" s="1174"/>
      <c r="V24" s="1174"/>
      <c r="W24" s="1174"/>
      <c r="X24" s="1174"/>
      <c r="Y24" s="1174"/>
      <c r="Z24" s="1174"/>
      <c r="AA24" s="1174"/>
      <c r="AB24" s="1174"/>
      <c r="AC24" s="1174"/>
      <c r="AD24" s="1174"/>
      <c r="AE24" s="1174"/>
      <c r="AF24" s="1174"/>
      <c r="AG24" s="1174"/>
      <c r="AH24" s="1174"/>
      <c r="AQ24" s="539">
        <v>14</v>
      </c>
    </row>
    <row r="25" spans="15:43" ht="14.65" customHeight="1">
      <c r="Q25" s="757"/>
      <c r="R25" s="757"/>
      <c r="S25" s="1148" t="str">
        <f>IF(org=0,"Не определено",org)</f>
        <v>АО "НИЖЕГОРОДСКИЙ ВОДОКАНАЛ"</v>
      </c>
      <c r="T25" s="1148"/>
      <c r="U25" s="1148"/>
      <c r="V25" s="1148"/>
      <c r="W25" s="1148"/>
      <c r="X25" s="1148"/>
      <c r="Y25" s="1148"/>
      <c r="Z25" s="1148"/>
      <c r="AA25" s="1148"/>
      <c r="AB25" s="1148"/>
      <c r="AC25" s="1148"/>
      <c r="AD25" s="1148"/>
      <c r="AE25" s="1148"/>
      <c r="AF25" s="1148"/>
      <c r="AG25" s="1148"/>
      <c r="AH25" s="1148"/>
      <c r="AQ25" s="539">
        <v>14</v>
      </c>
    </row>
    <row r="26" spans="15:43" ht="14.25" hidden="1" customHeight="1">
      <c r="Q26" s="757"/>
      <c r="R26" s="757"/>
      <c r="S26" s="848"/>
      <c r="T26" s="557"/>
      <c r="U26" s="557"/>
      <c r="V26" s="827"/>
      <c r="W26" s="827"/>
      <c r="X26" s="827"/>
      <c r="Y26" s="827"/>
      <c r="Z26" s="827"/>
      <c r="AA26" s="827"/>
      <c r="AB26" s="827"/>
      <c r="AC26" s="827"/>
      <c r="AD26" s="827"/>
      <c r="AE26" s="827"/>
      <c r="AF26" s="827"/>
      <c r="AG26" s="827"/>
      <c r="AH26" s="827"/>
      <c r="AI26" s="827"/>
      <c r="AQ26" s="539">
        <v>0</v>
      </c>
    </row>
    <row r="27" spans="15:43" ht="25.5" hidden="1" customHeight="1">
      <c r="S27" s="1184" t="s">
        <v>41</v>
      </c>
      <c r="T27" s="1184"/>
      <c r="U27" s="850"/>
      <c r="V27" s="1186" t="str">
        <f>IF(TITLE_NAME_OR_PR_CHANGE="",IF(TITLE_NAME_OR_PR="","",TITLE_NAME_OR_PR),TITLE_NAME_OR_PR_CHANGE)</f>
        <v/>
      </c>
      <c r="W27" s="1186"/>
      <c r="X27" s="1186"/>
      <c r="Y27" s="1186"/>
      <c r="Z27" s="1186"/>
      <c r="AA27" s="1186"/>
      <c r="AC27" s="1186" t="str">
        <f>IF(TITLE_NAME_OR_PR_CHANGE="",IF(TITLE_NAME_OR_PR="","",TITLE_NAME_OR_PR),TITLE_NAME_OR_PR_CHANGE)</f>
        <v/>
      </c>
      <c r="AD27" s="1186"/>
      <c r="AE27" s="1186"/>
      <c r="AF27" s="1186"/>
      <c r="AG27" s="1186"/>
      <c r="AH27" s="1186"/>
      <c r="AQ27" s="593">
        <v>0</v>
      </c>
    </row>
    <row r="28" spans="15:43" ht="18.75" hidden="1" customHeight="1">
      <c r="S28" s="1184" t="s">
        <v>431</v>
      </c>
      <c r="T28" s="1184"/>
      <c r="U28" s="850"/>
      <c r="V28" s="1185" t="str">
        <f>IF(TITLE_DATE_PR_CHANGE="",IF(TITLE_DATE_PR="","",TITLE_DATE_PR),TITLE_DATE_PR_CHANGE)</f>
        <v/>
      </c>
      <c r="W28" s="1185"/>
      <c r="X28" s="1185"/>
      <c r="Y28" s="1185"/>
      <c r="Z28" s="1185"/>
      <c r="AA28" s="1185"/>
      <c r="AC28" s="1185" t="str">
        <f>IF(TITLE_DATE_PR_CHANGE="",IF(TITLE_DATE_PR="","",TITLE_DATE_PR),TITLE_DATE_PR_CHANGE)</f>
        <v/>
      </c>
      <c r="AD28" s="1185"/>
      <c r="AE28" s="1185"/>
      <c r="AF28" s="1185"/>
      <c r="AG28" s="1185"/>
      <c r="AH28" s="1185"/>
      <c r="AQ28" s="593">
        <v>0</v>
      </c>
    </row>
    <row r="29" spans="15:43" ht="18.75" hidden="1" customHeight="1">
      <c r="S29" s="1184" t="s">
        <v>432</v>
      </c>
      <c r="T29" s="1184"/>
      <c r="U29" s="850"/>
      <c r="V29" s="1186" t="str">
        <f>IF(TITLE_NUMBER_PR_CHANGE="",IF(TITLE_NUMBER_PR="","",TITLE_NUMBER_PR),TITLE_NUMBER_PR_CHANGE)</f>
        <v/>
      </c>
      <c r="W29" s="1186"/>
      <c r="X29" s="1186"/>
      <c r="Y29" s="1186"/>
      <c r="Z29" s="1186"/>
      <c r="AA29" s="1186"/>
      <c r="AC29" s="1186" t="str">
        <f>IF(TITLE_NUMBER_PR_CHANGE="",IF(TITLE_NUMBER_PR="","",TITLE_NUMBER_PR),TITLE_NUMBER_PR_CHANGE)</f>
        <v/>
      </c>
      <c r="AD29" s="1186"/>
      <c r="AE29" s="1186"/>
      <c r="AF29" s="1186"/>
      <c r="AG29" s="1186"/>
      <c r="AH29" s="1186"/>
      <c r="AQ29" s="593">
        <v>0</v>
      </c>
    </row>
    <row r="30" spans="15:43" ht="18.75" hidden="1" customHeight="1">
      <c r="S30" s="1184" t="s">
        <v>42</v>
      </c>
      <c r="T30" s="1184"/>
      <c r="U30" s="850"/>
      <c r="V30" s="1186" t="str">
        <f>IF(TITLE_IST_PUB_CHANGE="",IF(TITLE_IST_PUB="","",TITLE_IST_PUB),TITLE_IST_PUB_CHANGE)</f>
        <v/>
      </c>
      <c r="W30" s="1186"/>
      <c r="X30" s="1186"/>
      <c r="Y30" s="1186"/>
      <c r="Z30" s="1186"/>
      <c r="AA30" s="1186"/>
      <c r="AC30" s="1186" t="str">
        <f>IF(TITLE_IST_PUB_CHANGE="",IF(TITLE_IST_PUB="","",TITLE_IST_PUB),TITLE_IST_PUB_CHANGE)</f>
        <v/>
      </c>
      <c r="AD30" s="1186"/>
      <c r="AE30" s="1186"/>
      <c r="AF30" s="1186"/>
      <c r="AG30" s="1186"/>
      <c r="AH30" s="1186"/>
      <c r="AQ30" s="593">
        <v>0</v>
      </c>
    </row>
    <row r="31" spans="15:43" ht="14.25" hidden="1" customHeight="1">
      <c r="Q31" s="757"/>
      <c r="R31" s="757"/>
      <c r="S31" s="848"/>
      <c r="T31" s="557"/>
      <c r="U31" s="557"/>
      <c r="V31" s="827"/>
      <c r="W31" s="827"/>
      <c r="X31" s="827"/>
      <c r="Y31" s="827"/>
      <c r="Z31" s="827"/>
      <c r="AA31" s="827"/>
      <c r="AB31" s="827"/>
      <c r="AC31" s="827"/>
      <c r="AD31" s="827"/>
      <c r="AE31" s="827"/>
      <c r="AF31" s="827"/>
      <c r="AG31" s="827"/>
      <c r="AH31" s="827"/>
      <c r="AI31" s="827"/>
      <c r="AQ31" s="539">
        <v>0</v>
      </c>
    </row>
    <row r="32" spans="15:43" ht="18.75" hidden="1" customHeight="1">
      <c r="S32" s="1184" t="s">
        <v>433</v>
      </c>
      <c r="T32" s="1184"/>
      <c r="U32" s="850"/>
      <c r="V32" s="1185" t="str">
        <f>IF(TITLE_DATE_PR_CHANGE="",IF(TITLE_DATE_PR="","",TITLE_DATE_PR),TITLE_DATE_PR_CHANGE)</f>
        <v/>
      </c>
      <c r="W32" s="1185"/>
      <c r="X32" s="1185"/>
      <c r="Y32" s="1185"/>
      <c r="Z32" s="1185"/>
      <c r="AA32" s="1185"/>
      <c r="AC32" s="1185" t="str">
        <f>IF(TITLE_DATE_PR_CHANGE="",IF(TITLE_DATE_PR="","",TITLE_DATE_PR),TITLE_DATE_PR_CHANGE)</f>
        <v/>
      </c>
      <c r="AD32" s="1185"/>
      <c r="AE32" s="1185"/>
      <c r="AF32" s="1185"/>
      <c r="AG32" s="1185"/>
      <c r="AH32" s="1185"/>
      <c r="AQ32" s="593">
        <v>0</v>
      </c>
    </row>
    <row r="33" spans="1:43" ht="18.75" hidden="1" customHeight="1">
      <c r="S33" s="1184" t="s">
        <v>434</v>
      </c>
      <c r="T33" s="1184"/>
      <c r="U33" s="850"/>
      <c r="V33" s="1186" t="str">
        <f>IF(TITLE_NUMBER_PR_CHANGE="",IF(TITLE_NUMBER_PR="","",TITLE_NUMBER_PR),TITLE_NUMBER_PR_CHANGE)</f>
        <v/>
      </c>
      <c r="W33" s="1186"/>
      <c r="X33" s="1186"/>
      <c r="Y33" s="1186"/>
      <c r="Z33" s="1186"/>
      <c r="AA33" s="1186"/>
      <c r="AC33" s="1186" t="str">
        <f>IF(TITLE_NUMBER_PR_CHANGE="",IF(TITLE_NUMBER_PR="","",TITLE_NUMBER_PR),TITLE_NUMBER_PR_CHANGE)</f>
        <v/>
      </c>
      <c r="AD33" s="1186"/>
      <c r="AE33" s="1186"/>
      <c r="AF33" s="1186"/>
      <c r="AG33" s="1186"/>
      <c r="AH33" s="1186"/>
      <c r="AQ33" s="593">
        <v>0</v>
      </c>
    </row>
    <row r="34" spans="1:43" ht="1.1499999999999999" customHeight="1">
      <c r="AB34" s="578" t="s">
        <v>435</v>
      </c>
      <c r="AI34" s="578" t="s">
        <v>435</v>
      </c>
      <c r="AQ34" s="593">
        <v>1</v>
      </c>
    </row>
    <row r="35" spans="1:43" ht="14.65" customHeight="1">
      <c r="Q35" s="757"/>
      <c r="R35" s="757"/>
      <c r="S35" s="848"/>
      <c r="T35" s="557"/>
      <c r="U35" s="851"/>
      <c r="V35" s="1204"/>
      <c r="W35" s="1204"/>
      <c r="X35" s="1204"/>
      <c r="Y35" s="1204"/>
      <c r="Z35" s="1204"/>
      <c r="AA35" s="1204"/>
      <c r="AB35" s="1204"/>
      <c r="AC35" s="1204"/>
      <c r="AD35" s="1204"/>
      <c r="AE35" s="1204"/>
      <c r="AF35" s="1204"/>
      <c r="AG35" s="1204"/>
      <c r="AH35" s="1204"/>
      <c r="AI35" s="1204"/>
      <c r="AQ35" s="539">
        <v>14</v>
      </c>
    </row>
    <row r="36" spans="1:43" ht="14.65" customHeight="1">
      <c r="Q36" s="757"/>
      <c r="R36" s="757"/>
      <c r="S36" s="1070" t="s">
        <v>308</v>
      </c>
      <c r="T36" s="1070"/>
      <c r="U36" s="1070"/>
      <c r="V36" s="1070"/>
      <c r="W36" s="1070"/>
      <c r="X36" s="1070"/>
      <c r="Y36" s="1070"/>
      <c r="Z36" s="1070"/>
      <c r="AA36" s="1070"/>
      <c r="AB36" s="1070"/>
      <c r="AC36" s="1070"/>
      <c r="AD36" s="1070"/>
      <c r="AE36" s="1070"/>
      <c r="AF36" s="1070"/>
      <c r="AG36" s="1070"/>
      <c r="AH36" s="1070"/>
      <c r="AI36" s="1070"/>
      <c r="AJ36" s="1070"/>
      <c r="AK36" s="1070" t="s">
        <v>309</v>
      </c>
      <c r="AQ36" s="539">
        <v>14</v>
      </c>
    </row>
    <row r="37" spans="1:43" ht="14.65" customHeight="1">
      <c r="Q37" s="757"/>
      <c r="R37" s="757"/>
      <c r="S37" s="1205" t="s">
        <v>87</v>
      </c>
      <c r="T37" s="1155" t="s">
        <v>436</v>
      </c>
      <c r="U37" s="818"/>
      <c r="V37" s="1206" t="s">
        <v>437</v>
      </c>
      <c r="W37" s="1207"/>
      <c r="X37" s="1207"/>
      <c r="Y37" s="1207"/>
      <c r="Z37" s="1207"/>
      <c r="AA37" s="1208"/>
      <c r="AB37" s="1209" t="s">
        <v>438</v>
      </c>
      <c r="AC37" s="1206" t="s">
        <v>437</v>
      </c>
      <c r="AD37" s="1207"/>
      <c r="AE37" s="1207"/>
      <c r="AF37" s="1207"/>
      <c r="AG37" s="1207"/>
      <c r="AH37" s="1208"/>
      <c r="AI37" s="1209" t="s">
        <v>439</v>
      </c>
      <c r="AJ37" s="1212" t="s">
        <v>440</v>
      </c>
      <c r="AK37" s="1070"/>
      <c r="AQ37" s="539">
        <v>14</v>
      </c>
    </row>
    <row r="38" spans="1:43" ht="35.65" customHeight="1">
      <c r="Q38" s="757"/>
      <c r="R38" s="757"/>
      <c r="S38" s="1205"/>
      <c r="T38" s="1155"/>
      <c r="U38" s="823"/>
      <c r="V38" s="618" t="s">
        <v>497</v>
      </c>
      <c r="W38" s="1051" t="s">
        <v>443</v>
      </c>
      <c r="X38" s="1050"/>
      <c r="Y38" s="1051" t="s">
        <v>444</v>
      </c>
      <c r="Z38" s="1056"/>
      <c r="AA38" s="1050"/>
      <c r="AB38" s="1210"/>
      <c r="AC38" s="618" t="s">
        <v>497</v>
      </c>
      <c r="AD38" s="1051" t="s">
        <v>443</v>
      </c>
      <c r="AE38" s="1050"/>
      <c r="AF38" s="1051" t="s">
        <v>444</v>
      </c>
      <c r="AG38" s="1056"/>
      <c r="AH38" s="1050"/>
      <c r="AI38" s="1210"/>
      <c r="AJ38" s="1213"/>
      <c r="AK38" s="1070"/>
      <c r="AQ38" s="539">
        <v>34</v>
      </c>
    </row>
    <row r="39" spans="1:43" ht="90.4" customHeight="1">
      <c r="B39" s="599" t="s">
        <v>145</v>
      </c>
      <c r="C39" s="599" t="s">
        <v>146</v>
      </c>
      <c r="D39" s="599" t="s">
        <v>147</v>
      </c>
      <c r="E39" s="842" t="s">
        <v>445</v>
      </c>
      <c r="F39" s="842" t="s">
        <v>446</v>
      </c>
      <c r="G39" s="842" t="s">
        <v>447</v>
      </c>
      <c r="I39" s="842" t="s">
        <v>498</v>
      </c>
      <c r="J39" s="842" t="s">
        <v>450</v>
      </c>
      <c r="K39" s="842" t="s">
        <v>499</v>
      </c>
      <c r="L39" s="842" t="s">
        <v>426</v>
      </c>
      <c r="Q39" s="757"/>
      <c r="R39" s="757"/>
      <c r="S39" s="1205"/>
      <c r="T39" s="1155"/>
      <c r="U39" s="853"/>
      <c r="V39" s="618" t="s">
        <v>526</v>
      </c>
      <c r="W39" s="603" t="s">
        <v>527</v>
      </c>
      <c r="X39" s="603" t="s">
        <v>502</v>
      </c>
      <c r="Y39" s="603" t="s">
        <v>454</v>
      </c>
      <c r="Z39" s="1160" t="s">
        <v>455</v>
      </c>
      <c r="AA39" s="1173"/>
      <c r="AB39" s="1211"/>
      <c r="AC39" s="618" t="s">
        <v>526</v>
      </c>
      <c r="AD39" s="603" t="s">
        <v>527</v>
      </c>
      <c r="AE39" s="603" t="s">
        <v>502</v>
      </c>
      <c r="AF39" s="603" t="s">
        <v>454</v>
      </c>
      <c r="AG39" s="1160" t="s">
        <v>455</v>
      </c>
      <c r="AH39" s="1173"/>
      <c r="AI39" s="1211"/>
      <c r="AJ39" s="1214"/>
      <c r="AK39" s="1070"/>
      <c r="AQ39" s="539">
        <v>86</v>
      </c>
    </row>
    <row r="40" spans="1:43" ht="11.25" hidden="1" customHeight="1">
      <c r="Q40" s="854"/>
      <c r="R40" s="855">
        <v>1</v>
      </c>
      <c r="S40" s="330" t="s">
        <v>114</v>
      </c>
      <c r="T40" s="331" t="s">
        <v>102</v>
      </c>
      <c r="U40" s="856" t="str">
        <f ca="1">OFFSET(U40,0,-1)</f>
        <v>2</v>
      </c>
      <c r="V40" s="857">
        <f ca="1">OFFSET(V40,0,-1)+1</f>
        <v>3</v>
      </c>
      <c r="W40" s="857">
        <f ca="1">OFFSET(W40,0,-1)+1</f>
        <v>4</v>
      </c>
      <c r="X40" s="857">
        <f ca="1">OFFSET(X40,0,-1)+1</f>
        <v>5</v>
      </c>
      <c r="Y40" s="857">
        <f ca="1">OFFSET(Y40,0,-1)+1</f>
        <v>6</v>
      </c>
      <c r="Z40" s="1203">
        <f ca="1">OFFSET(Z40,0,-1)+1</f>
        <v>7</v>
      </c>
      <c r="AA40" s="1203"/>
      <c r="AB40" s="857">
        <f ca="1">OFFSET(AB40,0,-2)+1</f>
        <v>8</v>
      </c>
      <c r="AC40" s="857">
        <f ca="1">OFFSET(AC40,0,-1)+1</f>
        <v>9</v>
      </c>
      <c r="AD40" s="857">
        <f ca="1">OFFSET(AD40,0,-1)+1</f>
        <v>10</v>
      </c>
      <c r="AE40" s="857">
        <f ca="1">OFFSET(AE40,0,-1)+1</f>
        <v>11</v>
      </c>
      <c r="AF40" s="857">
        <f ca="1">OFFSET(AF40,0,-1)+1</f>
        <v>12</v>
      </c>
      <c r="AG40" s="1203">
        <f ca="1">OFFSET(AG40,0,-1)+1</f>
        <v>13</v>
      </c>
      <c r="AH40" s="1203"/>
      <c r="AI40" s="857">
        <f ca="1">OFFSET(AI40,0,-2)+1</f>
        <v>14</v>
      </c>
      <c r="AJ40" s="856">
        <f ca="1">OFFSET(AJ40,0,-1)</f>
        <v>14</v>
      </c>
      <c r="AK40" s="857">
        <f ca="1">OFFSET(AK40,0,-1)+1</f>
        <v>15</v>
      </c>
      <c r="AQ40" s="682">
        <v>0</v>
      </c>
    </row>
    <row r="41" spans="1:43" ht="24" customHeight="1">
      <c r="A41" s="858" t="s">
        <v>274</v>
      </c>
      <c r="E41" s="1192">
        <v>1</v>
      </c>
      <c r="R41" s="311"/>
      <c r="S41" s="833">
        <f>INDEX(PT_DIFFERENTIATION_NUM_NTAR,MATCH(A41,PT_DIFFERENTIATION_NTAR_ID,0))</f>
        <v>0</v>
      </c>
      <c r="T41" s="796" t="s">
        <v>133</v>
      </c>
      <c r="U41" s="834"/>
      <c r="V41" s="1187"/>
      <c r="W41" s="1188"/>
      <c r="X41" s="1188"/>
      <c r="Y41" s="1188"/>
      <c r="Z41" s="1188"/>
      <c r="AA41" s="1188"/>
      <c r="AB41" s="1189"/>
      <c r="AC41" s="1187" t="str">
        <f>INDEX(PT_DIFFERENTIATION_NTAR,MATCH(A41,PT_DIFFERENTIATION_NTAR_ID,0))</f>
        <v/>
      </c>
      <c r="AD41" s="1188"/>
      <c r="AE41" s="1188"/>
      <c r="AF41" s="1188"/>
      <c r="AG41" s="1188"/>
      <c r="AH41" s="1188"/>
      <c r="AI41" s="1188"/>
      <c r="AJ41" s="1189"/>
      <c r="AK41"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3" t="str">
        <f t="shared" ref="AN41:AN53" si="1">IF(T41="","",T41)</f>
        <v>Наименование тарифа</v>
      </c>
      <c r="AQ41" s="539">
        <v>23</v>
      </c>
    </row>
    <row r="42" spans="1:43" ht="24" customHeight="1">
      <c r="A42" s="858" t="s">
        <v>274</v>
      </c>
      <c r="B42" s="858" t="s">
        <v>275</v>
      </c>
      <c r="E42" s="1193"/>
      <c r="F42" s="1192">
        <v>1</v>
      </c>
      <c r="Q42" s="837"/>
      <c r="R42" s="838"/>
      <c r="S42" s="833" t="str">
        <f>INDEX(PT_DIFFERENTIATION_NUM_TER,MATCH(B42,PT_DIFFERENTIATION_TER_ID,0))</f>
        <v>.</v>
      </c>
      <c r="T42" s="839" t="s">
        <v>405</v>
      </c>
      <c r="U42" s="834"/>
      <c r="V42" s="1187"/>
      <c r="W42" s="1188"/>
      <c r="X42" s="1188"/>
      <c r="Y42" s="1188"/>
      <c r="Z42" s="1188"/>
      <c r="AA42" s="1188"/>
      <c r="AB42" s="1189"/>
      <c r="AC42" s="1187" t="str">
        <f>INDEX(PT_DIFFERENTIATION_TER,MATCH(B42,PT_DIFFERENTIATION_TER_ID,0))</f>
        <v/>
      </c>
      <c r="AD42" s="1188"/>
      <c r="AE42" s="1188"/>
      <c r="AF42" s="1188"/>
      <c r="AG42" s="1188"/>
      <c r="AH42" s="1188"/>
      <c r="AI42" s="1188"/>
      <c r="AJ42" s="1189"/>
      <c r="AK42" s="836" t="s">
        <v>406</v>
      </c>
      <c r="AN42" s="583" t="str">
        <f t="shared" si="1"/>
        <v>Территория действия тарифа</v>
      </c>
      <c r="AQ42" s="539">
        <v>23</v>
      </c>
    </row>
    <row r="43" spans="1:43" ht="24" customHeight="1">
      <c r="A43" s="858" t="s">
        <v>274</v>
      </c>
      <c r="B43" s="858" t="s">
        <v>275</v>
      </c>
      <c r="C43" s="858" t="s">
        <v>276</v>
      </c>
      <c r="E43" s="1193"/>
      <c r="F43" s="1193"/>
      <c r="G43" s="1192">
        <v>1</v>
      </c>
      <c r="Q43" s="837"/>
      <c r="R43" s="838"/>
      <c r="S43" s="833" t="str">
        <f>INDEX(PT_DIFFERENTIATION_NUM_CS,MATCH(C43,PT_DIFFERENTIATION_CS_ID,0))</f>
        <v>..</v>
      </c>
      <c r="T43" s="840" t="s">
        <v>524</v>
      </c>
      <c r="U43" s="834"/>
      <c r="V43" s="1187"/>
      <c r="W43" s="1188"/>
      <c r="X43" s="1188"/>
      <c r="Y43" s="1188"/>
      <c r="Z43" s="1188"/>
      <c r="AA43" s="1188"/>
      <c r="AB43" s="1189"/>
      <c r="AC43" s="1187" t="str">
        <f>INDEX(PT_DIFFERENTIATION_CS,MATCH(C43,PT_DIFFERENTIATION_CS_ID,0))</f>
        <v/>
      </c>
      <c r="AD43" s="1188"/>
      <c r="AE43" s="1188"/>
      <c r="AF43" s="1188"/>
      <c r="AG43" s="1188"/>
      <c r="AH43" s="1188"/>
      <c r="AI43" s="1188"/>
      <c r="AJ43" s="1189"/>
      <c r="AK43" s="836" t="s">
        <v>525</v>
      </c>
      <c r="AN43" s="583" t="str">
        <f t="shared" si="1"/>
        <v>Наименование централизованной системы водоотведения</v>
      </c>
      <c r="AQ43" s="539">
        <v>23</v>
      </c>
    </row>
    <row r="44" spans="1:43" ht="24" customHeight="1">
      <c r="A44" s="858" t="s">
        <v>274</v>
      </c>
      <c r="B44" s="858" t="s">
        <v>275</v>
      </c>
      <c r="C44" s="858" t="s">
        <v>276</v>
      </c>
      <c r="D44" s="858" t="s">
        <v>528</v>
      </c>
      <c r="E44" s="1193"/>
      <c r="F44" s="1193"/>
      <c r="G44" s="1193"/>
      <c r="H44" s="1193"/>
      <c r="I44" s="1194" t="str">
        <f>S43&amp;".1"</f>
        <v>...1</v>
      </c>
      <c r="P44" s="1196">
        <v>1</v>
      </c>
      <c r="R44" s="843"/>
      <c r="S44" s="833" t="str">
        <f>$I44</f>
        <v>...1</v>
      </c>
      <c r="T44" s="844" t="s">
        <v>491</v>
      </c>
      <c r="U44" s="834"/>
      <c r="V44" s="1260"/>
      <c r="W44" s="1261"/>
      <c r="X44" s="1261"/>
      <c r="Y44" s="1261"/>
      <c r="Z44" s="1261"/>
      <c r="AA44" s="1261"/>
      <c r="AB44" s="1262"/>
      <c r="AC44" s="1263"/>
      <c r="AD44" s="1264"/>
      <c r="AE44" s="1264"/>
      <c r="AF44" s="1264"/>
      <c r="AG44" s="1264"/>
      <c r="AH44" s="1264"/>
      <c r="AI44" s="1264"/>
      <c r="AJ44" s="1265"/>
      <c r="AK44" s="836" t="s">
        <v>492</v>
      </c>
      <c r="AN44" s="583" t="str">
        <f t="shared" si="1"/>
        <v>Наименование признака дифференциации</v>
      </c>
      <c r="AQ44" s="539">
        <v>23</v>
      </c>
    </row>
    <row r="45" spans="1:43" ht="24" customHeight="1">
      <c r="A45" s="858" t="s">
        <v>274</v>
      </c>
      <c r="B45" s="858" t="s">
        <v>275</v>
      </c>
      <c r="C45" s="858" t="s">
        <v>276</v>
      </c>
      <c r="D45" s="858" t="s">
        <v>528</v>
      </c>
      <c r="E45" s="1193"/>
      <c r="F45" s="1193"/>
      <c r="G45" s="1193"/>
      <c r="H45" s="1193"/>
      <c r="I45" s="1195"/>
      <c r="J45" s="1194" t="str">
        <f>I44&amp;".1"</f>
        <v>...1.1</v>
      </c>
      <c r="L45" s="842" t="s">
        <v>414</v>
      </c>
      <c r="P45" s="1038"/>
      <c r="Q45" s="1196">
        <v>1</v>
      </c>
      <c r="R45" s="845"/>
      <c r="S45" s="833" t="str">
        <f>$J45</f>
        <v>...1.1</v>
      </c>
      <c r="T45" s="846" t="s">
        <v>415</v>
      </c>
      <c r="U45" s="834"/>
      <c r="V45" s="1181"/>
      <c r="W45" s="1182"/>
      <c r="X45" s="1182"/>
      <c r="Y45" s="1182"/>
      <c r="Z45" s="1182"/>
      <c r="AA45" s="1182"/>
      <c r="AB45" s="1183"/>
      <c r="AC45" s="1181"/>
      <c r="AD45" s="1182"/>
      <c r="AE45" s="1182"/>
      <c r="AF45" s="1182"/>
      <c r="AG45" s="1182"/>
      <c r="AH45" s="1182"/>
      <c r="AI45" s="1182"/>
      <c r="AJ45" s="1183"/>
      <c r="AK45" s="875" t="s">
        <v>493</v>
      </c>
      <c r="AN45" s="583" t="str">
        <f t="shared" si="1"/>
        <v>Группа потребителей</v>
      </c>
      <c r="AQ45" s="539">
        <v>23</v>
      </c>
    </row>
    <row r="46" spans="1:43" ht="24" customHeight="1">
      <c r="A46" s="858" t="s">
        <v>274</v>
      </c>
      <c r="B46" s="858" t="s">
        <v>275</v>
      </c>
      <c r="C46" s="858" t="s">
        <v>276</v>
      </c>
      <c r="D46" s="858" t="s">
        <v>528</v>
      </c>
      <c r="E46" s="1193"/>
      <c r="F46" s="1193"/>
      <c r="G46" s="1193"/>
      <c r="H46" s="1193"/>
      <c r="I46" s="1195"/>
      <c r="J46" s="1195"/>
      <c r="K46" s="1194" t="str">
        <f>J45&amp;".1"</f>
        <v>...1.1.1</v>
      </c>
      <c r="P46" s="1038"/>
      <c r="Q46" s="1038"/>
      <c r="R46" s="845">
        <v>1</v>
      </c>
      <c r="S46" s="833" t="str">
        <f>$K46</f>
        <v>...1.1.1</v>
      </c>
      <c r="T46" s="398"/>
      <c r="U46" s="834"/>
      <c r="V46" s="276"/>
      <c r="W46" s="276"/>
      <c r="X46" s="328"/>
      <c r="Y46" s="1191"/>
      <c r="Z46" s="1190" t="s">
        <v>61</v>
      </c>
      <c r="AA46" s="1191"/>
      <c r="AB46" s="1190" t="s">
        <v>61</v>
      </c>
      <c r="AC46" s="312"/>
      <c r="AD46" s="312"/>
      <c r="AE46" s="314"/>
      <c r="AF46" s="1197"/>
      <c r="AG46" s="1079" t="s">
        <v>61</v>
      </c>
      <c r="AH46" s="1199"/>
      <c r="AI46" s="1079" t="s">
        <v>19</v>
      </c>
      <c r="AJ46" s="399"/>
      <c r="AK46"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8" t="e">
        <f ca="1">STRCHECKDATE(V47:AJ47)</f>
        <v>#NAME?</v>
      </c>
      <c r="AN46" s="583" t="str">
        <f t="shared" si="1"/>
        <v/>
      </c>
      <c r="AQ46" s="539">
        <v>23</v>
      </c>
    </row>
    <row r="47" spans="1:43" ht="0" hidden="1" customHeight="1">
      <c r="A47" s="858" t="s">
        <v>274</v>
      </c>
      <c r="B47" s="858" t="s">
        <v>275</v>
      </c>
      <c r="C47" s="858" t="s">
        <v>276</v>
      </c>
      <c r="D47" s="858" t="s">
        <v>528</v>
      </c>
      <c r="E47" s="1193"/>
      <c r="F47" s="1193"/>
      <c r="G47" s="1193"/>
      <c r="H47" s="1193"/>
      <c r="I47" s="1195"/>
      <c r="J47" s="1195"/>
      <c r="K47" s="1194"/>
      <c r="P47" s="1038"/>
      <c r="Q47" s="1038"/>
      <c r="R47" s="845"/>
      <c r="S47" s="127"/>
      <c r="T47" s="834"/>
      <c r="U47" s="834"/>
      <c r="V47" s="276"/>
      <c r="W47" s="276"/>
      <c r="X47" s="315" t="str">
        <f>Y46&amp;"-"&amp;AA46</f>
        <v>-</v>
      </c>
      <c r="Y47" s="1190"/>
      <c r="Z47" s="1190"/>
      <c r="AA47" s="1190"/>
      <c r="AB47" s="1190"/>
      <c r="AC47" s="313"/>
      <c r="AD47" s="313"/>
      <c r="AE47" s="315" t="str">
        <f>AF46&amp;"-"&amp;AH46</f>
        <v>-</v>
      </c>
      <c r="AF47" s="1198"/>
      <c r="AG47" s="1079"/>
      <c r="AH47" s="1200"/>
      <c r="AI47" s="1079"/>
      <c r="AJ47" s="388"/>
      <c r="AK47" s="1266"/>
      <c r="AN47" s="583" t="str">
        <f t="shared" si="1"/>
        <v/>
      </c>
      <c r="AQ47" s="539">
        <v>0</v>
      </c>
    </row>
    <row r="48" spans="1:43" ht="21" customHeight="1">
      <c r="A48" s="858" t="s">
        <v>274</v>
      </c>
      <c r="B48" s="858" t="s">
        <v>275</v>
      </c>
      <c r="C48" s="858" t="s">
        <v>276</v>
      </c>
      <c r="D48" s="858" t="s">
        <v>528</v>
      </c>
      <c r="E48" s="1193"/>
      <c r="F48" s="1193"/>
      <c r="G48" s="1193"/>
      <c r="H48" s="1193"/>
      <c r="I48" s="1195"/>
      <c r="J48" s="1194"/>
      <c r="P48" s="1038"/>
      <c r="Q48" s="1038"/>
      <c r="R48" s="843"/>
      <c r="S48" s="316"/>
      <c r="T48" s="319" t="s">
        <v>494</v>
      </c>
      <c r="U48" s="52"/>
      <c r="V48" s="52"/>
      <c r="W48" s="52"/>
      <c r="X48" s="52"/>
      <c r="Y48" s="52"/>
      <c r="Z48" s="52"/>
      <c r="AA48" s="52"/>
      <c r="AB48" s="52"/>
      <c r="AC48" s="52"/>
      <c r="AD48" s="52"/>
      <c r="AE48" s="52"/>
      <c r="AF48" s="52"/>
      <c r="AG48" s="52"/>
      <c r="AH48" s="52"/>
      <c r="AI48" s="52"/>
      <c r="AJ48" s="52"/>
      <c r="AK48" s="836" t="s">
        <v>495</v>
      </c>
      <c r="AN48" s="583" t="str">
        <f t="shared" si="1"/>
        <v>Добавить значение признака дифференциации</v>
      </c>
      <c r="AQ48" s="539">
        <v>20</v>
      </c>
    </row>
    <row r="49" spans="1:43" ht="21.95" customHeight="1">
      <c r="A49" s="858" t="s">
        <v>274</v>
      </c>
      <c r="B49" s="858" t="s">
        <v>275</v>
      </c>
      <c r="C49" s="858" t="s">
        <v>276</v>
      </c>
      <c r="D49" s="858" t="s">
        <v>528</v>
      </c>
      <c r="E49" s="1193"/>
      <c r="F49" s="1193"/>
      <c r="G49" s="1193"/>
      <c r="H49" s="1193"/>
      <c r="I49" s="1194"/>
      <c r="P49" s="1038"/>
      <c r="R49" s="843"/>
      <c r="S49" s="316"/>
      <c r="T49" s="322" t="s">
        <v>420</v>
      </c>
      <c r="U49" s="52"/>
      <c r="V49" s="52"/>
      <c r="W49" s="52"/>
      <c r="X49" s="52"/>
      <c r="Y49" s="52"/>
      <c r="Z49" s="52"/>
      <c r="AA49" s="52"/>
      <c r="AB49" s="320"/>
      <c r="AC49" s="52"/>
      <c r="AD49" s="52"/>
      <c r="AE49" s="52"/>
      <c r="AF49" s="52"/>
      <c r="AG49" s="52"/>
      <c r="AH49" s="52"/>
      <c r="AI49" s="320"/>
      <c r="AJ49" s="52"/>
      <c r="AK49" s="400"/>
      <c r="AN49" s="583" t="str">
        <f t="shared" si="1"/>
        <v>Добавить группу потребителей</v>
      </c>
      <c r="AQ49" s="539">
        <v>21</v>
      </c>
    </row>
    <row r="50" spans="1:43" ht="21.95" customHeight="1">
      <c r="A50" s="858" t="s">
        <v>274</v>
      </c>
      <c r="B50" s="858" t="s">
        <v>275</v>
      </c>
      <c r="C50" s="858" t="s">
        <v>276</v>
      </c>
      <c r="D50" s="858" t="s">
        <v>528</v>
      </c>
      <c r="E50" s="1193"/>
      <c r="F50" s="1193"/>
      <c r="G50" s="1193"/>
      <c r="H50" s="1192"/>
      <c r="R50" s="311"/>
      <c r="S50" s="316"/>
      <c r="T50" s="377" t="s">
        <v>496</v>
      </c>
      <c r="U50" s="52"/>
      <c r="V50" s="52"/>
      <c r="W50" s="52"/>
      <c r="X50" s="52"/>
      <c r="Y50" s="52"/>
      <c r="Z50" s="52"/>
      <c r="AA50" s="52"/>
      <c r="AB50" s="320"/>
      <c r="AC50" s="52"/>
      <c r="AD50" s="52"/>
      <c r="AE50" s="52"/>
      <c r="AF50" s="52"/>
      <c r="AG50" s="52"/>
      <c r="AH50" s="52"/>
      <c r="AI50" s="320"/>
      <c r="AJ50" s="52"/>
      <c r="AK50" s="321"/>
      <c r="AN50" s="583" t="str">
        <f t="shared" si="1"/>
        <v>Добавить наименование признака дифференциации</v>
      </c>
      <c r="AQ50" s="539">
        <v>21</v>
      </c>
    </row>
    <row r="51" spans="1:43" ht="0" hidden="1" customHeight="1">
      <c r="A51" s="575" t="s">
        <v>274</v>
      </c>
      <c r="B51" s="575" t="s">
        <v>275</v>
      </c>
      <c r="E51" s="1193"/>
      <c r="F51" s="1192"/>
      <c r="T51" s="327" t="s">
        <v>423</v>
      </c>
      <c r="AN51" s="583" t="str">
        <f t="shared" si="1"/>
        <v>Добавить централизованную систему для дифференциации</v>
      </c>
      <c r="AQ51" s="578">
        <v>0</v>
      </c>
    </row>
    <row r="52" spans="1:43" ht="0" hidden="1" customHeight="1">
      <c r="A52" s="575" t="s">
        <v>274</v>
      </c>
      <c r="E52" s="1192"/>
      <c r="T52" s="327" t="s">
        <v>424</v>
      </c>
      <c r="AN52" s="583" t="str">
        <f t="shared" si="1"/>
        <v>Добавить территорию для дифференциации</v>
      </c>
      <c r="AQ52" s="578">
        <v>0</v>
      </c>
    </row>
    <row r="53" spans="1:43" ht="0" hidden="1" customHeight="1">
      <c r="T53" s="327" t="s">
        <v>456</v>
      </c>
      <c r="AN53" s="583" t="str">
        <f t="shared" si="1"/>
        <v>Добавить наименование тарифа</v>
      </c>
      <c r="AQ53" s="578">
        <v>0</v>
      </c>
    </row>
    <row r="54" spans="1:43" ht="11.45" customHeight="1">
      <c r="AQ54" s="539">
        <v>11</v>
      </c>
    </row>
    <row r="55" spans="1:43" ht="14.65" customHeight="1">
      <c r="T55" s="1038"/>
      <c r="U55" s="1038"/>
      <c r="V55" s="1038"/>
      <c r="W55" s="1038"/>
      <c r="X55" s="1038"/>
      <c r="Y55" s="1038"/>
      <c r="Z55" s="1038"/>
      <c r="AA55" s="1038"/>
      <c r="AB55" s="1038"/>
      <c r="AC55" s="1038"/>
      <c r="AD55" s="1038"/>
      <c r="AE55" s="1038"/>
      <c r="AF55" s="1038"/>
      <c r="AG55" s="1038"/>
      <c r="AH55" s="1038"/>
      <c r="AI55" s="1038"/>
      <c r="AJ55" s="1038"/>
      <c r="AK55" s="1038"/>
      <c r="AQ55" s="539">
        <v>14</v>
      </c>
    </row>
    <row r="56" spans="1:43" ht="14.65" customHeight="1">
      <c r="AQ56" s="539">
        <v>14</v>
      </c>
    </row>
    <row r="57" spans="1:43" ht="14.65" customHeight="1">
      <c r="T57" s="1038"/>
      <c r="U57" s="1038"/>
      <c r="V57" s="1038"/>
      <c r="W57" s="1038"/>
      <c r="X57" s="1038"/>
      <c r="Y57" s="1038"/>
      <c r="Z57" s="1038"/>
      <c r="AA57" s="1038"/>
      <c r="AB57" s="1038"/>
      <c r="AC57" s="1038"/>
      <c r="AD57" s="1038"/>
      <c r="AE57" s="1038"/>
      <c r="AF57" s="1038"/>
      <c r="AG57" s="1038"/>
      <c r="AH57" s="1038"/>
      <c r="AI57" s="1038"/>
      <c r="AJ57" s="1038"/>
      <c r="AK57" s="1038"/>
      <c r="AQ57" s="539">
        <v>14</v>
      </c>
    </row>
    <row r="58" spans="1:43" ht="22.5" hidden="1" customHeight="1">
      <c r="A58" s="556" t="s">
        <v>81</v>
      </c>
      <c r="B58" s="556">
        <v>0</v>
      </c>
      <c r="C58" s="556">
        <v>0</v>
      </c>
      <c r="D58" s="556">
        <v>0</v>
      </c>
      <c r="E58" s="556">
        <v>0</v>
      </c>
      <c r="F58" s="556">
        <v>0</v>
      </c>
      <c r="G58" s="556">
        <v>0</v>
      </c>
      <c r="H58" s="556">
        <v>0</v>
      </c>
      <c r="I58" s="556">
        <v>0</v>
      </c>
      <c r="J58" s="556">
        <v>0</v>
      </c>
      <c r="K58" s="556">
        <v>0</v>
      </c>
      <c r="L58" s="668">
        <v>0</v>
      </c>
      <c r="M58" s="12">
        <v>0</v>
      </c>
      <c r="N58" s="12">
        <v>0</v>
      </c>
      <c r="O58" s="12">
        <v>0</v>
      </c>
      <c r="P58" s="301">
        <v>3</v>
      </c>
      <c r="Q58" s="822">
        <v>3</v>
      </c>
      <c r="R58" s="822">
        <v>3</v>
      </c>
      <c r="S58" s="554">
        <v>12</v>
      </c>
      <c r="T58" s="539">
        <v>35</v>
      </c>
      <c r="U58" s="539">
        <v>0</v>
      </c>
      <c r="V58" s="539">
        <v>0</v>
      </c>
      <c r="W58" s="539">
        <v>0</v>
      </c>
      <c r="X58" s="539">
        <v>0</v>
      </c>
      <c r="Y58" s="539">
        <v>0</v>
      </c>
      <c r="Z58" s="539">
        <v>0</v>
      </c>
      <c r="AA58" s="539">
        <v>0</v>
      </c>
      <c r="AB58" s="539">
        <v>0</v>
      </c>
      <c r="AC58" s="539">
        <v>24</v>
      </c>
      <c r="AD58" s="539">
        <v>24</v>
      </c>
      <c r="AE58" s="539">
        <v>24</v>
      </c>
      <c r="AF58" s="539">
        <v>11</v>
      </c>
      <c r="AG58" s="539">
        <v>3</v>
      </c>
      <c r="AH58" s="539">
        <v>11</v>
      </c>
      <c r="AI58" s="539">
        <v>0</v>
      </c>
      <c r="AJ58" s="539">
        <v>4</v>
      </c>
      <c r="AK58" s="539">
        <v>115</v>
      </c>
      <c r="AL58" s="578">
        <v>10</v>
      </c>
      <c r="AM58" s="578">
        <v>10</v>
      </c>
      <c r="AN58" s="578">
        <v>10</v>
      </c>
      <c r="AO58" s="578">
        <v>10</v>
      </c>
      <c r="AP58" s="578">
        <v>10</v>
      </c>
      <c r="AQ58" s="53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4.140625" style="1030" hidden="1" customWidth="1"/>
    <col min="10" max="10" width="9.85546875" style="1030" hidden="1" customWidth="1"/>
    <col min="11" max="11" width="14.710937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5" style="1030" customWidth="1"/>
    <col min="21" max="21" width="0.140625" style="1030" customWidth="1"/>
    <col min="22" max="24" width="24.7109375" style="1030" hidden="1" customWidth="1"/>
    <col min="25" max="25" width="11.7109375" style="1030" hidden="1" customWidth="1"/>
    <col min="26" max="26" width="3.7109375" style="1030" hidden="1" customWidth="1"/>
    <col min="27" max="27" width="11.7109375" style="1030" hidden="1" customWidth="1"/>
    <col min="28" max="28" width="8.5703125" style="1030" hidden="1" customWidth="1"/>
    <col min="29" max="29" width="24.7109375" style="1030" customWidth="1"/>
    <col min="30" max="31" width="24" style="1030" customWidth="1"/>
    <col min="32" max="32" width="11" style="1030" customWidth="1"/>
    <col min="33" max="33" width="3.7109375" style="1030" customWidth="1"/>
    <col min="34" max="34" width="11" style="1030" customWidth="1"/>
    <col min="35" max="35" width="8.5703125" style="1030" hidden="1" customWidth="1"/>
    <col min="36" max="36" width="4" style="1030" customWidth="1"/>
    <col min="37" max="37" width="115" style="1030" customWidth="1"/>
    <col min="38" max="42" width="10" style="1030" customWidth="1"/>
    <col min="43" max="43" width="10.5703125" style="1030" hidden="1"/>
  </cols>
  <sheetData>
    <row r="1" spans="5:43" ht="22.5" hidden="1" customHeight="1">
      <c r="AQ1" s="539" t="s">
        <v>14</v>
      </c>
    </row>
    <row r="2" spans="5:43" ht="23.25" hidden="1" customHeight="1">
      <c r="E2" s="1192">
        <v>1</v>
      </c>
      <c r="R2" s="311"/>
      <c r="S2" s="833" t="e">
        <f>INDEX(PT_DIFFERENTIATION_NUM_NTAR,MATCH(A2,PT_DIFFERENTIATION_NTAR_ID,0))</f>
        <v>#N/A</v>
      </c>
      <c r="T2" s="796" t="s">
        <v>133</v>
      </c>
      <c r="U2" s="834"/>
      <c r="V2" s="1187"/>
      <c r="W2" s="1188"/>
      <c r="X2" s="1188"/>
      <c r="Y2" s="1188"/>
      <c r="Z2" s="1188"/>
      <c r="AA2" s="1188"/>
      <c r="AB2" s="1189"/>
      <c r="AC2" s="1187" t="e">
        <f>INDEX(PT_DIFFERENTIATION_NTAR,MATCH(A2,PT_DIFFERENTIATION_NTAR_ID,0))</f>
        <v>#N/A</v>
      </c>
      <c r="AD2" s="1188"/>
      <c r="AE2" s="1188"/>
      <c r="AF2" s="1188"/>
      <c r="AG2" s="1188"/>
      <c r="AH2" s="1188"/>
      <c r="AI2" s="1188"/>
      <c r="AJ2" s="1189"/>
      <c r="AK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2" s="583" t="str">
        <f t="shared" ref="AN2:AN13" si="0">IF(T2="","",T2)</f>
        <v>Наименование тарифа</v>
      </c>
      <c r="AQ2" s="539">
        <v>0</v>
      </c>
    </row>
    <row r="3" spans="5:43" ht="23.25"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9"/>
      <c r="AC3" s="1187" t="e">
        <f>INDEX(PT_DIFFERENTIATION_TER,MATCH(B3,PT_DIFFERENTIATION_TER_ID,0))</f>
        <v>#N/A</v>
      </c>
      <c r="AD3" s="1188"/>
      <c r="AE3" s="1188"/>
      <c r="AF3" s="1188"/>
      <c r="AG3" s="1188"/>
      <c r="AH3" s="1188"/>
      <c r="AI3" s="1188"/>
      <c r="AJ3" s="1189"/>
      <c r="AK3" s="836" t="s">
        <v>406</v>
      </c>
      <c r="AN3" s="583" t="str">
        <f t="shared" si="0"/>
        <v>Территория действия тарифа</v>
      </c>
      <c r="AQ3" s="539">
        <v>0</v>
      </c>
    </row>
    <row r="4" spans="5:43" ht="23.25" hidden="1" customHeight="1">
      <c r="E4" s="1193"/>
      <c r="F4" s="1193"/>
      <c r="G4" s="1192">
        <v>1</v>
      </c>
      <c r="Q4" s="837"/>
      <c r="R4" s="838"/>
      <c r="S4" s="833" t="e">
        <f>INDEX(PT_DIFFERENTIATION_NUM_CS,MATCH(C4,PT_DIFFERENTIATION_CS_ID,0))</f>
        <v>#N/A</v>
      </c>
      <c r="T4" s="840" t="s">
        <v>524</v>
      </c>
      <c r="U4" s="834"/>
      <c r="V4" s="1187"/>
      <c r="W4" s="1188"/>
      <c r="X4" s="1188"/>
      <c r="Y4" s="1188"/>
      <c r="Z4" s="1188"/>
      <c r="AA4" s="1188"/>
      <c r="AB4" s="1189"/>
      <c r="AC4" s="1187" t="e">
        <f>INDEX(PT_DIFFERENTIATION_CS,MATCH(C4,PT_DIFFERENTIATION_CS_ID,0))</f>
        <v>#N/A</v>
      </c>
      <c r="AD4" s="1188"/>
      <c r="AE4" s="1188"/>
      <c r="AF4" s="1188"/>
      <c r="AG4" s="1188"/>
      <c r="AH4" s="1188"/>
      <c r="AI4" s="1188"/>
      <c r="AJ4" s="1189"/>
      <c r="AK4" s="836" t="s">
        <v>525</v>
      </c>
      <c r="AN4" s="583" t="str">
        <f t="shared" si="0"/>
        <v>Наименование централизованной системы водоотведения</v>
      </c>
      <c r="AQ4" s="539">
        <v>0</v>
      </c>
    </row>
    <row r="5" spans="5:43" ht="23.25" hidden="1" customHeight="1">
      <c r="E5" s="1193"/>
      <c r="F5" s="1193"/>
      <c r="G5" s="1193"/>
      <c r="H5" s="1193"/>
      <c r="I5" s="1194" t="e">
        <f>S4&amp;".1"</f>
        <v>#N/A</v>
      </c>
      <c r="P5" s="1196">
        <v>1</v>
      </c>
      <c r="R5" s="843"/>
      <c r="S5" s="833" t="e">
        <f>$I5</f>
        <v>#N/A</v>
      </c>
      <c r="T5" s="844" t="s">
        <v>491</v>
      </c>
      <c r="U5" s="834"/>
      <c r="V5" s="1260"/>
      <c r="W5" s="1261"/>
      <c r="X5" s="1261"/>
      <c r="Y5" s="1261"/>
      <c r="Z5" s="1261"/>
      <c r="AA5" s="1261"/>
      <c r="AB5" s="1262"/>
      <c r="AC5" s="1263"/>
      <c r="AD5" s="1264"/>
      <c r="AE5" s="1264"/>
      <c r="AF5" s="1264"/>
      <c r="AG5" s="1264"/>
      <c r="AH5" s="1264"/>
      <c r="AI5" s="1264"/>
      <c r="AJ5" s="1265"/>
      <c r="AK5" s="836" t="s">
        <v>492</v>
      </c>
      <c r="AN5" s="583" t="str">
        <f t="shared" si="0"/>
        <v>Наименование признака дифференциации</v>
      </c>
      <c r="AQ5" s="539">
        <v>0</v>
      </c>
    </row>
    <row r="6" spans="5:43" ht="23.25" hidden="1" customHeight="1">
      <c r="E6" s="1193"/>
      <c r="F6" s="1193"/>
      <c r="G6" s="1193"/>
      <c r="H6" s="1193"/>
      <c r="I6" s="1195"/>
      <c r="J6" s="1194" t="e">
        <f>I5&amp;".1"</f>
        <v>#N/A</v>
      </c>
      <c r="L6" s="842" t="s">
        <v>414</v>
      </c>
      <c r="P6" s="1038"/>
      <c r="Q6" s="1196">
        <v>1</v>
      </c>
      <c r="R6" s="845"/>
      <c r="S6" s="833" t="e">
        <f>$J6</f>
        <v>#N/A</v>
      </c>
      <c r="T6" s="846" t="s">
        <v>415</v>
      </c>
      <c r="U6" s="834"/>
      <c r="V6" s="1181"/>
      <c r="W6" s="1182"/>
      <c r="X6" s="1182"/>
      <c r="Y6" s="1182"/>
      <c r="Z6" s="1182"/>
      <c r="AA6" s="1182"/>
      <c r="AB6" s="1183"/>
      <c r="AC6" s="1181"/>
      <c r="AD6" s="1182"/>
      <c r="AE6" s="1182"/>
      <c r="AF6" s="1182"/>
      <c r="AG6" s="1182"/>
      <c r="AH6" s="1182"/>
      <c r="AI6" s="1182"/>
      <c r="AJ6" s="1183"/>
      <c r="AK6" s="875" t="s">
        <v>493</v>
      </c>
      <c r="AN6" s="583" t="str">
        <f t="shared" si="0"/>
        <v>Группа потребителей</v>
      </c>
      <c r="AQ6" s="539">
        <v>0</v>
      </c>
    </row>
    <row r="7" spans="5:43" ht="23.25" hidden="1" customHeight="1">
      <c r="E7" s="1193"/>
      <c r="F7" s="1193"/>
      <c r="G7" s="1193"/>
      <c r="H7" s="1193"/>
      <c r="I7" s="1195"/>
      <c r="J7" s="1195"/>
      <c r="K7" s="1194" t="e">
        <f>J6&amp;".1"</f>
        <v>#N/A</v>
      </c>
      <c r="P7" s="1038"/>
      <c r="Q7" s="1038"/>
      <c r="R7" s="845">
        <v>1</v>
      </c>
      <c r="S7" s="833" t="e">
        <f>$K7</f>
        <v>#N/A</v>
      </c>
      <c r="T7" s="398"/>
      <c r="U7" s="834"/>
      <c r="V7" s="312"/>
      <c r="W7" s="312"/>
      <c r="X7" s="314"/>
      <c r="Y7" s="1197"/>
      <c r="Z7" s="1079" t="s">
        <v>61</v>
      </c>
      <c r="AA7" s="1197"/>
      <c r="AB7" s="1079" t="s">
        <v>61</v>
      </c>
      <c r="AC7" s="312"/>
      <c r="AD7" s="312"/>
      <c r="AE7" s="314"/>
      <c r="AF7" s="1197"/>
      <c r="AG7" s="1079" t="s">
        <v>61</v>
      </c>
      <c r="AH7" s="1199"/>
      <c r="AI7" s="1079" t="s">
        <v>61</v>
      </c>
      <c r="AJ7" s="399"/>
      <c r="AK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8" t="e">
        <f ca="1">STRCHECKDATE(V8:AJ8)</f>
        <v>#NAME?</v>
      </c>
      <c r="AN7" s="583" t="str">
        <f t="shared" si="0"/>
        <v/>
      </c>
      <c r="AQ7" s="539">
        <v>0</v>
      </c>
    </row>
    <row r="8" spans="5:43" ht="14.25" hidden="1" customHeight="1">
      <c r="E8" s="1193"/>
      <c r="F8" s="1193"/>
      <c r="G8" s="1193"/>
      <c r="H8" s="1193"/>
      <c r="I8" s="1195"/>
      <c r="J8" s="1195"/>
      <c r="K8" s="1194"/>
      <c r="P8" s="1038"/>
      <c r="Q8" s="1038"/>
      <c r="R8" s="845"/>
      <c r="S8" s="127"/>
      <c r="T8" s="834"/>
      <c r="U8" s="834"/>
      <c r="V8" s="313"/>
      <c r="W8" s="313"/>
      <c r="X8" s="315" t="str">
        <f>Y7&amp;"-"&amp;AA7</f>
        <v>-</v>
      </c>
      <c r="Y8" s="1198"/>
      <c r="Z8" s="1079"/>
      <c r="AA8" s="1198"/>
      <c r="AB8" s="1079"/>
      <c r="AC8" s="313"/>
      <c r="AD8" s="313"/>
      <c r="AE8" s="315" t="str">
        <f>AF7&amp;"-"&amp;AH7</f>
        <v>-</v>
      </c>
      <c r="AF8" s="1198"/>
      <c r="AG8" s="1079"/>
      <c r="AH8" s="1200"/>
      <c r="AI8" s="1079"/>
      <c r="AJ8" s="388"/>
      <c r="AK8" s="1266"/>
      <c r="AN8" s="583" t="str">
        <f t="shared" si="0"/>
        <v/>
      </c>
      <c r="AQ8" s="539">
        <v>0</v>
      </c>
    </row>
    <row r="9" spans="5:43" ht="21" hidden="1" customHeight="1">
      <c r="E9" s="1193"/>
      <c r="F9" s="1193"/>
      <c r="G9" s="1193"/>
      <c r="H9" s="1193"/>
      <c r="I9" s="1195"/>
      <c r="J9" s="1194"/>
      <c r="P9" s="1038"/>
      <c r="Q9" s="1038"/>
      <c r="R9" s="843"/>
      <c r="S9" s="316"/>
      <c r="T9" s="319" t="s">
        <v>494</v>
      </c>
      <c r="U9" s="52"/>
      <c r="V9" s="52"/>
      <c r="W9" s="52"/>
      <c r="X9" s="52"/>
      <c r="Y9" s="52"/>
      <c r="Z9" s="52"/>
      <c r="AA9" s="52"/>
      <c r="AB9" s="52"/>
      <c r="AC9" s="52"/>
      <c r="AD9" s="52"/>
      <c r="AE9" s="52"/>
      <c r="AF9" s="52"/>
      <c r="AG9" s="52"/>
      <c r="AH9" s="52"/>
      <c r="AI9" s="52"/>
      <c r="AJ9" s="52"/>
      <c r="AK9" s="836" t="s">
        <v>495</v>
      </c>
      <c r="AN9" s="583" t="str">
        <f t="shared" si="0"/>
        <v>Добавить значение признака дифференциации</v>
      </c>
      <c r="AQ9" s="539">
        <v>0</v>
      </c>
    </row>
    <row r="10" spans="5:43" ht="21" hidden="1" customHeight="1">
      <c r="E10" s="1193"/>
      <c r="F10" s="1193"/>
      <c r="G10" s="1193"/>
      <c r="H10" s="1193"/>
      <c r="I10" s="1194"/>
      <c r="P10" s="1038"/>
      <c r="R10" s="843"/>
      <c r="S10" s="316"/>
      <c r="T10" s="322" t="s">
        <v>420</v>
      </c>
      <c r="U10" s="52"/>
      <c r="V10" s="52"/>
      <c r="W10" s="52"/>
      <c r="X10" s="52"/>
      <c r="Y10" s="52"/>
      <c r="Z10" s="52"/>
      <c r="AA10" s="52"/>
      <c r="AB10" s="320"/>
      <c r="AC10" s="52"/>
      <c r="AD10" s="52"/>
      <c r="AE10" s="52"/>
      <c r="AF10" s="52"/>
      <c r="AG10" s="52"/>
      <c r="AH10" s="52"/>
      <c r="AI10" s="320"/>
      <c r="AJ10" s="52"/>
      <c r="AK10" s="400"/>
      <c r="AN10" s="583" t="str">
        <f t="shared" si="0"/>
        <v>Добавить группу потребителей</v>
      </c>
      <c r="AQ10" s="539">
        <v>0</v>
      </c>
    </row>
    <row r="11" spans="5:43" ht="21" hidden="1" customHeight="1">
      <c r="E11" s="1193"/>
      <c r="F11" s="1193"/>
      <c r="G11" s="1193"/>
      <c r="H11" s="1192"/>
      <c r="R11" s="311"/>
      <c r="S11" s="316"/>
      <c r="T11" s="377" t="s">
        <v>496</v>
      </c>
      <c r="U11" s="52"/>
      <c r="V11" s="52"/>
      <c r="W11" s="52"/>
      <c r="X11" s="52"/>
      <c r="Y11" s="52"/>
      <c r="Z11" s="52"/>
      <c r="AA11" s="52"/>
      <c r="AB11" s="320"/>
      <c r="AC11" s="52"/>
      <c r="AD11" s="52"/>
      <c r="AE11" s="52"/>
      <c r="AF11" s="52"/>
      <c r="AG11" s="52"/>
      <c r="AH11" s="52"/>
      <c r="AI11" s="320"/>
      <c r="AJ11" s="52"/>
      <c r="AK11" s="321"/>
      <c r="AN11" s="583" t="str">
        <f t="shared" si="0"/>
        <v>Добавить наименование признака дифференциации</v>
      </c>
      <c r="AQ11" s="539">
        <v>0</v>
      </c>
    </row>
    <row r="12" spans="5:43" ht="14.25" hidden="1" customHeight="1">
      <c r="E12" s="1193"/>
      <c r="F12" s="1192"/>
      <c r="T12" s="327" t="s">
        <v>423</v>
      </c>
      <c r="AN12" s="583" t="str">
        <f t="shared" si="0"/>
        <v>Добавить централизованную систему для дифференциации</v>
      </c>
      <c r="AQ12" s="578">
        <v>0</v>
      </c>
    </row>
    <row r="13" spans="5:43" ht="14.25" hidden="1" customHeight="1">
      <c r="E13" s="1192"/>
      <c r="T13" s="327" t="s">
        <v>424</v>
      </c>
      <c r="AN13" s="583" t="str">
        <f t="shared" si="0"/>
        <v>Добавить территорию для дифференциации</v>
      </c>
      <c r="AQ13" s="578">
        <v>0</v>
      </c>
    </row>
    <row r="14" spans="5:43" ht="14.25" hidden="1" customHeight="1">
      <c r="AQ14" s="539">
        <v>0</v>
      </c>
    </row>
    <row r="15" spans="5:43" ht="14.25" hidden="1" customHeight="1">
      <c r="AC15" s="276"/>
      <c r="AD15" s="276"/>
      <c r="AE15" s="328"/>
      <c r="AF15" s="1191"/>
      <c r="AG15" s="1190" t="s">
        <v>61</v>
      </c>
      <c r="AH15" s="1191"/>
      <c r="AI15" s="1190" t="s">
        <v>61</v>
      </c>
      <c r="AQ15" s="539">
        <v>0</v>
      </c>
    </row>
    <row r="16" spans="5:43" ht="14.25" hidden="1" customHeight="1">
      <c r="AC16" s="276"/>
      <c r="AD16" s="276"/>
      <c r="AE16" s="315" t="str">
        <f>AF15&amp;"-"&amp;AH15</f>
        <v>-</v>
      </c>
      <c r="AF16" s="1190"/>
      <c r="AG16" s="1190"/>
      <c r="AH16" s="1190"/>
      <c r="AI16" s="1190"/>
      <c r="AQ16" s="539">
        <v>0</v>
      </c>
    </row>
    <row r="17" spans="15:43" ht="14.25" hidden="1" customHeight="1">
      <c r="AQ17" s="539">
        <v>0</v>
      </c>
    </row>
    <row r="18" spans="15:43" ht="22.5" hidden="1" customHeight="1">
      <c r="O18" s="329" t="s">
        <v>425</v>
      </c>
      <c r="Y18" s="329"/>
      <c r="AA18" s="329"/>
      <c r="AF18" s="329"/>
      <c r="AH18" s="329"/>
      <c r="AQ18" s="556">
        <v>0</v>
      </c>
    </row>
    <row r="19" spans="15:43" ht="14.25" hidden="1" customHeight="1">
      <c r="AQ19" s="556">
        <v>0</v>
      </c>
    </row>
    <row r="20" spans="15:43" ht="12" hidden="1" customHeight="1">
      <c r="O20" s="842" t="s">
        <v>426</v>
      </c>
      <c r="T20" s="556" t="s">
        <v>427</v>
      </c>
      <c r="Z20" s="599" t="s">
        <v>428</v>
      </c>
      <c r="AB20" s="599" t="s">
        <v>429</v>
      </c>
      <c r="AC20" s="556" t="s">
        <v>427</v>
      </c>
      <c r="AG20" s="599" t="s">
        <v>430</v>
      </c>
      <c r="AI20" s="599" t="s">
        <v>429</v>
      </c>
      <c r="AQ20" s="556">
        <v>0</v>
      </c>
    </row>
    <row r="21" spans="15:43" ht="14.25" hidden="1" customHeight="1">
      <c r="AQ21" s="539">
        <v>0</v>
      </c>
    </row>
    <row r="22" spans="15:43" ht="14.25" hidden="1" customHeight="1">
      <c r="AQ22" s="539">
        <v>0</v>
      </c>
    </row>
    <row r="23" spans="15:43" ht="14.65" customHeight="1">
      <c r="Q23" s="757"/>
      <c r="R23" s="757"/>
      <c r="S23" s="848"/>
      <c r="T23" s="557"/>
      <c r="U23" s="557"/>
      <c r="AQ23" s="539">
        <v>14</v>
      </c>
    </row>
    <row r="24" spans="15:43" ht="14.65" customHeight="1">
      <c r="Q24" s="757"/>
      <c r="R24" s="757"/>
      <c r="S24" s="1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174"/>
      <c r="U24" s="1174"/>
      <c r="V24" s="1174"/>
      <c r="W24" s="1174"/>
      <c r="X24" s="1174"/>
      <c r="Y24" s="1174"/>
      <c r="Z24" s="1174"/>
      <c r="AA24" s="1174"/>
      <c r="AB24" s="1174"/>
      <c r="AC24" s="1174"/>
      <c r="AD24" s="1174"/>
      <c r="AE24" s="1174"/>
      <c r="AF24" s="1174"/>
      <c r="AG24" s="1174"/>
      <c r="AH24" s="1174"/>
      <c r="AQ24" s="539">
        <v>14</v>
      </c>
    </row>
    <row r="25" spans="15:43" ht="14.65" customHeight="1">
      <c r="Q25" s="757"/>
      <c r="R25" s="757"/>
      <c r="S25" s="1148" t="str">
        <f>IF(org=0,"Не определено",org)</f>
        <v>АО "НИЖЕГОРОДСКИЙ ВОДОКАНАЛ"</v>
      </c>
      <c r="T25" s="1148"/>
      <c r="U25" s="1148"/>
      <c r="V25" s="1148"/>
      <c r="W25" s="1148"/>
      <c r="X25" s="1148"/>
      <c r="Y25" s="1148"/>
      <c r="Z25" s="1148"/>
      <c r="AA25" s="1148"/>
      <c r="AB25" s="1148"/>
      <c r="AC25" s="1148"/>
      <c r="AD25" s="1148"/>
      <c r="AE25" s="1148"/>
      <c r="AF25" s="1148"/>
      <c r="AG25" s="1148"/>
      <c r="AH25" s="1148"/>
      <c r="AQ25" s="539">
        <v>14</v>
      </c>
    </row>
    <row r="26" spans="15:43" ht="14.25" hidden="1" customHeight="1">
      <c r="Q26" s="757"/>
      <c r="R26" s="757"/>
      <c r="S26" s="848"/>
      <c r="T26" s="557"/>
      <c r="U26" s="557"/>
      <c r="V26" s="827"/>
      <c r="W26" s="827"/>
      <c r="X26" s="827"/>
      <c r="Y26" s="827"/>
      <c r="Z26" s="827"/>
      <c r="AA26" s="827"/>
      <c r="AB26" s="827"/>
      <c r="AC26" s="827"/>
      <c r="AD26" s="827"/>
      <c r="AE26" s="827"/>
      <c r="AF26" s="827"/>
      <c r="AG26" s="827"/>
      <c r="AH26" s="827"/>
      <c r="AI26" s="827"/>
      <c r="AQ26" s="539">
        <v>0</v>
      </c>
    </row>
    <row r="27" spans="15:43" ht="25.5" hidden="1" customHeight="1">
      <c r="S27" s="1184" t="s">
        <v>41</v>
      </c>
      <c r="T27" s="1184"/>
      <c r="U27" s="850"/>
      <c r="V27" s="1186" t="str">
        <f>IF(TITLE_NAME_OR_PR_CHANGE="",IF(TITLE_NAME_OR_PR="","",TITLE_NAME_OR_PR),TITLE_NAME_OR_PR_CHANGE)</f>
        <v/>
      </c>
      <c r="W27" s="1186"/>
      <c r="X27" s="1186"/>
      <c r="Y27" s="1186"/>
      <c r="Z27" s="1186"/>
      <c r="AA27" s="1186"/>
      <c r="AC27" s="1186" t="str">
        <f>IF(TITLE_NAME_OR_PR_CHANGE="",IF(TITLE_NAME_OR_PR="","",TITLE_NAME_OR_PR),TITLE_NAME_OR_PR_CHANGE)</f>
        <v/>
      </c>
      <c r="AD27" s="1186"/>
      <c r="AE27" s="1186"/>
      <c r="AF27" s="1186"/>
      <c r="AG27" s="1186"/>
      <c r="AH27" s="1186"/>
      <c r="AQ27" s="593">
        <v>0</v>
      </c>
    </row>
    <row r="28" spans="15:43" ht="18.75" hidden="1" customHeight="1">
      <c r="S28" s="1184" t="s">
        <v>431</v>
      </c>
      <c r="T28" s="1184"/>
      <c r="U28" s="850"/>
      <c r="V28" s="1185" t="str">
        <f>IF(TITLE_DATE_PR_CHANGE="",IF(TITLE_DATE_PR="","",TITLE_DATE_PR),TITLE_DATE_PR_CHANGE)</f>
        <v/>
      </c>
      <c r="W28" s="1185"/>
      <c r="X28" s="1185"/>
      <c r="Y28" s="1185"/>
      <c r="Z28" s="1185"/>
      <c r="AA28" s="1185"/>
      <c r="AC28" s="1185" t="str">
        <f>IF(TITLE_DATE_PR_CHANGE="",IF(TITLE_DATE_PR="","",TITLE_DATE_PR),TITLE_DATE_PR_CHANGE)</f>
        <v/>
      </c>
      <c r="AD28" s="1185"/>
      <c r="AE28" s="1185"/>
      <c r="AF28" s="1185"/>
      <c r="AG28" s="1185"/>
      <c r="AH28" s="1185"/>
      <c r="AQ28" s="593">
        <v>0</v>
      </c>
    </row>
    <row r="29" spans="15:43" ht="18.75" hidden="1" customHeight="1">
      <c r="S29" s="1184" t="s">
        <v>432</v>
      </c>
      <c r="T29" s="1184"/>
      <c r="U29" s="850"/>
      <c r="V29" s="1186" t="str">
        <f>IF(TITLE_NUMBER_PR_CHANGE="",IF(TITLE_NUMBER_PR="","",TITLE_NUMBER_PR),TITLE_NUMBER_PR_CHANGE)</f>
        <v/>
      </c>
      <c r="W29" s="1186"/>
      <c r="X29" s="1186"/>
      <c r="Y29" s="1186"/>
      <c r="Z29" s="1186"/>
      <c r="AA29" s="1186"/>
      <c r="AC29" s="1186" t="str">
        <f>IF(TITLE_NUMBER_PR_CHANGE="",IF(TITLE_NUMBER_PR="","",TITLE_NUMBER_PR),TITLE_NUMBER_PR_CHANGE)</f>
        <v/>
      </c>
      <c r="AD29" s="1186"/>
      <c r="AE29" s="1186"/>
      <c r="AF29" s="1186"/>
      <c r="AG29" s="1186"/>
      <c r="AH29" s="1186"/>
      <c r="AQ29" s="593">
        <v>0</v>
      </c>
    </row>
    <row r="30" spans="15:43" ht="18.75" hidden="1" customHeight="1">
      <c r="S30" s="1184" t="s">
        <v>42</v>
      </c>
      <c r="T30" s="1184"/>
      <c r="U30" s="850"/>
      <c r="V30" s="1186" t="str">
        <f>IF(TITLE_IST_PUB_CHANGE="",IF(TITLE_IST_PUB="","",TITLE_IST_PUB),TITLE_IST_PUB_CHANGE)</f>
        <v/>
      </c>
      <c r="W30" s="1186"/>
      <c r="X30" s="1186"/>
      <c r="Y30" s="1186"/>
      <c r="Z30" s="1186"/>
      <c r="AA30" s="1186"/>
      <c r="AC30" s="1186" t="str">
        <f>IF(TITLE_IST_PUB_CHANGE="",IF(TITLE_IST_PUB="","",TITLE_IST_PUB),TITLE_IST_PUB_CHANGE)</f>
        <v/>
      </c>
      <c r="AD30" s="1186"/>
      <c r="AE30" s="1186"/>
      <c r="AF30" s="1186"/>
      <c r="AG30" s="1186"/>
      <c r="AH30" s="1186"/>
      <c r="AQ30" s="593">
        <v>0</v>
      </c>
    </row>
    <row r="31" spans="15:43" ht="14.25" hidden="1" customHeight="1">
      <c r="Q31" s="757"/>
      <c r="R31" s="757"/>
      <c r="S31" s="848"/>
      <c r="T31" s="557"/>
      <c r="U31" s="557"/>
      <c r="V31" s="827"/>
      <c r="W31" s="827"/>
      <c r="X31" s="827"/>
      <c r="Y31" s="827"/>
      <c r="Z31" s="827"/>
      <c r="AA31" s="827"/>
      <c r="AB31" s="827"/>
      <c r="AC31" s="827"/>
      <c r="AD31" s="827"/>
      <c r="AE31" s="827"/>
      <c r="AF31" s="827"/>
      <c r="AG31" s="827"/>
      <c r="AH31" s="827"/>
      <c r="AI31" s="827"/>
      <c r="AQ31" s="539">
        <v>0</v>
      </c>
    </row>
    <row r="32" spans="15:43" ht="18.75" hidden="1" customHeight="1">
      <c r="S32" s="1184" t="s">
        <v>433</v>
      </c>
      <c r="T32" s="1184"/>
      <c r="U32" s="850"/>
      <c r="V32" s="1185" t="str">
        <f>IF(TITLE_DATE_PR_CHANGE="",IF(TITLE_DATE_PR="","",TITLE_DATE_PR),TITLE_DATE_PR_CHANGE)</f>
        <v/>
      </c>
      <c r="W32" s="1185"/>
      <c r="X32" s="1185"/>
      <c r="Y32" s="1185"/>
      <c r="Z32" s="1185"/>
      <c r="AA32" s="1185"/>
      <c r="AC32" s="1185" t="str">
        <f>IF(TITLE_DATE_PR_CHANGE="",IF(TITLE_DATE_PR="","",TITLE_DATE_PR),TITLE_DATE_PR_CHANGE)</f>
        <v/>
      </c>
      <c r="AD32" s="1185"/>
      <c r="AE32" s="1185"/>
      <c r="AF32" s="1185"/>
      <c r="AG32" s="1185"/>
      <c r="AH32" s="1185"/>
      <c r="AQ32" s="593">
        <v>0</v>
      </c>
    </row>
    <row r="33" spans="1:43" ht="18.75" hidden="1" customHeight="1">
      <c r="S33" s="1184" t="s">
        <v>434</v>
      </c>
      <c r="T33" s="1184"/>
      <c r="U33" s="850"/>
      <c r="V33" s="1186" t="str">
        <f>IF(TITLE_NUMBER_PR_CHANGE="",IF(TITLE_NUMBER_PR="","",TITLE_NUMBER_PR),TITLE_NUMBER_PR_CHANGE)</f>
        <v/>
      </c>
      <c r="W33" s="1186"/>
      <c r="X33" s="1186"/>
      <c r="Y33" s="1186"/>
      <c r="Z33" s="1186"/>
      <c r="AA33" s="1186"/>
      <c r="AC33" s="1186" t="str">
        <f>IF(TITLE_NUMBER_PR_CHANGE="",IF(TITLE_NUMBER_PR="","",TITLE_NUMBER_PR),TITLE_NUMBER_PR_CHANGE)</f>
        <v/>
      </c>
      <c r="AD33" s="1186"/>
      <c r="AE33" s="1186"/>
      <c r="AF33" s="1186"/>
      <c r="AG33" s="1186"/>
      <c r="AH33" s="1186"/>
      <c r="AQ33" s="593">
        <v>0</v>
      </c>
    </row>
    <row r="34" spans="1:43" ht="1.1499999999999999" customHeight="1">
      <c r="AB34" s="578" t="s">
        <v>435</v>
      </c>
      <c r="AI34" s="578" t="s">
        <v>435</v>
      </c>
      <c r="AQ34" s="593">
        <v>1</v>
      </c>
    </row>
    <row r="35" spans="1:43" ht="14.65" customHeight="1">
      <c r="Q35" s="757"/>
      <c r="R35" s="757"/>
      <c r="S35" s="848"/>
      <c r="T35" s="557"/>
      <c r="U35" s="851"/>
      <c r="V35" s="1204"/>
      <c r="W35" s="1204"/>
      <c r="X35" s="1204"/>
      <c r="Y35" s="1204"/>
      <c r="Z35" s="1204"/>
      <c r="AA35" s="1204"/>
      <c r="AB35" s="1204"/>
      <c r="AC35" s="1204"/>
      <c r="AD35" s="1204"/>
      <c r="AE35" s="1204"/>
      <c r="AF35" s="1204"/>
      <c r="AG35" s="1204"/>
      <c r="AH35" s="1204"/>
      <c r="AI35" s="1204"/>
      <c r="AQ35" s="539">
        <v>14</v>
      </c>
    </row>
    <row r="36" spans="1:43" ht="14.65" customHeight="1">
      <c r="Q36" s="757"/>
      <c r="R36" s="757"/>
      <c r="S36" s="1070" t="s">
        <v>308</v>
      </c>
      <c r="T36" s="1070"/>
      <c r="U36" s="1070"/>
      <c r="V36" s="1070"/>
      <c r="W36" s="1070"/>
      <c r="X36" s="1070"/>
      <c r="Y36" s="1070"/>
      <c r="Z36" s="1070"/>
      <c r="AA36" s="1070"/>
      <c r="AB36" s="1070"/>
      <c r="AC36" s="1070"/>
      <c r="AD36" s="1070"/>
      <c r="AE36" s="1070"/>
      <c r="AF36" s="1070"/>
      <c r="AG36" s="1070"/>
      <c r="AH36" s="1070"/>
      <c r="AI36" s="1070"/>
      <c r="AJ36" s="1070"/>
      <c r="AK36" s="1070" t="s">
        <v>309</v>
      </c>
      <c r="AQ36" s="539">
        <v>14</v>
      </c>
    </row>
    <row r="37" spans="1:43" ht="14.65" customHeight="1">
      <c r="Q37" s="757"/>
      <c r="R37" s="757"/>
      <c r="S37" s="1205" t="s">
        <v>87</v>
      </c>
      <c r="T37" s="1155" t="s">
        <v>436</v>
      </c>
      <c r="U37" s="818"/>
      <c r="V37" s="1206" t="s">
        <v>437</v>
      </c>
      <c r="W37" s="1207"/>
      <c r="X37" s="1207"/>
      <c r="Y37" s="1207"/>
      <c r="Z37" s="1207"/>
      <c r="AA37" s="1208"/>
      <c r="AB37" s="1209" t="s">
        <v>438</v>
      </c>
      <c r="AC37" s="1206" t="s">
        <v>437</v>
      </c>
      <c r="AD37" s="1207"/>
      <c r="AE37" s="1207"/>
      <c r="AF37" s="1207"/>
      <c r="AG37" s="1207"/>
      <c r="AH37" s="1208"/>
      <c r="AI37" s="1209" t="s">
        <v>439</v>
      </c>
      <c r="AJ37" s="1212" t="s">
        <v>440</v>
      </c>
      <c r="AK37" s="1070"/>
      <c r="AQ37" s="539">
        <v>14</v>
      </c>
    </row>
    <row r="38" spans="1:43" ht="35.65" customHeight="1">
      <c r="Q38" s="757"/>
      <c r="R38" s="757"/>
      <c r="S38" s="1205"/>
      <c r="T38" s="1155"/>
      <c r="U38" s="823"/>
      <c r="V38" s="618" t="s">
        <v>497</v>
      </c>
      <c r="W38" s="1051" t="s">
        <v>443</v>
      </c>
      <c r="X38" s="1050"/>
      <c r="Y38" s="1051" t="s">
        <v>444</v>
      </c>
      <c r="Z38" s="1056"/>
      <c r="AA38" s="1050"/>
      <c r="AB38" s="1210"/>
      <c r="AC38" s="618" t="s">
        <v>497</v>
      </c>
      <c r="AD38" s="1051" t="s">
        <v>443</v>
      </c>
      <c r="AE38" s="1050"/>
      <c r="AF38" s="1051" t="s">
        <v>444</v>
      </c>
      <c r="AG38" s="1056"/>
      <c r="AH38" s="1050"/>
      <c r="AI38" s="1210"/>
      <c r="AJ38" s="1213"/>
      <c r="AK38" s="1070"/>
      <c r="AQ38" s="539">
        <v>34</v>
      </c>
    </row>
    <row r="39" spans="1:43" ht="90.4" customHeight="1">
      <c r="B39" s="599" t="s">
        <v>145</v>
      </c>
      <c r="C39" s="599" t="s">
        <v>146</v>
      </c>
      <c r="D39" s="599" t="s">
        <v>147</v>
      </c>
      <c r="E39" s="842" t="s">
        <v>445</v>
      </c>
      <c r="F39" s="842" t="s">
        <v>446</v>
      </c>
      <c r="G39" s="842" t="s">
        <v>447</v>
      </c>
      <c r="I39" s="842" t="s">
        <v>498</v>
      </c>
      <c r="J39" s="842" t="s">
        <v>450</v>
      </c>
      <c r="K39" s="842" t="s">
        <v>499</v>
      </c>
      <c r="L39" s="842" t="s">
        <v>426</v>
      </c>
      <c r="Q39" s="757"/>
      <c r="R39" s="757"/>
      <c r="S39" s="1205"/>
      <c r="T39" s="1155"/>
      <c r="U39" s="853"/>
      <c r="V39" s="618" t="s">
        <v>526</v>
      </c>
      <c r="W39" s="603" t="s">
        <v>527</v>
      </c>
      <c r="X39" s="603" t="s">
        <v>502</v>
      </c>
      <c r="Y39" s="603" t="s">
        <v>454</v>
      </c>
      <c r="Z39" s="1160" t="s">
        <v>455</v>
      </c>
      <c r="AA39" s="1173"/>
      <c r="AB39" s="1211"/>
      <c r="AC39" s="618" t="s">
        <v>526</v>
      </c>
      <c r="AD39" s="603" t="s">
        <v>527</v>
      </c>
      <c r="AE39" s="603" t="s">
        <v>502</v>
      </c>
      <c r="AF39" s="603" t="s">
        <v>454</v>
      </c>
      <c r="AG39" s="1160" t="s">
        <v>455</v>
      </c>
      <c r="AH39" s="1173"/>
      <c r="AI39" s="1211"/>
      <c r="AJ39" s="1214"/>
      <c r="AK39" s="1070"/>
      <c r="AQ39" s="539">
        <v>86</v>
      </c>
    </row>
    <row r="40" spans="1:43" ht="0" hidden="1" customHeight="1">
      <c r="Q40" s="854"/>
      <c r="R40" s="855">
        <v>1</v>
      </c>
      <c r="S40" s="330" t="s">
        <v>114</v>
      </c>
      <c r="T40" s="331" t="s">
        <v>102</v>
      </c>
      <c r="U40" s="856" t="str">
        <f ca="1">OFFSET(U40,0,-1)</f>
        <v>2</v>
      </c>
      <c r="V40" s="857">
        <f ca="1">OFFSET(V40,0,-1)+1</f>
        <v>3</v>
      </c>
      <c r="W40" s="857">
        <f ca="1">OFFSET(W40,0,-1)+1</f>
        <v>4</v>
      </c>
      <c r="X40" s="857">
        <f ca="1">OFFSET(X40,0,-1)+1</f>
        <v>5</v>
      </c>
      <c r="Y40" s="857">
        <f ca="1">OFFSET(Y40,0,-1)+1</f>
        <v>6</v>
      </c>
      <c r="Z40" s="1203">
        <f ca="1">OFFSET(Z40,0,-1)+1</f>
        <v>7</v>
      </c>
      <c r="AA40" s="1203"/>
      <c r="AB40" s="857">
        <f ca="1">OFFSET(AB40,0,-2)+1</f>
        <v>8</v>
      </c>
      <c r="AC40" s="857">
        <f ca="1">OFFSET(AC40,0,-1)+1</f>
        <v>9</v>
      </c>
      <c r="AD40" s="857">
        <f ca="1">OFFSET(AD40,0,-1)+1</f>
        <v>10</v>
      </c>
      <c r="AE40" s="857">
        <f ca="1">OFFSET(AE40,0,-1)+1</f>
        <v>11</v>
      </c>
      <c r="AF40" s="857">
        <f ca="1">OFFSET(AF40,0,-1)+1</f>
        <v>12</v>
      </c>
      <c r="AG40" s="1203">
        <f ca="1">OFFSET(AG40,0,-1)+1</f>
        <v>13</v>
      </c>
      <c r="AH40" s="1203"/>
      <c r="AI40" s="857">
        <f ca="1">OFFSET(AI40,0,-2)+1</f>
        <v>14</v>
      </c>
      <c r="AJ40" s="856">
        <f ca="1">OFFSET(AJ40,0,-1)</f>
        <v>14</v>
      </c>
      <c r="AK40" s="857">
        <f ca="1">OFFSET(AK40,0,-1)+1</f>
        <v>15</v>
      </c>
      <c r="AQ40" s="682">
        <v>0</v>
      </c>
    </row>
    <row r="41" spans="1:43" ht="24" customHeight="1">
      <c r="A41" s="858" t="s">
        <v>279</v>
      </c>
      <c r="E41" s="1192">
        <v>1</v>
      </c>
      <c r="R41" s="311"/>
      <c r="S41" s="833">
        <f>INDEX(PT_DIFFERENTIATION_NUM_NTAR,MATCH(A41,PT_DIFFERENTIATION_NTAR_ID,0))</f>
        <v>0</v>
      </c>
      <c r="T41" s="796" t="s">
        <v>133</v>
      </c>
      <c r="U41" s="834"/>
      <c r="V41" s="1187"/>
      <c r="W41" s="1188"/>
      <c r="X41" s="1188"/>
      <c r="Y41" s="1188"/>
      <c r="Z41" s="1188"/>
      <c r="AA41" s="1188"/>
      <c r="AB41" s="1189"/>
      <c r="AC41" s="1187" t="str">
        <f>INDEX(PT_DIFFERENTIATION_NTAR,MATCH(A41,PT_DIFFERENTIATION_NTAR_ID,0))</f>
        <v/>
      </c>
      <c r="AD41" s="1188"/>
      <c r="AE41" s="1188"/>
      <c r="AF41" s="1188"/>
      <c r="AG41" s="1188"/>
      <c r="AH41" s="1188"/>
      <c r="AI41" s="1188"/>
      <c r="AJ41" s="1189"/>
      <c r="AK41"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N41" s="583" t="str">
        <f t="shared" ref="AN41:AN53" si="1">IF(T41="","",T41)</f>
        <v>Наименование тарифа</v>
      </c>
      <c r="AQ41" s="539">
        <v>23</v>
      </c>
    </row>
    <row r="42" spans="1:43" ht="24" customHeight="1">
      <c r="A42" s="858" t="s">
        <v>279</v>
      </c>
      <c r="B42" s="858" t="s">
        <v>280</v>
      </c>
      <c r="E42" s="1193"/>
      <c r="F42" s="1192">
        <v>1</v>
      </c>
      <c r="Q42" s="837"/>
      <c r="R42" s="838"/>
      <c r="S42" s="833" t="str">
        <f>INDEX(PT_DIFFERENTIATION_NUM_TER,MATCH(B42,PT_DIFFERENTIATION_TER_ID,0))</f>
        <v>.</v>
      </c>
      <c r="T42" s="839" t="s">
        <v>405</v>
      </c>
      <c r="U42" s="834"/>
      <c r="V42" s="1187"/>
      <c r="W42" s="1188"/>
      <c r="X42" s="1188"/>
      <c r="Y42" s="1188"/>
      <c r="Z42" s="1188"/>
      <c r="AA42" s="1188"/>
      <c r="AB42" s="1189"/>
      <c r="AC42" s="1187" t="str">
        <f>INDEX(PT_DIFFERENTIATION_TER,MATCH(B42,PT_DIFFERENTIATION_TER_ID,0))</f>
        <v/>
      </c>
      <c r="AD42" s="1188"/>
      <c r="AE42" s="1188"/>
      <c r="AF42" s="1188"/>
      <c r="AG42" s="1188"/>
      <c r="AH42" s="1188"/>
      <c r="AI42" s="1188"/>
      <c r="AJ42" s="1189"/>
      <c r="AK42" s="836" t="s">
        <v>406</v>
      </c>
      <c r="AN42" s="583" t="str">
        <f t="shared" si="1"/>
        <v>Территория действия тарифа</v>
      </c>
      <c r="AQ42" s="539">
        <v>23</v>
      </c>
    </row>
    <row r="43" spans="1:43" ht="24" customHeight="1">
      <c r="A43" s="858" t="s">
        <v>279</v>
      </c>
      <c r="B43" s="858" t="s">
        <v>280</v>
      </c>
      <c r="C43" s="858" t="s">
        <v>281</v>
      </c>
      <c r="E43" s="1193"/>
      <c r="F43" s="1193"/>
      <c r="G43" s="1192">
        <v>1</v>
      </c>
      <c r="Q43" s="837"/>
      <c r="R43" s="838"/>
      <c r="S43" s="833" t="str">
        <f>INDEX(PT_DIFFERENTIATION_NUM_CS,MATCH(C43,PT_DIFFERENTIATION_CS_ID,0))</f>
        <v>..</v>
      </c>
      <c r="T43" s="840" t="s">
        <v>524</v>
      </c>
      <c r="U43" s="834"/>
      <c r="V43" s="1187"/>
      <c r="W43" s="1188"/>
      <c r="X43" s="1188"/>
      <c r="Y43" s="1188"/>
      <c r="Z43" s="1188"/>
      <c r="AA43" s="1188"/>
      <c r="AB43" s="1189"/>
      <c r="AC43" s="1187" t="str">
        <f>INDEX(PT_DIFFERENTIATION_CS,MATCH(C43,PT_DIFFERENTIATION_CS_ID,0))</f>
        <v/>
      </c>
      <c r="AD43" s="1188"/>
      <c r="AE43" s="1188"/>
      <c r="AF43" s="1188"/>
      <c r="AG43" s="1188"/>
      <c r="AH43" s="1188"/>
      <c r="AI43" s="1188"/>
      <c r="AJ43" s="1189"/>
      <c r="AK43" s="836" t="s">
        <v>525</v>
      </c>
      <c r="AN43" s="583" t="str">
        <f t="shared" si="1"/>
        <v>Наименование централизованной системы водоотведения</v>
      </c>
      <c r="AQ43" s="539">
        <v>23</v>
      </c>
    </row>
    <row r="44" spans="1:43" ht="24" customHeight="1">
      <c r="A44" s="858" t="s">
        <v>279</v>
      </c>
      <c r="B44" s="858" t="s">
        <v>280</v>
      </c>
      <c r="C44" s="858" t="s">
        <v>281</v>
      </c>
      <c r="D44" s="858" t="s">
        <v>529</v>
      </c>
      <c r="E44" s="1193"/>
      <c r="F44" s="1193"/>
      <c r="G44" s="1193"/>
      <c r="H44" s="1193"/>
      <c r="I44" s="1194" t="str">
        <f>S43&amp;".1"</f>
        <v>...1</v>
      </c>
      <c r="P44" s="1196">
        <v>1</v>
      </c>
      <c r="R44" s="843"/>
      <c r="S44" s="833" t="str">
        <f>$I44</f>
        <v>...1</v>
      </c>
      <c r="T44" s="844" t="s">
        <v>491</v>
      </c>
      <c r="U44" s="834"/>
      <c r="V44" s="1260"/>
      <c r="W44" s="1261"/>
      <c r="X44" s="1261"/>
      <c r="Y44" s="1261"/>
      <c r="Z44" s="1261"/>
      <c r="AA44" s="1261"/>
      <c r="AB44" s="1262"/>
      <c r="AC44" s="1263"/>
      <c r="AD44" s="1264"/>
      <c r="AE44" s="1264"/>
      <c r="AF44" s="1264"/>
      <c r="AG44" s="1264"/>
      <c r="AH44" s="1264"/>
      <c r="AI44" s="1264"/>
      <c r="AJ44" s="1265"/>
      <c r="AK44" s="836" t="s">
        <v>492</v>
      </c>
      <c r="AN44" s="583" t="str">
        <f t="shared" si="1"/>
        <v>Наименование признака дифференциации</v>
      </c>
      <c r="AQ44" s="539">
        <v>23</v>
      </c>
    </row>
    <row r="45" spans="1:43" ht="24" customHeight="1">
      <c r="A45" s="858" t="s">
        <v>279</v>
      </c>
      <c r="B45" s="858" t="s">
        <v>280</v>
      </c>
      <c r="C45" s="858" t="s">
        <v>281</v>
      </c>
      <c r="D45" s="858" t="s">
        <v>529</v>
      </c>
      <c r="E45" s="1193"/>
      <c r="F45" s="1193"/>
      <c r="G45" s="1193"/>
      <c r="H45" s="1193"/>
      <c r="I45" s="1195"/>
      <c r="J45" s="1194" t="str">
        <f>I44&amp;".1"</f>
        <v>...1.1</v>
      </c>
      <c r="L45" s="842" t="s">
        <v>414</v>
      </c>
      <c r="P45" s="1038"/>
      <c r="Q45" s="1196">
        <v>1</v>
      </c>
      <c r="R45" s="845"/>
      <c r="S45" s="833" t="str">
        <f>$J45</f>
        <v>...1.1</v>
      </c>
      <c r="T45" s="846" t="s">
        <v>415</v>
      </c>
      <c r="U45" s="834"/>
      <c r="V45" s="1181"/>
      <c r="W45" s="1182"/>
      <c r="X45" s="1182"/>
      <c r="Y45" s="1182"/>
      <c r="Z45" s="1182"/>
      <c r="AA45" s="1182"/>
      <c r="AB45" s="1183"/>
      <c r="AC45" s="1181"/>
      <c r="AD45" s="1182"/>
      <c r="AE45" s="1182"/>
      <c r="AF45" s="1182"/>
      <c r="AG45" s="1182"/>
      <c r="AH45" s="1182"/>
      <c r="AI45" s="1182"/>
      <c r="AJ45" s="1183"/>
      <c r="AK45" s="875" t="s">
        <v>493</v>
      </c>
      <c r="AN45" s="583" t="str">
        <f t="shared" si="1"/>
        <v>Группа потребителей</v>
      </c>
      <c r="AQ45" s="539">
        <v>23</v>
      </c>
    </row>
    <row r="46" spans="1:43" ht="24" customHeight="1">
      <c r="A46" s="858" t="s">
        <v>279</v>
      </c>
      <c r="B46" s="858" t="s">
        <v>280</v>
      </c>
      <c r="C46" s="858" t="s">
        <v>281</v>
      </c>
      <c r="D46" s="858" t="s">
        <v>529</v>
      </c>
      <c r="E46" s="1193"/>
      <c r="F46" s="1193"/>
      <c r="G46" s="1193"/>
      <c r="H46" s="1193"/>
      <c r="I46" s="1195"/>
      <c r="J46" s="1195"/>
      <c r="K46" s="1194" t="str">
        <f>J45&amp;".1"</f>
        <v>...1.1.1</v>
      </c>
      <c r="P46" s="1038"/>
      <c r="Q46" s="1038"/>
      <c r="R46" s="845">
        <v>1</v>
      </c>
      <c r="S46" s="833" t="str">
        <f>$K46</f>
        <v>...1.1.1</v>
      </c>
      <c r="T46" s="398"/>
      <c r="U46" s="834"/>
      <c r="V46" s="276"/>
      <c r="W46" s="276"/>
      <c r="X46" s="328"/>
      <c r="Y46" s="1191"/>
      <c r="Z46" s="1190" t="s">
        <v>61</v>
      </c>
      <c r="AA46" s="1191"/>
      <c r="AB46" s="1190" t="s">
        <v>61</v>
      </c>
      <c r="AC46" s="312"/>
      <c r="AD46" s="312"/>
      <c r="AE46" s="314"/>
      <c r="AF46" s="1197"/>
      <c r="AG46" s="1079" t="s">
        <v>61</v>
      </c>
      <c r="AH46" s="1199"/>
      <c r="AI46" s="1079" t="s">
        <v>19</v>
      </c>
      <c r="AJ46" s="399"/>
      <c r="AK46"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8" t="e">
        <f ca="1">STRCHECKDATE(V47:AJ47)</f>
        <v>#NAME?</v>
      </c>
      <c r="AN46" s="583" t="str">
        <f t="shared" si="1"/>
        <v/>
      </c>
      <c r="AQ46" s="539">
        <v>23</v>
      </c>
    </row>
    <row r="47" spans="1:43" ht="0" hidden="1" customHeight="1">
      <c r="A47" s="858" t="s">
        <v>279</v>
      </c>
      <c r="B47" s="858" t="s">
        <v>280</v>
      </c>
      <c r="C47" s="858" t="s">
        <v>281</v>
      </c>
      <c r="D47" s="858" t="s">
        <v>529</v>
      </c>
      <c r="E47" s="1193"/>
      <c r="F47" s="1193"/>
      <c r="G47" s="1193"/>
      <c r="H47" s="1193"/>
      <c r="I47" s="1195"/>
      <c r="J47" s="1195"/>
      <c r="K47" s="1194"/>
      <c r="P47" s="1038"/>
      <c r="Q47" s="1038"/>
      <c r="R47" s="845"/>
      <c r="S47" s="127"/>
      <c r="T47" s="834"/>
      <c r="U47" s="834"/>
      <c r="V47" s="276"/>
      <c r="W47" s="276"/>
      <c r="X47" s="315" t="str">
        <f>Y46&amp;"-"&amp;AA46</f>
        <v>-</v>
      </c>
      <c r="Y47" s="1190"/>
      <c r="Z47" s="1190"/>
      <c r="AA47" s="1190"/>
      <c r="AB47" s="1190"/>
      <c r="AC47" s="313"/>
      <c r="AD47" s="313"/>
      <c r="AE47" s="315" t="str">
        <f>AF46&amp;"-"&amp;AH46</f>
        <v>-</v>
      </c>
      <c r="AF47" s="1198"/>
      <c r="AG47" s="1079"/>
      <c r="AH47" s="1200"/>
      <c r="AI47" s="1079"/>
      <c r="AJ47" s="388"/>
      <c r="AK47" s="1266"/>
      <c r="AN47" s="583" t="str">
        <f t="shared" si="1"/>
        <v/>
      </c>
      <c r="AQ47" s="539">
        <v>0</v>
      </c>
    </row>
    <row r="48" spans="1:43" ht="21" customHeight="1">
      <c r="A48" s="858" t="s">
        <v>279</v>
      </c>
      <c r="B48" s="858" t="s">
        <v>280</v>
      </c>
      <c r="C48" s="858" t="s">
        <v>281</v>
      </c>
      <c r="D48" s="858" t="s">
        <v>529</v>
      </c>
      <c r="E48" s="1193"/>
      <c r="F48" s="1193"/>
      <c r="G48" s="1193"/>
      <c r="H48" s="1193"/>
      <c r="I48" s="1195"/>
      <c r="J48" s="1194"/>
      <c r="P48" s="1038"/>
      <c r="Q48" s="1038"/>
      <c r="R48" s="843"/>
      <c r="S48" s="316"/>
      <c r="T48" s="319" t="s">
        <v>494</v>
      </c>
      <c r="U48" s="52"/>
      <c r="V48" s="52"/>
      <c r="W48" s="52"/>
      <c r="X48" s="52"/>
      <c r="Y48" s="52"/>
      <c r="Z48" s="52"/>
      <c r="AA48" s="52"/>
      <c r="AB48" s="52"/>
      <c r="AC48" s="52"/>
      <c r="AD48" s="52"/>
      <c r="AE48" s="52"/>
      <c r="AF48" s="52"/>
      <c r="AG48" s="52"/>
      <c r="AH48" s="52"/>
      <c r="AI48" s="52"/>
      <c r="AJ48" s="52"/>
      <c r="AK48" s="836" t="s">
        <v>495</v>
      </c>
      <c r="AN48" s="583" t="str">
        <f t="shared" si="1"/>
        <v>Добавить значение признака дифференциации</v>
      </c>
      <c r="AQ48" s="539">
        <v>20</v>
      </c>
    </row>
    <row r="49" spans="1:43" ht="21.95" customHeight="1">
      <c r="A49" s="858" t="s">
        <v>279</v>
      </c>
      <c r="B49" s="858" t="s">
        <v>280</v>
      </c>
      <c r="C49" s="858" t="s">
        <v>281</v>
      </c>
      <c r="D49" s="858" t="s">
        <v>529</v>
      </c>
      <c r="E49" s="1193"/>
      <c r="F49" s="1193"/>
      <c r="G49" s="1193"/>
      <c r="H49" s="1193"/>
      <c r="I49" s="1194"/>
      <c r="P49" s="1038"/>
      <c r="R49" s="843"/>
      <c r="S49" s="316"/>
      <c r="T49" s="322" t="s">
        <v>420</v>
      </c>
      <c r="U49" s="52"/>
      <c r="V49" s="52"/>
      <c r="W49" s="52"/>
      <c r="X49" s="52"/>
      <c r="Y49" s="52"/>
      <c r="Z49" s="52"/>
      <c r="AA49" s="52"/>
      <c r="AB49" s="320"/>
      <c r="AC49" s="52"/>
      <c r="AD49" s="52"/>
      <c r="AE49" s="52"/>
      <c r="AF49" s="52"/>
      <c r="AG49" s="52"/>
      <c r="AH49" s="52"/>
      <c r="AI49" s="320"/>
      <c r="AJ49" s="52"/>
      <c r="AK49" s="400"/>
      <c r="AN49" s="583" t="str">
        <f t="shared" si="1"/>
        <v>Добавить группу потребителей</v>
      </c>
      <c r="AQ49" s="539">
        <v>21</v>
      </c>
    </row>
    <row r="50" spans="1:43" ht="21.95" customHeight="1">
      <c r="A50" s="858" t="s">
        <v>279</v>
      </c>
      <c r="B50" s="858" t="s">
        <v>280</v>
      </c>
      <c r="C50" s="858" t="s">
        <v>281</v>
      </c>
      <c r="D50" s="858" t="s">
        <v>529</v>
      </c>
      <c r="E50" s="1193"/>
      <c r="F50" s="1193"/>
      <c r="G50" s="1193"/>
      <c r="H50" s="1192"/>
      <c r="R50" s="311"/>
      <c r="S50" s="316"/>
      <c r="T50" s="377" t="s">
        <v>496</v>
      </c>
      <c r="U50" s="52"/>
      <c r="V50" s="52"/>
      <c r="W50" s="52"/>
      <c r="X50" s="52"/>
      <c r="Y50" s="52"/>
      <c r="Z50" s="52"/>
      <c r="AA50" s="52"/>
      <c r="AB50" s="320"/>
      <c r="AC50" s="52"/>
      <c r="AD50" s="52"/>
      <c r="AE50" s="52"/>
      <c r="AF50" s="52"/>
      <c r="AG50" s="52"/>
      <c r="AH50" s="52"/>
      <c r="AI50" s="320"/>
      <c r="AJ50" s="52"/>
      <c r="AK50" s="321"/>
      <c r="AN50" s="583" t="str">
        <f t="shared" si="1"/>
        <v>Добавить наименование признака дифференциации</v>
      </c>
      <c r="AQ50" s="539">
        <v>21</v>
      </c>
    </row>
    <row r="51" spans="1:43" ht="0" hidden="1" customHeight="1">
      <c r="A51" s="575" t="s">
        <v>279</v>
      </c>
      <c r="B51" s="575" t="s">
        <v>280</v>
      </c>
      <c r="E51" s="1193"/>
      <c r="F51" s="1192"/>
      <c r="T51" s="327" t="s">
        <v>423</v>
      </c>
      <c r="AN51" s="583" t="str">
        <f t="shared" si="1"/>
        <v>Добавить централизованную систему для дифференциации</v>
      </c>
      <c r="AQ51" s="578">
        <v>0</v>
      </c>
    </row>
    <row r="52" spans="1:43" ht="0" hidden="1" customHeight="1">
      <c r="A52" s="575" t="s">
        <v>279</v>
      </c>
      <c r="E52" s="1192"/>
      <c r="T52" s="327" t="s">
        <v>424</v>
      </c>
      <c r="AN52" s="583" t="str">
        <f t="shared" si="1"/>
        <v>Добавить территорию для дифференциации</v>
      </c>
      <c r="AQ52" s="578">
        <v>0</v>
      </c>
    </row>
    <row r="53" spans="1:43" ht="0" hidden="1" customHeight="1">
      <c r="T53" s="327" t="s">
        <v>456</v>
      </c>
      <c r="AN53" s="583" t="str">
        <f t="shared" si="1"/>
        <v>Добавить наименование тарифа</v>
      </c>
      <c r="AQ53" s="578">
        <v>0</v>
      </c>
    </row>
    <row r="54" spans="1:43" ht="11.45" customHeight="1">
      <c r="AQ54" s="539">
        <v>11</v>
      </c>
    </row>
    <row r="55" spans="1:43" ht="14.65" customHeight="1">
      <c r="T55" s="1038"/>
      <c r="U55" s="1038"/>
      <c r="V55" s="1038"/>
      <c r="W55" s="1038"/>
      <c r="X55" s="1038"/>
      <c r="Y55" s="1038"/>
      <c r="Z55" s="1038"/>
      <c r="AA55" s="1038"/>
      <c r="AB55" s="1038"/>
      <c r="AC55" s="1038"/>
      <c r="AD55" s="1038"/>
      <c r="AE55" s="1038"/>
      <c r="AF55" s="1038"/>
      <c r="AG55" s="1038"/>
      <c r="AH55" s="1038"/>
      <c r="AI55" s="1038"/>
      <c r="AJ55" s="1038"/>
      <c r="AK55" s="1038"/>
      <c r="AQ55" s="539">
        <v>14</v>
      </c>
    </row>
    <row r="56" spans="1:43" ht="14.65" customHeight="1">
      <c r="AQ56" s="539">
        <v>14</v>
      </c>
    </row>
    <row r="57" spans="1:43" ht="14.65" customHeight="1">
      <c r="T57" s="1038"/>
      <c r="U57" s="1038"/>
      <c r="V57" s="1038"/>
      <c r="W57" s="1038"/>
      <c r="X57" s="1038"/>
      <c r="Y57" s="1038"/>
      <c r="Z57" s="1038"/>
      <c r="AA57" s="1038"/>
      <c r="AB57" s="1038"/>
      <c r="AC57" s="1038"/>
      <c r="AD57" s="1038"/>
      <c r="AE57" s="1038"/>
      <c r="AF57" s="1038"/>
      <c r="AG57" s="1038"/>
      <c r="AH57" s="1038"/>
      <c r="AI57" s="1038"/>
      <c r="AJ57" s="1038"/>
      <c r="AK57" s="1038"/>
      <c r="AQ57" s="539">
        <v>14</v>
      </c>
    </row>
    <row r="58" spans="1:43" ht="22.5" hidden="1" customHeight="1">
      <c r="A58" s="556" t="s">
        <v>81</v>
      </c>
      <c r="B58" s="556">
        <v>0</v>
      </c>
      <c r="C58" s="556">
        <v>0</v>
      </c>
      <c r="D58" s="556">
        <v>0</v>
      </c>
      <c r="E58" s="556">
        <v>0</v>
      </c>
      <c r="F58" s="556">
        <v>0</v>
      </c>
      <c r="G58" s="556">
        <v>0</v>
      </c>
      <c r="H58" s="556">
        <v>0</v>
      </c>
      <c r="I58" s="556">
        <v>0</v>
      </c>
      <c r="J58" s="556">
        <v>0</v>
      </c>
      <c r="K58" s="556">
        <v>0</v>
      </c>
      <c r="L58" s="668">
        <v>0</v>
      </c>
      <c r="M58" s="12">
        <v>0</v>
      </c>
      <c r="N58" s="12">
        <v>0</v>
      </c>
      <c r="O58" s="12">
        <v>0</v>
      </c>
      <c r="P58" s="301">
        <v>3</v>
      </c>
      <c r="Q58" s="822">
        <v>3</v>
      </c>
      <c r="R58" s="822">
        <v>3</v>
      </c>
      <c r="S58" s="554">
        <v>12</v>
      </c>
      <c r="T58" s="539">
        <v>35</v>
      </c>
      <c r="U58" s="539">
        <v>0</v>
      </c>
      <c r="V58" s="539">
        <v>0</v>
      </c>
      <c r="W58" s="539">
        <v>0</v>
      </c>
      <c r="X58" s="539">
        <v>0</v>
      </c>
      <c r="Y58" s="539">
        <v>0</v>
      </c>
      <c r="Z58" s="539">
        <v>0</v>
      </c>
      <c r="AA58" s="539">
        <v>0</v>
      </c>
      <c r="AB58" s="539">
        <v>0</v>
      </c>
      <c r="AC58" s="539">
        <v>24</v>
      </c>
      <c r="AD58" s="539">
        <v>24</v>
      </c>
      <c r="AE58" s="539">
        <v>24</v>
      </c>
      <c r="AF58" s="539">
        <v>11</v>
      </c>
      <c r="AG58" s="539">
        <v>3</v>
      </c>
      <c r="AH58" s="539">
        <v>11</v>
      </c>
      <c r="AI58" s="539">
        <v>0</v>
      </c>
      <c r="AJ58" s="539">
        <v>4</v>
      </c>
      <c r="AK58" s="539">
        <v>115</v>
      </c>
      <c r="AL58" s="578">
        <v>10</v>
      </c>
      <c r="AM58" s="578">
        <v>10</v>
      </c>
      <c r="AN58" s="578">
        <v>10</v>
      </c>
      <c r="AO58" s="578">
        <v>10</v>
      </c>
      <c r="AP58" s="578">
        <v>10</v>
      </c>
      <c r="AQ58" s="53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030" hidden="1" customWidth="1"/>
    <col min="2" max="2" width="11" style="1030" hidden="1" customWidth="1"/>
    <col min="3" max="3" width="10.5703125" style="1030" hidden="1"/>
    <col min="4" max="4" width="12.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7" width="3.7109375" style="1030" hidden="1" customWidth="1"/>
    <col min="18" max="18" width="3" style="1030" customWidth="1"/>
    <col min="19" max="19" width="12" style="1030" customWidth="1"/>
    <col min="20" max="20" width="31" style="1030" customWidth="1"/>
    <col min="21" max="21" width="0.140625" style="1030" customWidth="1"/>
    <col min="22" max="25" width="21.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3.7109375" style="1030" customWidth="1"/>
    <col min="31" max="32" width="3" style="1030" customWidth="1"/>
    <col min="33" max="33" width="24" style="1030" customWidth="1"/>
    <col min="34" max="34" width="3.7109375" style="1030" customWidth="1"/>
    <col min="35" max="36" width="3" style="1030" customWidth="1"/>
    <col min="37" max="37" width="24" style="1030" customWidth="1"/>
    <col min="38" max="38" width="3.7109375" style="1030" customWidth="1"/>
    <col min="39" max="40" width="3" style="1030" customWidth="1"/>
    <col min="41" max="41" width="18" style="1030" customWidth="1"/>
    <col min="42" max="42" width="3.7109375" style="1030" customWidth="1"/>
    <col min="43" max="44" width="3" style="1030" customWidth="1"/>
    <col min="45" max="45" width="18" style="1030" customWidth="1"/>
    <col min="46" max="49" width="21" style="1030" customWidth="1"/>
    <col min="50" max="50" width="11" style="1030" customWidth="1"/>
    <col min="51" max="51" width="3.7109375" style="1030" customWidth="1"/>
    <col min="52" max="52" width="11" style="1030" customWidth="1"/>
    <col min="53" max="53" width="8.5703125" style="1030" hidden="1" customWidth="1"/>
    <col min="54" max="54" width="4" style="1030" customWidth="1"/>
    <col min="55" max="55" width="115" style="1030" customWidth="1"/>
    <col min="56" max="60" width="10" style="1030" customWidth="1"/>
    <col min="61" max="61" width="10.5703125" style="1030" hidden="1"/>
  </cols>
  <sheetData>
    <row r="1" spans="5:61" ht="22.5" hidden="1" customHeight="1">
      <c r="BI1" s="539" t="s">
        <v>14</v>
      </c>
    </row>
    <row r="2" spans="5:61" ht="21" hidden="1" customHeight="1">
      <c r="E2" s="1192">
        <v>1</v>
      </c>
      <c r="R2" s="311"/>
      <c r="S2" s="833" t="e">
        <f>INDEX(PT_DIFFERENTIATION_NUM_NTAR,MATCH(A2,PT_DIFFERENTIATION_NTAR_ID,0))</f>
        <v>#N/A</v>
      </c>
      <c r="T2" s="796" t="s">
        <v>133</v>
      </c>
      <c r="U2" s="834"/>
      <c r="V2" s="1188"/>
      <c r="W2" s="1188"/>
      <c r="X2" s="1188"/>
      <c r="Y2" s="1188"/>
      <c r="Z2" s="1188"/>
      <c r="AA2" s="1188"/>
      <c r="AB2" s="1188"/>
      <c r="AC2" s="1189"/>
      <c r="AD2" s="1187" t="e">
        <f>INDEX(PT_DIFFERENTIATION_NTAR,MATCH(A2,PT_DIFFERENTIATION_NTAR_ID,0))</f>
        <v>#N/A</v>
      </c>
      <c r="AE2" s="1188"/>
      <c r="AF2" s="1188"/>
      <c r="AG2" s="1188"/>
      <c r="AH2" s="1188"/>
      <c r="AI2" s="1188"/>
      <c r="AJ2" s="1188"/>
      <c r="AK2" s="1188"/>
      <c r="AL2" s="1188"/>
      <c r="AM2" s="1188"/>
      <c r="AN2" s="1188"/>
      <c r="AO2" s="1188"/>
      <c r="AP2" s="1188"/>
      <c r="AQ2" s="1188"/>
      <c r="AR2" s="1188"/>
      <c r="AS2" s="1188"/>
      <c r="AT2" s="1188"/>
      <c r="AU2" s="1188"/>
      <c r="AV2" s="1188"/>
      <c r="AW2" s="1188"/>
      <c r="AX2" s="1188"/>
      <c r="AY2" s="1188"/>
      <c r="AZ2" s="1188"/>
      <c r="BA2" s="1188"/>
      <c r="BB2" s="1189"/>
      <c r="BC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583" t="str">
        <f t="shared" ref="BF2:BF8" si="0">IF(T2="","",T2)</f>
        <v>Наименование тарифа</v>
      </c>
      <c r="BI2" s="539">
        <v>0</v>
      </c>
    </row>
    <row r="3" spans="5:61" ht="21" hidden="1" customHeight="1">
      <c r="E3" s="1193"/>
      <c r="F3" s="1192">
        <v>1</v>
      </c>
      <c r="Q3" s="880"/>
      <c r="R3" s="838"/>
      <c r="S3" s="833" t="e">
        <f>INDEX(PT_DIFFERENTIATION_NUM_TER,MATCH(B3,PT_DIFFERENTIATION_TER_ID,0))</f>
        <v>#N/A</v>
      </c>
      <c r="T3" s="839" t="s">
        <v>405</v>
      </c>
      <c r="U3" s="834"/>
      <c r="V3" s="1188"/>
      <c r="W3" s="1188"/>
      <c r="X3" s="1188"/>
      <c r="Y3" s="1188"/>
      <c r="Z3" s="1188"/>
      <c r="AA3" s="1188"/>
      <c r="AB3" s="1188"/>
      <c r="AC3" s="1189"/>
      <c r="AD3" s="1187" t="e">
        <f>INDEX(PT_DIFFERENTIATION_TER,MATCH(B3,PT_DIFFERENTIATION_TER_ID,0))</f>
        <v>#N/A</v>
      </c>
      <c r="AE3" s="1188"/>
      <c r="AF3" s="1188"/>
      <c r="AG3" s="1188"/>
      <c r="AH3" s="1188"/>
      <c r="AI3" s="1188"/>
      <c r="AJ3" s="1188"/>
      <c r="AK3" s="1188"/>
      <c r="AL3" s="1188"/>
      <c r="AM3" s="1188"/>
      <c r="AN3" s="1188"/>
      <c r="AO3" s="1188"/>
      <c r="AP3" s="1188"/>
      <c r="AQ3" s="1188"/>
      <c r="AR3" s="1188"/>
      <c r="AS3" s="1188"/>
      <c r="AT3" s="1188"/>
      <c r="AU3" s="1188"/>
      <c r="AV3" s="1188"/>
      <c r="AW3" s="1188"/>
      <c r="AX3" s="1188"/>
      <c r="AY3" s="1188"/>
      <c r="AZ3" s="1188"/>
      <c r="BA3" s="1188"/>
      <c r="BB3" s="1189"/>
      <c r="BC3" s="836" t="s">
        <v>406</v>
      </c>
      <c r="BF3" s="583" t="str">
        <f t="shared" si="0"/>
        <v>Территория действия тарифа</v>
      </c>
      <c r="BI3" s="539">
        <v>0</v>
      </c>
    </row>
    <row r="4" spans="5:61" ht="33.75" hidden="1" customHeight="1">
      <c r="E4" s="1193"/>
      <c r="F4" s="1193"/>
      <c r="G4" s="1192">
        <v>1</v>
      </c>
      <c r="Q4" s="880"/>
      <c r="R4" s="838"/>
      <c r="S4" s="833" t="e">
        <f>INDEX(PT_DIFFERENTIATION_NUM_CS,MATCH(C4,PT_DIFFERENTIATION_CS_ID,0))</f>
        <v>#N/A</v>
      </c>
      <c r="T4" s="840" t="s">
        <v>524</v>
      </c>
      <c r="U4" s="834"/>
      <c r="V4" s="1188"/>
      <c r="W4" s="1188"/>
      <c r="X4" s="1188"/>
      <c r="Y4" s="1188"/>
      <c r="Z4" s="1188"/>
      <c r="AA4" s="1188"/>
      <c r="AB4" s="1188"/>
      <c r="AC4" s="1189"/>
      <c r="AD4" s="1187" t="e">
        <f>INDEX(PT_DIFFERENTIATION_CS,MATCH(C4,PT_DIFFERENTIATION_CS_ID,0))</f>
        <v>#N/A</v>
      </c>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88"/>
      <c r="BB4" s="1189"/>
      <c r="BC4" s="836" t="s">
        <v>525</v>
      </c>
      <c r="BF4" s="583" t="str">
        <f t="shared" si="0"/>
        <v>Наименование централизованной системы водоотведения</v>
      </c>
      <c r="BI4" s="539">
        <v>0</v>
      </c>
    </row>
    <row r="5" spans="5:61" ht="14.25" hidden="1" customHeight="1">
      <c r="E5" s="1193"/>
      <c r="F5" s="1193"/>
      <c r="G5" s="1193"/>
      <c r="H5" s="1192">
        <v>1</v>
      </c>
      <c r="Q5" s="909"/>
      <c r="R5" s="845"/>
      <c r="S5" s="636"/>
      <c r="T5" s="910"/>
      <c r="U5" s="861"/>
      <c r="V5" s="1224"/>
      <c r="W5" s="1224"/>
      <c r="X5" s="1224"/>
      <c r="Y5" s="1224"/>
      <c r="Z5" s="1224"/>
      <c r="AA5" s="1224"/>
      <c r="AB5" s="1224"/>
      <c r="AC5" s="1225"/>
      <c r="AD5" s="1223"/>
      <c r="AE5" s="1224"/>
      <c r="AF5" s="1224"/>
      <c r="AG5" s="1224"/>
      <c r="AH5" s="1224"/>
      <c r="AI5" s="1224"/>
      <c r="AJ5" s="1224"/>
      <c r="AK5" s="1224"/>
      <c r="AL5" s="1224"/>
      <c r="AM5" s="1224"/>
      <c r="AN5" s="1224"/>
      <c r="AO5" s="1224"/>
      <c r="AP5" s="1224"/>
      <c r="AQ5" s="1224"/>
      <c r="AR5" s="1224"/>
      <c r="AS5" s="1224"/>
      <c r="AT5" s="1224"/>
      <c r="AU5" s="1224"/>
      <c r="AV5" s="1224"/>
      <c r="AW5" s="1224"/>
      <c r="AX5" s="1224"/>
      <c r="AY5" s="1224"/>
      <c r="AZ5" s="1224"/>
      <c r="BA5" s="1224"/>
      <c r="BB5" s="1225"/>
      <c r="BC5" s="863" t="s">
        <v>410</v>
      </c>
      <c r="BF5" s="583" t="str">
        <f t="shared" si="0"/>
        <v/>
      </c>
      <c r="BI5" s="578">
        <v>0</v>
      </c>
    </row>
    <row r="6" spans="5:61" ht="14.25" hidden="1" customHeight="1">
      <c r="E6" s="1193"/>
      <c r="F6" s="1193"/>
      <c r="G6" s="1193"/>
      <c r="H6" s="1193"/>
      <c r="I6" s="1194" t="str">
        <f>S5&amp;".1"</f>
        <v>.1</v>
      </c>
      <c r="L6" s="864" t="s">
        <v>411</v>
      </c>
      <c r="P6" s="1196">
        <v>1</v>
      </c>
      <c r="R6" s="843"/>
      <c r="S6" s="636"/>
      <c r="T6" s="860"/>
      <c r="U6" s="861"/>
      <c r="V6" s="1224"/>
      <c r="W6" s="1224"/>
      <c r="X6" s="1224"/>
      <c r="Y6" s="1224"/>
      <c r="Z6" s="1224"/>
      <c r="AA6" s="1224"/>
      <c r="AB6" s="1224"/>
      <c r="AC6" s="1225"/>
      <c r="AD6" s="1223"/>
      <c r="AE6" s="1224"/>
      <c r="AF6" s="1224"/>
      <c r="AG6" s="1224"/>
      <c r="AH6" s="1224"/>
      <c r="AI6" s="1224"/>
      <c r="AJ6" s="1224"/>
      <c r="AK6" s="1224"/>
      <c r="AL6" s="1224"/>
      <c r="AM6" s="1224"/>
      <c r="AN6" s="1224"/>
      <c r="AO6" s="1224"/>
      <c r="AP6" s="1224"/>
      <c r="AQ6" s="1224"/>
      <c r="AR6" s="1224"/>
      <c r="AS6" s="1224"/>
      <c r="AT6" s="1224"/>
      <c r="AU6" s="1224"/>
      <c r="AV6" s="1224"/>
      <c r="AW6" s="1224"/>
      <c r="AX6" s="1224"/>
      <c r="AY6" s="1224"/>
      <c r="AZ6" s="1224"/>
      <c r="BA6" s="1224"/>
      <c r="BB6" s="1225"/>
      <c r="BC6" s="863"/>
      <c r="BF6" s="583" t="str">
        <f t="shared" si="0"/>
        <v/>
      </c>
      <c r="BI6" s="578">
        <v>0</v>
      </c>
    </row>
    <row r="7" spans="5:61" ht="14.25" hidden="1" customHeight="1">
      <c r="E7" s="1193"/>
      <c r="F7" s="1193"/>
      <c r="G7" s="1193"/>
      <c r="H7" s="1193"/>
      <c r="I7" s="1195"/>
      <c r="J7" s="1194" t="str">
        <f>S5&amp;".1"</f>
        <v>.1</v>
      </c>
      <c r="P7" s="1038"/>
      <c r="Q7" s="1196">
        <v>1</v>
      </c>
      <c r="R7" s="845"/>
      <c r="S7" s="636"/>
      <c r="T7" s="881"/>
      <c r="U7" s="861"/>
      <c r="V7" s="1224"/>
      <c r="W7" s="1224"/>
      <c r="X7" s="1224"/>
      <c r="Y7" s="1224"/>
      <c r="Z7" s="1224"/>
      <c r="AA7" s="1224"/>
      <c r="AB7" s="1224"/>
      <c r="AC7" s="1225"/>
      <c r="AD7" s="1223"/>
      <c r="AE7" s="1224"/>
      <c r="AF7" s="1224"/>
      <c r="AG7" s="1224"/>
      <c r="AH7" s="1224"/>
      <c r="AI7" s="1224"/>
      <c r="AJ7" s="1224"/>
      <c r="AK7" s="1224"/>
      <c r="AL7" s="1224"/>
      <c r="AM7" s="1224"/>
      <c r="AN7" s="1224"/>
      <c r="AO7" s="1224"/>
      <c r="AP7" s="1224"/>
      <c r="AQ7" s="1224"/>
      <c r="AR7" s="1224"/>
      <c r="AS7" s="1224"/>
      <c r="AT7" s="1224"/>
      <c r="AU7" s="1224"/>
      <c r="AV7" s="1224"/>
      <c r="AW7" s="1224"/>
      <c r="AX7" s="1224"/>
      <c r="AY7" s="1224"/>
      <c r="AZ7" s="1224"/>
      <c r="BA7" s="1224"/>
      <c r="BB7" s="1225"/>
      <c r="BC7" s="863"/>
      <c r="BF7" s="583" t="str">
        <f t="shared" si="0"/>
        <v/>
      </c>
      <c r="BI7" s="578">
        <v>0</v>
      </c>
    </row>
    <row r="8" spans="5:61" ht="11.25" hidden="1" customHeight="1">
      <c r="E8" s="1193"/>
      <c r="F8" s="1193"/>
      <c r="G8" s="1193"/>
      <c r="H8" s="1193"/>
      <c r="I8" s="1195"/>
      <c r="J8" s="1195"/>
      <c r="K8" s="1194" t="e">
        <f>S4&amp;".1"</f>
        <v>#N/A</v>
      </c>
      <c r="P8" s="1038"/>
      <c r="Q8" s="1038"/>
      <c r="R8" s="1252">
        <v>1</v>
      </c>
      <c r="S8" s="1249" t="e">
        <f>$K8</f>
        <v>#N/A</v>
      </c>
      <c r="T8" s="1269"/>
      <c r="U8" s="834"/>
      <c r="V8" s="312"/>
      <c r="W8" s="314"/>
      <c r="X8" s="312"/>
      <c r="Y8" s="314"/>
      <c r="Z8" s="203"/>
      <c r="AA8" s="56" t="s">
        <v>61</v>
      </c>
      <c r="AB8" s="203"/>
      <c r="AC8" s="56" t="s">
        <v>61</v>
      </c>
      <c r="AD8" s="1141" t="s">
        <v>61</v>
      </c>
      <c r="AE8" s="1245"/>
      <c r="AF8" s="1151">
        <v>1</v>
      </c>
      <c r="AG8" s="1268"/>
      <c r="AH8" s="1079" t="s">
        <v>61</v>
      </c>
      <c r="AI8" s="1245"/>
      <c r="AJ8" s="1151">
        <v>1</v>
      </c>
      <c r="AK8" s="1259" t="s">
        <v>22</v>
      </c>
      <c r="AL8" s="1079" t="s">
        <v>61</v>
      </c>
      <c r="AM8" s="1129"/>
      <c r="AN8" s="1151">
        <v>1</v>
      </c>
      <c r="AO8" s="1272"/>
      <c r="AP8" s="1273" t="s">
        <v>61</v>
      </c>
      <c r="AQ8" s="883"/>
      <c r="AR8" s="92">
        <v>1</v>
      </c>
      <c r="AS8" s="14" t="s">
        <v>22</v>
      </c>
      <c r="AT8" s="312"/>
      <c r="AU8" s="314"/>
      <c r="AV8" s="312"/>
      <c r="AW8" s="314"/>
      <c r="AX8" s="203"/>
      <c r="AY8" s="56" t="s">
        <v>61</v>
      </c>
      <c r="AZ8" s="203"/>
      <c r="BA8" s="56" t="s">
        <v>61</v>
      </c>
      <c r="BB8" s="332"/>
      <c r="BC8" s="1215" t="s">
        <v>509</v>
      </c>
      <c r="BF8" s="583" t="str">
        <f t="shared" si="0"/>
        <v/>
      </c>
      <c r="BI8" s="539">
        <v>0</v>
      </c>
    </row>
    <row r="9" spans="5:61" ht="11.25" hidden="1" customHeight="1">
      <c r="E9" s="1193"/>
      <c r="F9" s="1193"/>
      <c r="G9" s="1193"/>
      <c r="H9" s="1193"/>
      <c r="I9" s="1195"/>
      <c r="J9" s="1195"/>
      <c r="K9" s="1194"/>
      <c r="P9" s="1038"/>
      <c r="Q9" s="1038"/>
      <c r="R9" s="1252"/>
      <c r="S9" s="1250"/>
      <c r="T9" s="1270"/>
      <c r="U9" s="834"/>
      <c r="V9" s="345"/>
      <c r="W9" s="352"/>
      <c r="X9" s="345"/>
      <c r="Y9" s="352"/>
      <c r="Z9" s="345"/>
      <c r="AA9" s="345"/>
      <c r="AB9" s="345"/>
      <c r="AC9" s="345"/>
      <c r="AD9" s="1142"/>
      <c r="AE9" s="1245"/>
      <c r="AF9" s="1151"/>
      <c r="AG9" s="1268"/>
      <c r="AH9" s="1079"/>
      <c r="AI9" s="1245"/>
      <c r="AJ9" s="1151"/>
      <c r="AK9" s="1259"/>
      <c r="AL9" s="1079"/>
      <c r="AM9" s="1134"/>
      <c r="AN9" s="1151"/>
      <c r="AO9" s="1272"/>
      <c r="AP9" s="1274"/>
      <c r="AQ9" s="265"/>
      <c r="AR9" s="49"/>
      <c r="AS9" s="49" t="s">
        <v>510</v>
      </c>
      <c r="AT9" s="345"/>
      <c r="AU9" s="352"/>
      <c r="AV9" s="345"/>
      <c r="AW9" s="352"/>
      <c r="AX9" s="345"/>
      <c r="AY9" s="345"/>
      <c r="AZ9" s="345"/>
      <c r="BA9" s="345"/>
      <c r="BB9" s="351"/>
      <c r="BC9" s="1216"/>
      <c r="BI9" s="539">
        <v>0</v>
      </c>
    </row>
    <row r="10" spans="5:61" ht="11.25" hidden="1" customHeight="1">
      <c r="E10" s="1193"/>
      <c r="F10" s="1193"/>
      <c r="G10" s="1193"/>
      <c r="H10" s="1193"/>
      <c r="I10" s="1195"/>
      <c r="J10" s="1195"/>
      <c r="K10" s="1194"/>
      <c r="P10" s="1038"/>
      <c r="Q10" s="1038"/>
      <c r="R10" s="1252"/>
      <c r="S10" s="1250"/>
      <c r="T10" s="1270"/>
      <c r="U10" s="834"/>
      <c r="V10" s="345"/>
      <c r="W10" s="352"/>
      <c r="X10" s="345"/>
      <c r="Y10" s="352"/>
      <c r="Z10" s="345"/>
      <c r="AA10" s="345"/>
      <c r="AB10" s="345"/>
      <c r="AC10" s="345"/>
      <c r="AD10" s="1142"/>
      <c r="AE10" s="1245"/>
      <c r="AF10" s="1151"/>
      <c r="AG10" s="1268"/>
      <c r="AH10" s="1079"/>
      <c r="AI10" s="1245"/>
      <c r="AJ10" s="1151"/>
      <c r="AK10" s="1259"/>
      <c r="AL10" s="1079"/>
      <c r="AM10" s="265"/>
      <c r="AN10" s="304"/>
      <c r="AO10" s="304" t="s">
        <v>530</v>
      </c>
      <c r="AP10" s="49"/>
      <c r="AQ10" s="49"/>
      <c r="AR10" s="49"/>
      <c r="AS10" s="345"/>
      <c r="AT10" s="345"/>
      <c r="AU10" s="352"/>
      <c r="AV10" s="345"/>
      <c r="AW10" s="352"/>
      <c r="AX10" s="345"/>
      <c r="AY10" s="345"/>
      <c r="AZ10" s="345"/>
      <c r="BA10" s="345"/>
      <c r="BB10" s="351"/>
      <c r="BC10" s="1216"/>
      <c r="BI10" s="539">
        <v>0</v>
      </c>
    </row>
    <row r="11" spans="5:61" ht="11.25" hidden="1" customHeight="1">
      <c r="E11" s="1193"/>
      <c r="F11" s="1193"/>
      <c r="G11" s="1193"/>
      <c r="H11" s="1193"/>
      <c r="I11" s="1195"/>
      <c r="J11" s="1195"/>
      <c r="K11" s="1194"/>
      <c r="P11" s="1038"/>
      <c r="Q11" s="1038"/>
      <c r="R11" s="1252"/>
      <c r="S11" s="1250"/>
      <c r="T11" s="1270"/>
      <c r="U11" s="834"/>
      <c r="V11" s="345"/>
      <c r="W11" s="352"/>
      <c r="X11" s="345"/>
      <c r="Y11" s="352"/>
      <c r="Z11" s="345"/>
      <c r="AA11" s="345"/>
      <c r="AB11" s="345"/>
      <c r="AC11" s="345"/>
      <c r="AD11" s="1142"/>
      <c r="AE11" s="1245"/>
      <c r="AF11" s="1151"/>
      <c r="AG11" s="1268"/>
      <c r="AH11" s="1079"/>
      <c r="AI11" s="354"/>
      <c r="AJ11" s="44"/>
      <c r="AK11" s="120" t="s">
        <v>531</v>
      </c>
      <c r="AL11" s="345"/>
      <c r="AM11" s="345"/>
      <c r="AN11" s="345"/>
      <c r="AO11" s="345"/>
      <c r="AP11" s="345"/>
      <c r="AQ11" s="345"/>
      <c r="AR11" s="345"/>
      <c r="AS11" s="345"/>
      <c r="AT11" s="345"/>
      <c r="AU11" s="352"/>
      <c r="AV11" s="345"/>
      <c r="AW11" s="352"/>
      <c r="AX11" s="345"/>
      <c r="AY11" s="345"/>
      <c r="AZ11" s="345"/>
      <c r="BA11" s="345"/>
      <c r="BB11" s="351"/>
      <c r="BC11" s="1216"/>
      <c r="BI11" s="539">
        <v>0</v>
      </c>
    </row>
    <row r="12" spans="5:61" ht="11.25" hidden="1" customHeight="1">
      <c r="E12" s="1193"/>
      <c r="F12" s="1193"/>
      <c r="G12" s="1193"/>
      <c r="H12" s="1193"/>
      <c r="I12" s="1195"/>
      <c r="J12" s="1195"/>
      <c r="K12" s="1194"/>
      <c r="P12" s="1038"/>
      <c r="Q12" s="1038"/>
      <c r="R12" s="1252"/>
      <c r="S12" s="1251"/>
      <c r="T12" s="1271"/>
      <c r="U12" s="834"/>
      <c r="V12" s="345"/>
      <c r="W12" s="346" t="str">
        <f>Z8&amp;"-"&amp;AB8</f>
        <v>-</v>
      </c>
      <c r="X12" s="345"/>
      <c r="Y12" s="346" t="str">
        <f>AB8&amp;"-"&amp;AD8</f>
        <v>-да</v>
      </c>
      <c r="Z12" s="345"/>
      <c r="AA12" s="345"/>
      <c r="AB12" s="345"/>
      <c r="AC12" s="345"/>
      <c r="AD12" s="1085"/>
      <c r="AE12" s="356"/>
      <c r="AF12" s="357"/>
      <c r="AG12" s="49" t="s">
        <v>513</v>
      </c>
      <c r="AH12" s="345"/>
      <c r="AI12" s="345"/>
      <c r="AJ12" s="345"/>
      <c r="AK12" s="345"/>
      <c r="AL12" s="345"/>
      <c r="AM12" s="345"/>
      <c r="AN12" s="345"/>
      <c r="AO12" s="345"/>
      <c r="AP12" s="345"/>
      <c r="AQ12" s="345"/>
      <c r="AR12" s="345"/>
      <c r="AS12" s="345"/>
      <c r="AT12" s="345"/>
      <c r="AU12" s="346" t="str">
        <f>AX8&amp;"-"&amp;AZ8</f>
        <v>-</v>
      </c>
      <c r="AV12" s="345"/>
      <c r="AW12" s="346" t="str">
        <f>AZ8&amp;"-"&amp;BB8</f>
        <v>-</v>
      </c>
      <c r="AX12" s="345"/>
      <c r="AY12" s="345"/>
      <c r="AZ12" s="345"/>
      <c r="BA12" s="345"/>
      <c r="BB12" s="355" t="str">
        <f>BE8&amp;"-"&amp;BG8</f>
        <v>-</v>
      </c>
      <c r="BC12" s="1216"/>
      <c r="BF12" s="583" t="str">
        <f t="shared" ref="BF12:BF18" si="1">IF(T12="","",T12)</f>
        <v/>
      </c>
      <c r="BI12" s="539">
        <v>0</v>
      </c>
    </row>
    <row r="13" spans="5:61" ht="11.25" hidden="1" customHeight="1">
      <c r="E13" s="1193"/>
      <c r="F13" s="1193"/>
      <c r="G13" s="1193"/>
      <c r="H13" s="1193"/>
      <c r="I13" s="1195"/>
      <c r="J13" s="1194"/>
      <c r="P13" s="1038"/>
      <c r="Q13" s="1038"/>
      <c r="R13" s="843"/>
      <c r="S13" s="316"/>
      <c r="T13" s="319" t="s">
        <v>476</v>
      </c>
      <c r="U13" s="52"/>
      <c r="V13" s="52"/>
      <c r="W13" s="52"/>
      <c r="X13" s="52"/>
      <c r="Y13" s="52"/>
      <c r="Z13" s="52"/>
      <c r="AA13" s="52"/>
      <c r="AB13" s="52"/>
      <c r="AC13" s="52"/>
      <c r="AD13" s="36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318"/>
      <c r="BC13" s="1217"/>
      <c r="BF13" s="583" t="str">
        <f t="shared" si="1"/>
        <v>Добавить строку</v>
      </c>
      <c r="BI13" s="539">
        <v>0</v>
      </c>
    </row>
    <row r="14" spans="5:61" ht="14.25" hidden="1" customHeight="1">
      <c r="E14" s="1193"/>
      <c r="F14" s="1193"/>
      <c r="G14" s="1193"/>
      <c r="H14" s="1193"/>
      <c r="I14" s="1194"/>
      <c r="P14" s="1038"/>
      <c r="R14" s="843"/>
      <c r="S14" s="335"/>
      <c r="T14" s="336"/>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8"/>
      <c r="BF14" s="583" t="str">
        <f t="shared" si="1"/>
        <v/>
      </c>
      <c r="BI14" s="578">
        <v>0</v>
      </c>
    </row>
    <row r="15" spans="5:61" ht="14.25" hidden="1" customHeight="1">
      <c r="E15" s="1193"/>
      <c r="F15" s="1193"/>
      <c r="G15" s="1193"/>
      <c r="H15" s="1192"/>
      <c r="R15" s="358"/>
      <c r="S15" s="335"/>
      <c r="T15" s="33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8"/>
      <c r="BF15" s="583" t="str">
        <f t="shared" si="1"/>
        <v/>
      </c>
      <c r="BI15" s="578">
        <v>0</v>
      </c>
    </row>
    <row r="16" spans="5:61" ht="14.25" hidden="1" customHeight="1">
      <c r="E16" s="1193"/>
      <c r="F16" s="1193"/>
      <c r="G16" s="1192"/>
      <c r="BF16" s="583" t="str">
        <f t="shared" si="1"/>
        <v/>
      </c>
      <c r="BI16" s="578">
        <v>0</v>
      </c>
    </row>
    <row r="17" spans="5:61" ht="14.25" hidden="1" customHeight="1">
      <c r="E17" s="1193"/>
      <c r="F17" s="1192"/>
      <c r="T17" s="327" t="s">
        <v>423</v>
      </c>
      <c r="BF17" s="583" t="str">
        <f t="shared" si="1"/>
        <v>Добавить централизованную систему для дифференциации</v>
      </c>
      <c r="BI17" s="578">
        <v>0</v>
      </c>
    </row>
    <row r="18" spans="5:61" ht="14.25" hidden="1" customHeight="1">
      <c r="E18" s="1192"/>
      <c r="T18" s="327" t="s">
        <v>424</v>
      </c>
      <c r="BF18" s="583" t="str">
        <f t="shared" si="1"/>
        <v>Добавить территорию для дифференциации</v>
      </c>
      <c r="BI18" s="578">
        <v>0</v>
      </c>
    </row>
    <row r="19" spans="5:61" ht="14.25" hidden="1" customHeight="1">
      <c r="BI19" s="539">
        <v>0</v>
      </c>
    </row>
    <row r="20" spans="5:61" ht="14.25" hidden="1" customHeight="1">
      <c r="AD20" s="359" t="s">
        <v>19</v>
      </c>
      <c r="AF20" s="359">
        <v>1</v>
      </c>
      <c r="AH20" s="359" t="s">
        <v>19</v>
      </c>
      <c r="AJ20" s="359">
        <v>1</v>
      </c>
      <c r="AL20" s="359" t="s">
        <v>19</v>
      </c>
      <c r="AN20" s="359">
        <v>1</v>
      </c>
      <c r="AP20" s="359" t="s">
        <v>19</v>
      </c>
      <c r="AR20" s="359">
        <v>1</v>
      </c>
      <c r="AT20" s="313"/>
      <c r="AU20" s="334"/>
      <c r="AV20" s="313"/>
      <c r="AW20" s="334"/>
      <c r="AX20" s="361"/>
      <c r="AY20" s="286" t="s">
        <v>61</v>
      </c>
      <c r="AZ20" s="361"/>
      <c r="BA20" s="286" t="s">
        <v>61</v>
      </c>
      <c r="BI20" s="539">
        <v>0</v>
      </c>
    </row>
    <row r="21" spans="5:61" ht="14.25" hidden="1" customHeight="1">
      <c r="BI21" s="539">
        <v>0</v>
      </c>
    </row>
    <row r="22" spans="5:61" ht="14.25" hidden="1" customHeight="1">
      <c r="O22" s="329" t="s">
        <v>425</v>
      </c>
      <c r="Z22" s="349"/>
      <c r="AB22" s="349"/>
      <c r="AX22" s="349"/>
      <c r="AZ22" s="349"/>
      <c r="BI22" s="539">
        <v>0</v>
      </c>
    </row>
    <row r="23" spans="5:61" ht="14.25" hidden="1" customHeight="1">
      <c r="BI23" s="539">
        <v>0</v>
      </c>
    </row>
    <row r="24" spans="5:61" ht="14.25" hidden="1" customHeight="1">
      <c r="O24" s="885" t="s">
        <v>426</v>
      </c>
      <c r="AA24" s="885" t="s">
        <v>428</v>
      </c>
      <c r="AC24" s="885" t="s">
        <v>429</v>
      </c>
      <c r="AD24" s="885" t="s">
        <v>477</v>
      </c>
      <c r="AH24" s="885" t="s">
        <v>477</v>
      </c>
      <c r="AK24" s="885" t="s">
        <v>514</v>
      </c>
      <c r="AL24" s="885" t="s">
        <v>477</v>
      </c>
      <c r="AP24" s="885" t="s">
        <v>477</v>
      </c>
      <c r="AY24" s="885" t="s">
        <v>428</v>
      </c>
      <c r="BA24" s="885" t="s">
        <v>429</v>
      </c>
      <c r="BI24" s="885">
        <v>0</v>
      </c>
    </row>
    <row r="25" spans="5:61" ht="14.25" hidden="1" customHeight="1">
      <c r="BI25" s="539">
        <v>0</v>
      </c>
    </row>
    <row r="26" spans="5:61" ht="14.25" hidden="1" customHeight="1">
      <c r="BI26" s="539">
        <v>0</v>
      </c>
    </row>
    <row r="27" spans="5:61" ht="14.65" customHeight="1">
      <c r="Q27" s="886"/>
      <c r="R27" s="757"/>
      <c r="S27" s="848"/>
      <c r="T27" s="557"/>
      <c r="U27" s="557"/>
      <c r="BI27" s="539">
        <v>14</v>
      </c>
    </row>
    <row r="28" spans="5:61" ht="14.65" customHeight="1">
      <c r="Q28" s="886"/>
      <c r="R28" s="757"/>
      <c r="S28" s="11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174"/>
      <c r="AS28" s="1174"/>
      <c r="AT28" s="1174"/>
      <c r="AU28" s="1174"/>
      <c r="AV28" s="1174"/>
      <c r="AW28" s="1174"/>
      <c r="AX28" s="1174"/>
      <c r="AY28" s="1174"/>
      <c r="AZ28" s="1174"/>
      <c r="BI28" s="539">
        <v>14</v>
      </c>
    </row>
    <row r="29" spans="5:61" ht="14.65" customHeight="1">
      <c r="Q29" s="886"/>
      <c r="R29" s="757"/>
      <c r="S29" s="1148" t="str">
        <f>IF(org=0,"Не определено",org)</f>
        <v>АО "НИЖЕГОРОДСКИЙ ВОДОКАНАЛ"</v>
      </c>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I29" s="539">
        <v>14</v>
      </c>
    </row>
    <row r="30" spans="5:61" ht="14.25" hidden="1" customHeight="1">
      <c r="Q30" s="886"/>
      <c r="R30" s="757"/>
      <c r="S30" s="848"/>
      <c r="T30" s="557"/>
      <c r="U30" s="55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I30" s="539">
        <v>0</v>
      </c>
    </row>
    <row r="31" spans="5:61" ht="25.5" hidden="1" customHeight="1">
      <c r="S31" s="1184" t="s">
        <v>41</v>
      </c>
      <c r="T31" s="1184"/>
      <c r="U31" s="850"/>
      <c r="V31" s="1186" t="str">
        <f>IF(TITLE_NAME_OR_PR_CHANGE="",IF(TITLE_NAME_OR_PR="","",TITLE_NAME_OR_PR),TITLE_NAME_OR_PR_CHANGE)</f>
        <v/>
      </c>
      <c r="W31" s="1186"/>
      <c r="X31" s="1186"/>
      <c r="Y31" s="1186"/>
      <c r="Z31" s="1186"/>
      <c r="AA31" s="1186"/>
      <c r="AB31" s="1186"/>
      <c r="AD31" s="1186" t="str">
        <f>IF(TITLE_NAME_OR_PR_CHANGE="",IF(TITLE_NAME_OR_PR="","",TITLE_NAME_OR_PR),TITLE_NAME_OR_PR_CHANGE)</f>
        <v/>
      </c>
      <c r="AE31" s="1186"/>
      <c r="AF31" s="1186"/>
      <c r="AG31" s="1186"/>
      <c r="AH31" s="1186"/>
      <c r="AI31" s="1186"/>
      <c r="AJ31" s="1186"/>
      <c r="AK31" s="1186"/>
      <c r="AL31" s="1186"/>
      <c r="AM31" s="1186"/>
      <c r="AN31" s="1186"/>
      <c r="AO31" s="1186"/>
      <c r="AP31" s="1186"/>
      <c r="AQ31" s="1186"/>
      <c r="AR31" s="1186"/>
      <c r="AS31" s="1186"/>
      <c r="AT31" s="1186"/>
      <c r="AU31" s="1186"/>
      <c r="AV31" s="1186"/>
      <c r="AW31" s="1186"/>
      <c r="AX31" s="1186"/>
      <c r="AY31" s="1186"/>
      <c r="AZ31" s="1186"/>
      <c r="BI31" s="593">
        <v>0</v>
      </c>
    </row>
    <row r="32" spans="5:61" ht="18.75" hidden="1" customHeight="1">
      <c r="S32" s="1184" t="s">
        <v>431</v>
      </c>
      <c r="T32" s="1184"/>
      <c r="U32" s="850"/>
      <c r="V32" s="1185" t="str">
        <f>IF(TITLE_DATE_PR_CHANGE="",IF(TITLE_DATE_PR="","",TITLE_DATE_PR),TITLE_DATE_PR_CHANGE)</f>
        <v/>
      </c>
      <c r="W32" s="1185"/>
      <c r="X32" s="1185"/>
      <c r="Y32" s="1185"/>
      <c r="Z32" s="1185"/>
      <c r="AA32" s="1185"/>
      <c r="AB32" s="1185"/>
      <c r="AD32" s="1185" t="str">
        <f>IF(TITLE_DATE_PR_CHANGE="",IF(TITLE_DATE_PR="","",TITLE_DATE_PR),TITLE_DATE_PR_CHANGE)</f>
        <v/>
      </c>
      <c r="AE32" s="1185"/>
      <c r="AF32" s="1185"/>
      <c r="AG32" s="1185"/>
      <c r="AH32" s="1185"/>
      <c r="AI32" s="1185"/>
      <c r="AJ32" s="1185"/>
      <c r="AK32" s="1185"/>
      <c r="AL32" s="1185"/>
      <c r="AM32" s="1185"/>
      <c r="AN32" s="1185"/>
      <c r="AO32" s="1185"/>
      <c r="AP32" s="1185"/>
      <c r="AQ32" s="1185"/>
      <c r="AR32" s="1185"/>
      <c r="AS32" s="1185"/>
      <c r="AT32" s="1185"/>
      <c r="AU32" s="1185"/>
      <c r="AV32" s="1185"/>
      <c r="AW32" s="1185"/>
      <c r="AX32" s="1185"/>
      <c r="AY32" s="1185"/>
      <c r="AZ32" s="1185"/>
      <c r="BI32" s="593">
        <v>0</v>
      </c>
    </row>
    <row r="33" spans="1:61" ht="18.75" hidden="1" customHeight="1">
      <c r="S33" s="1184" t="s">
        <v>432</v>
      </c>
      <c r="T33" s="1184"/>
      <c r="U33" s="850"/>
      <c r="V33" s="1186" t="str">
        <f>IF(TITLE_NUMBER_PR_CHANGE="",IF(TITLE_NUMBER_PR="","",TITLE_NUMBER_PR),TITLE_NUMBER_PR_CHANGE)</f>
        <v/>
      </c>
      <c r="W33" s="1186"/>
      <c r="X33" s="1186"/>
      <c r="Y33" s="1186"/>
      <c r="Z33" s="1186"/>
      <c r="AA33" s="1186"/>
      <c r="AB33" s="1186"/>
      <c r="AD33" s="1186" t="str">
        <f>IF(TITLE_NUMBER_PR_CHANGE="",IF(TITLE_NUMBER_PR="","",TITLE_NUMBER_PR),TITLE_NUMBER_PR_CHANGE)</f>
        <v/>
      </c>
      <c r="AE33" s="1186"/>
      <c r="AF33" s="1186"/>
      <c r="AG33" s="1186"/>
      <c r="AH33" s="1186"/>
      <c r="AI33" s="1186"/>
      <c r="AJ33" s="1186"/>
      <c r="AK33" s="1186"/>
      <c r="AL33" s="1186"/>
      <c r="AM33" s="1186"/>
      <c r="AN33" s="1186"/>
      <c r="AO33" s="1186"/>
      <c r="AP33" s="1186"/>
      <c r="AQ33" s="1186"/>
      <c r="AR33" s="1186"/>
      <c r="AS33" s="1186"/>
      <c r="AT33" s="1186"/>
      <c r="AU33" s="1186"/>
      <c r="AV33" s="1186"/>
      <c r="AW33" s="1186"/>
      <c r="AX33" s="1186"/>
      <c r="AY33" s="1186"/>
      <c r="AZ33" s="1186"/>
      <c r="BI33" s="593">
        <v>0</v>
      </c>
    </row>
    <row r="34" spans="1:61" ht="18.75" hidden="1" customHeight="1">
      <c r="S34" s="1184" t="s">
        <v>42</v>
      </c>
      <c r="T34" s="1184"/>
      <c r="U34" s="850"/>
      <c r="V34" s="1186" t="str">
        <f>IF(TITLE_IST_PUB_CHANGE="",IF(TITLE_IST_PUB="","",TITLE_IST_PUB),TITLE_IST_PUB_CHANGE)</f>
        <v/>
      </c>
      <c r="W34" s="1186"/>
      <c r="X34" s="1186"/>
      <c r="Y34" s="1186"/>
      <c r="Z34" s="1186"/>
      <c r="AA34" s="1186"/>
      <c r="AB34" s="1186"/>
      <c r="AD34" s="1186" t="str">
        <f>IF(TITLE_IST_PUB_CHANGE="",IF(TITLE_IST_PUB="","",TITLE_IST_PUB),TITLE_IST_PUB_CHANGE)</f>
        <v/>
      </c>
      <c r="AE34" s="1186"/>
      <c r="AF34" s="1186"/>
      <c r="AG34" s="1186"/>
      <c r="AH34" s="1186"/>
      <c r="AI34" s="1186"/>
      <c r="AJ34" s="1186"/>
      <c r="AK34" s="1186"/>
      <c r="AL34" s="1186"/>
      <c r="AM34" s="1186"/>
      <c r="AN34" s="1186"/>
      <c r="AO34" s="1186"/>
      <c r="AP34" s="1186"/>
      <c r="AQ34" s="1186"/>
      <c r="AR34" s="1186"/>
      <c r="AS34" s="1186"/>
      <c r="AT34" s="1186"/>
      <c r="AU34" s="1186"/>
      <c r="AV34" s="1186"/>
      <c r="AW34" s="1186"/>
      <c r="AX34" s="1186"/>
      <c r="AY34" s="1186"/>
      <c r="AZ34" s="1186"/>
      <c r="BI34" s="593">
        <v>0</v>
      </c>
    </row>
    <row r="35" spans="1:61" ht="14.25" hidden="1" customHeight="1">
      <c r="Q35" s="886"/>
      <c r="R35" s="757"/>
      <c r="S35" s="848"/>
      <c r="T35" s="557"/>
      <c r="U35" s="55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I35" s="539">
        <v>0</v>
      </c>
    </row>
    <row r="36" spans="1:61" ht="18.75" hidden="1" customHeight="1">
      <c r="S36" s="1184" t="s">
        <v>431</v>
      </c>
      <c r="T36" s="1184"/>
      <c r="U36" s="850"/>
      <c r="V36" s="1185" t="str">
        <f>IF(TITLE_DATE_PR_CHANGE="",IF(TITLE_DATE_PR="","",TITLE_DATE_PR),TITLE_DATE_PR_CHANGE)</f>
        <v/>
      </c>
      <c r="W36" s="1185"/>
      <c r="X36" s="1185"/>
      <c r="Y36" s="1185"/>
      <c r="Z36" s="1185"/>
      <c r="AA36" s="1185"/>
      <c r="AB36" s="1185"/>
      <c r="AD36" s="1185" t="str">
        <f>IF(TITLE_DATE_PR_CHANGE="",IF(TITLE_DATE_PR="","",TITLE_DATE_PR),TITLE_DATE_PR_CHANGE)</f>
        <v/>
      </c>
      <c r="AE36" s="1185"/>
      <c r="AF36" s="1185"/>
      <c r="AG36" s="1185"/>
      <c r="AH36" s="1185"/>
      <c r="AI36" s="1185"/>
      <c r="AJ36" s="1185"/>
      <c r="AK36" s="1185"/>
      <c r="AL36" s="1185"/>
      <c r="AM36" s="1185"/>
      <c r="AN36" s="1185"/>
      <c r="AO36" s="1185"/>
      <c r="AP36" s="1185"/>
      <c r="AQ36" s="1185"/>
      <c r="AR36" s="1185"/>
      <c r="AS36" s="1185"/>
      <c r="AT36" s="1185"/>
      <c r="AU36" s="1185"/>
      <c r="AV36" s="1185"/>
      <c r="AW36" s="1185"/>
      <c r="AX36" s="1185"/>
      <c r="AY36" s="1185"/>
      <c r="AZ36" s="1185"/>
      <c r="BI36" s="593">
        <v>0</v>
      </c>
    </row>
    <row r="37" spans="1:61" ht="18.75" hidden="1" customHeight="1">
      <c r="S37" s="1184" t="s">
        <v>432</v>
      </c>
      <c r="T37" s="1184"/>
      <c r="U37" s="850"/>
      <c r="V37" s="1186" t="str">
        <f>IF(TITLE_NUMBER_PR_CHANGE="",IF(TITLE_NUMBER_PR="","",TITLE_NUMBER_PR),TITLE_NUMBER_PR_CHANGE)</f>
        <v/>
      </c>
      <c r="W37" s="1186"/>
      <c r="X37" s="1186"/>
      <c r="Y37" s="1186"/>
      <c r="Z37" s="1186"/>
      <c r="AA37" s="1186"/>
      <c r="AB37" s="1186"/>
      <c r="AD37" s="1186" t="str">
        <f>IF(TITLE_NUMBER_PR_CHANGE="",IF(TITLE_NUMBER_PR="","",TITLE_NUMBER_PR),TITLE_NUMBER_PR_CHANGE)</f>
        <v/>
      </c>
      <c r="AE37" s="1186"/>
      <c r="AF37" s="1186"/>
      <c r="AG37" s="1186"/>
      <c r="AH37" s="1186"/>
      <c r="AI37" s="1186"/>
      <c r="AJ37" s="1186"/>
      <c r="AK37" s="1186"/>
      <c r="AL37" s="1186"/>
      <c r="AM37" s="1186"/>
      <c r="AN37" s="1186"/>
      <c r="AO37" s="1186"/>
      <c r="AP37" s="1186"/>
      <c r="AQ37" s="1186"/>
      <c r="AR37" s="1186"/>
      <c r="AS37" s="1186"/>
      <c r="AT37" s="1186"/>
      <c r="AU37" s="1186"/>
      <c r="AV37" s="1186"/>
      <c r="AW37" s="1186"/>
      <c r="AX37" s="1186"/>
      <c r="AY37" s="1186"/>
      <c r="AZ37" s="1186"/>
      <c r="BI37" s="593">
        <v>0</v>
      </c>
    </row>
    <row r="38" spans="1:61" ht="0" hidden="1" customHeight="1">
      <c r="AC38" s="578" t="s">
        <v>435</v>
      </c>
      <c r="BA38" s="578" t="s">
        <v>435</v>
      </c>
      <c r="BI38" s="593">
        <v>0</v>
      </c>
    </row>
    <row r="39" spans="1:61" ht="14.65" customHeight="1">
      <c r="Q39" s="886"/>
      <c r="R39" s="757"/>
      <c r="S39" s="848"/>
      <c r="T39" s="557"/>
      <c r="U39" s="851"/>
      <c r="V39" s="1204"/>
      <c r="W39" s="1204"/>
      <c r="X39" s="1204"/>
      <c r="Y39" s="1204"/>
      <c r="Z39" s="1204"/>
      <c r="AA39" s="1204"/>
      <c r="AB39" s="1204"/>
      <c r="AC39" s="1204"/>
      <c r="AD39" s="1204"/>
      <c r="AE39" s="1204"/>
      <c r="AF39" s="1204"/>
      <c r="AG39" s="1204"/>
      <c r="AH39" s="1204"/>
      <c r="AI39" s="1204"/>
      <c r="AJ39" s="1204"/>
      <c r="AK39" s="1204"/>
      <c r="AL39" s="1204"/>
      <c r="AM39" s="1204"/>
      <c r="AN39" s="1204"/>
      <c r="AO39" s="1204"/>
      <c r="AP39" s="1204"/>
      <c r="AQ39" s="1204"/>
      <c r="AR39" s="1204"/>
      <c r="AS39" s="1204"/>
      <c r="AT39" s="1204"/>
      <c r="AU39" s="1204"/>
      <c r="AV39" s="1204"/>
      <c r="AW39" s="1204"/>
      <c r="AX39" s="1204"/>
      <c r="AY39" s="1204"/>
      <c r="AZ39" s="1204"/>
      <c r="BA39" s="1204"/>
      <c r="BI39" s="539">
        <v>14</v>
      </c>
    </row>
    <row r="40" spans="1:61" ht="14.65" customHeight="1">
      <c r="Q40" s="886"/>
      <c r="R40" s="757"/>
      <c r="S40" s="1070" t="s">
        <v>308</v>
      </c>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P40" s="1070"/>
      <c r="AQ40" s="1070"/>
      <c r="AR40" s="1070"/>
      <c r="AS40" s="1070"/>
      <c r="AT40" s="1070"/>
      <c r="AU40" s="1070"/>
      <c r="AV40" s="1070"/>
      <c r="AW40" s="1070"/>
      <c r="AX40" s="1070"/>
      <c r="AY40" s="1070"/>
      <c r="AZ40" s="1070"/>
      <c r="BA40" s="1070"/>
      <c r="BB40" s="1070"/>
      <c r="BC40" s="1070" t="s">
        <v>309</v>
      </c>
      <c r="BI40" s="539">
        <v>14</v>
      </c>
    </row>
    <row r="41" spans="1:61" ht="14.65" customHeight="1">
      <c r="Q41" s="886"/>
      <c r="R41" s="757"/>
      <c r="S41" s="1205" t="s">
        <v>87</v>
      </c>
      <c r="T41" s="1155" t="s">
        <v>515</v>
      </c>
      <c r="U41" s="818"/>
      <c r="V41" s="1206" t="s">
        <v>437</v>
      </c>
      <c r="W41" s="1207"/>
      <c r="X41" s="1207"/>
      <c r="Y41" s="1207"/>
      <c r="Z41" s="1207"/>
      <c r="AA41" s="1207"/>
      <c r="AB41" s="1208"/>
      <c r="AC41" s="1209" t="s">
        <v>438</v>
      </c>
      <c r="AD41" s="1238" t="s">
        <v>532</v>
      </c>
      <c r="AE41" s="1222"/>
      <c r="AF41" s="1222"/>
      <c r="AG41" s="1239"/>
      <c r="AH41" s="1238" t="s">
        <v>533</v>
      </c>
      <c r="AI41" s="1222"/>
      <c r="AJ41" s="1222"/>
      <c r="AK41" s="1239"/>
      <c r="AL41" s="1238" t="s">
        <v>534</v>
      </c>
      <c r="AM41" s="1222"/>
      <c r="AN41" s="1222"/>
      <c r="AO41" s="1239"/>
      <c r="AP41" s="1238" t="s">
        <v>519</v>
      </c>
      <c r="AQ41" s="1222"/>
      <c r="AR41" s="1222"/>
      <c r="AS41" s="1239"/>
      <c r="AT41" s="1206" t="s">
        <v>437</v>
      </c>
      <c r="AU41" s="1207"/>
      <c r="AV41" s="1207"/>
      <c r="AW41" s="1207"/>
      <c r="AX41" s="1207"/>
      <c r="AY41" s="1207"/>
      <c r="AZ41" s="1208"/>
      <c r="BA41" s="1209" t="s">
        <v>438</v>
      </c>
      <c r="BB41" s="1212" t="s">
        <v>440</v>
      </c>
      <c r="BC41" s="1070"/>
      <c r="BI41" s="539">
        <v>14</v>
      </c>
    </row>
    <row r="42" spans="1:61" ht="35.65" customHeight="1">
      <c r="Q42" s="886"/>
      <c r="R42" s="757"/>
      <c r="S42" s="1205"/>
      <c r="T42" s="1155"/>
      <c r="U42" s="823"/>
      <c r="V42" s="1129" t="s">
        <v>520</v>
      </c>
      <c r="W42" s="1130"/>
      <c r="X42" s="1129" t="s">
        <v>521</v>
      </c>
      <c r="Y42" s="1130"/>
      <c r="Z42" s="1129" t="s">
        <v>522</v>
      </c>
      <c r="AA42" s="1234"/>
      <c r="AB42" s="1130"/>
      <c r="AC42" s="1210"/>
      <c r="AD42" s="1240"/>
      <c r="AE42" s="1241"/>
      <c r="AF42" s="1241"/>
      <c r="AG42" s="1253"/>
      <c r="AH42" s="1240"/>
      <c r="AI42" s="1241"/>
      <c r="AJ42" s="1241"/>
      <c r="AK42" s="1253"/>
      <c r="AL42" s="1240"/>
      <c r="AM42" s="1241"/>
      <c r="AN42" s="1241"/>
      <c r="AO42" s="1253"/>
      <c r="AP42" s="1240"/>
      <c r="AQ42" s="1241"/>
      <c r="AR42" s="1241"/>
      <c r="AS42" s="1253"/>
      <c r="AT42" s="1129" t="s">
        <v>535</v>
      </c>
      <c r="AU42" s="1130"/>
      <c r="AV42" s="1129" t="s">
        <v>536</v>
      </c>
      <c r="AW42" s="1130"/>
      <c r="AX42" s="1129" t="s">
        <v>522</v>
      </c>
      <c r="AY42" s="1234"/>
      <c r="AZ42" s="1130"/>
      <c r="BA42" s="1210"/>
      <c r="BB42" s="1213"/>
      <c r="BC42" s="1070"/>
      <c r="BI42" s="539">
        <v>34</v>
      </c>
    </row>
    <row r="43" spans="1:61" ht="14.65" customHeight="1">
      <c r="Q43" s="886"/>
      <c r="R43" s="757"/>
      <c r="S43" s="1205"/>
      <c r="T43" s="1155"/>
      <c r="U43" s="823"/>
      <c r="V43" s="1134"/>
      <c r="W43" s="1135"/>
      <c r="X43" s="1134"/>
      <c r="Y43" s="1135"/>
      <c r="Z43" s="1134"/>
      <c r="AA43" s="1235"/>
      <c r="AB43" s="1135"/>
      <c r="AC43" s="1210"/>
      <c r="AD43" s="1240"/>
      <c r="AE43" s="1241"/>
      <c r="AF43" s="1241"/>
      <c r="AG43" s="1253"/>
      <c r="AH43" s="1240"/>
      <c r="AI43" s="1241"/>
      <c r="AJ43" s="1241"/>
      <c r="AK43" s="1253"/>
      <c r="AL43" s="1240"/>
      <c r="AM43" s="1241"/>
      <c r="AN43" s="1241"/>
      <c r="AO43" s="1253"/>
      <c r="AP43" s="1240"/>
      <c r="AQ43" s="1241"/>
      <c r="AR43" s="1241"/>
      <c r="AS43" s="1253"/>
      <c r="AT43" s="1134"/>
      <c r="AU43" s="1135"/>
      <c r="AV43" s="1134"/>
      <c r="AW43" s="1135"/>
      <c r="AX43" s="1134"/>
      <c r="AY43" s="1235"/>
      <c r="AZ43" s="1135"/>
      <c r="BA43" s="1210"/>
      <c r="BB43" s="1213"/>
      <c r="BC43" s="1070"/>
      <c r="BI43" s="539">
        <v>14</v>
      </c>
    </row>
    <row r="44" spans="1:61" ht="14.65" customHeight="1">
      <c r="B44" s="599" t="s">
        <v>145</v>
      </c>
      <c r="C44" s="599" t="s">
        <v>146</v>
      </c>
      <c r="D44" s="599" t="s">
        <v>147</v>
      </c>
      <c r="E44" s="842" t="s">
        <v>445</v>
      </c>
      <c r="F44" s="842" t="s">
        <v>446</v>
      </c>
      <c r="G44" s="842" t="s">
        <v>447</v>
      </c>
      <c r="H44" s="842" t="s">
        <v>448</v>
      </c>
      <c r="I44" s="842" t="s">
        <v>449</v>
      </c>
      <c r="J44" s="842" t="s">
        <v>450</v>
      </c>
      <c r="K44" s="842" t="s">
        <v>451</v>
      </c>
      <c r="L44" s="842" t="s">
        <v>426</v>
      </c>
      <c r="Q44" s="886"/>
      <c r="R44" s="757"/>
      <c r="S44" s="1205"/>
      <c r="T44" s="1155"/>
      <c r="U44" s="853"/>
      <c r="V44" s="633" t="s">
        <v>486</v>
      </c>
      <c r="W44" s="633" t="s">
        <v>487</v>
      </c>
      <c r="X44" s="633" t="s">
        <v>486</v>
      </c>
      <c r="Y44" s="633" t="s">
        <v>487</v>
      </c>
      <c r="Z44" s="603" t="s">
        <v>454</v>
      </c>
      <c r="AA44" s="1160" t="s">
        <v>455</v>
      </c>
      <c r="AB44" s="1173"/>
      <c r="AC44" s="1211"/>
      <c r="AD44" s="1242"/>
      <c r="AE44" s="1243"/>
      <c r="AF44" s="1243"/>
      <c r="AG44" s="1244"/>
      <c r="AH44" s="1242"/>
      <c r="AI44" s="1243"/>
      <c r="AJ44" s="1243"/>
      <c r="AK44" s="1244"/>
      <c r="AL44" s="1242"/>
      <c r="AM44" s="1243"/>
      <c r="AN44" s="1243"/>
      <c r="AO44" s="1244"/>
      <c r="AP44" s="1242"/>
      <c r="AQ44" s="1243"/>
      <c r="AR44" s="1243"/>
      <c r="AS44" s="1244"/>
      <c r="AT44" s="633" t="s">
        <v>486</v>
      </c>
      <c r="AU44" s="633" t="s">
        <v>487</v>
      </c>
      <c r="AV44" s="633" t="s">
        <v>486</v>
      </c>
      <c r="AW44" s="633" t="s">
        <v>487</v>
      </c>
      <c r="AX44" s="603" t="s">
        <v>454</v>
      </c>
      <c r="AY44" s="1160" t="s">
        <v>455</v>
      </c>
      <c r="AZ44" s="1173"/>
      <c r="BA44" s="1211"/>
      <c r="BB44" s="1214"/>
      <c r="BC44" s="1070"/>
      <c r="BI44" s="539">
        <v>14</v>
      </c>
    </row>
    <row r="45" spans="1:61" ht="11.25" hidden="1" customHeight="1">
      <c r="Q45" s="855"/>
      <c r="R45" s="855">
        <v>1</v>
      </c>
      <c r="S45" s="330" t="s">
        <v>114</v>
      </c>
      <c r="T45" s="331" t="s">
        <v>102</v>
      </c>
      <c r="U45" s="856" t="str">
        <f ca="1">OFFSET(U45,0,-1)</f>
        <v>2</v>
      </c>
      <c r="V45" s="857">
        <f t="shared" ref="V45:AA45" ca="1" si="2">OFFSET(V45,0,-1)+1</f>
        <v>3</v>
      </c>
      <c r="W45" s="857">
        <f t="shared" ca="1" si="2"/>
        <v>4</v>
      </c>
      <c r="X45" s="857">
        <f t="shared" ca="1" si="2"/>
        <v>5</v>
      </c>
      <c r="Y45" s="857">
        <f t="shared" ca="1" si="2"/>
        <v>6</v>
      </c>
      <c r="Z45" s="857">
        <f t="shared" ca="1" si="2"/>
        <v>7</v>
      </c>
      <c r="AA45" s="1203">
        <f t="shared" ca="1" si="2"/>
        <v>8</v>
      </c>
      <c r="AB45" s="1203"/>
      <c r="AC45" s="857">
        <f ca="1">OFFSET(AC45,0,-2)+1</f>
        <v>9</v>
      </c>
      <c r="AD45" s="857">
        <f ca="1">OFFSET(AD45,0,-1)+1</f>
        <v>10</v>
      </c>
      <c r="AE45" s="857"/>
      <c r="AF45" s="857"/>
      <c r="AG45" s="857"/>
      <c r="AH45" s="857"/>
      <c r="AI45" s="857"/>
      <c r="AJ45" s="857"/>
      <c r="AK45" s="857"/>
      <c r="AL45" s="857"/>
      <c r="AM45" s="857"/>
      <c r="AN45" s="857"/>
      <c r="AO45" s="857"/>
      <c r="AP45" s="857"/>
      <c r="AQ45" s="857"/>
      <c r="AR45" s="857"/>
      <c r="AS45" s="857"/>
      <c r="AT45" s="857"/>
      <c r="AU45" s="857"/>
      <c r="AV45" s="857"/>
      <c r="AW45" s="857">
        <f ca="1">OFFSET(AW45,0,-1)+1</f>
        <v>1</v>
      </c>
      <c r="AX45" s="857">
        <f ca="1">OFFSET(AX45,0,-1)+1</f>
        <v>2</v>
      </c>
      <c r="AY45" s="1203">
        <f ca="1">OFFSET(AY45,0,-1)+1</f>
        <v>3</v>
      </c>
      <c r="AZ45" s="1203"/>
      <c r="BA45" s="857">
        <f ca="1">OFFSET(BA45,0,-2)+1</f>
        <v>4</v>
      </c>
      <c r="BB45" s="856">
        <f ca="1">OFFSET(BB45,0,-1)</f>
        <v>4</v>
      </c>
      <c r="BC45" s="857">
        <f ca="1">OFFSET(BC45,0,-1)+1</f>
        <v>5</v>
      </c>
      <c r="BI45" s="682">
        <v>0</v>
      </c>
    </row>
    <row r="46" spans="1:61" ht="21.95" customHeight="1">
      <c r="A46" s="858" t="s">
        <v>284</v>
      </c>
      <c r="E46" s="1192">
        <v>1</v>
      </c>
      <c r="R46" s="311"/>
      <c r="S46" s="833">
        <f>INDEX(PT_DIFFERENTIATION_NUM_NTAR,MATCH(A46,PT_DIFFERENTIATION_NTAR_ID,0))</f>
        <v>0</v>
      </c>
      <c r="T46" s="796" t="s">
        <v>133</v>
      </c>
      <c r="U46" s="834"/>
      <c r="V46" s="1188"/>
      <c r="W46" s="1188"/>
      <c r="X46" s="1188"/>
      <c r="Y46" s="1188"/>
      <c r="Z46" s="1188"/>
      <c r="AA46" s="1188"/>
      <c r="AB46" s="1188"/>
      <c r="AC46" s="1189"/>
      <c r="AD46" s="1187" t="str">
        <f>INDEX(PT_DIFFERENTIATION_NTAR,MATCH(A46,PT_DIFFERENTIATION_NTAR_ID,0))</f>
        <v/>
      </c>
      <c r="AE46" s="1188"/>
      <c r="AF46" s="1188"/>
      <c r="AG46" s="1188"/>
      <c r="AH46" s="1188"/>
      <c r="AI46" s="1188"/>
      <c r="AJ46" s="1188"/>
      <c r="AK46" s="1188"/>
      <c r="AL46" s="1188"/>
      <c r="AM46" s="1188"/>
      <c r="AN46" s="1188"/>
      <c r="AO46" s="1188"/>
      <c r="AP46" s="1188"/>
      <c r="AQ46" s="1188"/>
      <c r="AR46" s="1188"/>
      <c r="AS46" s="1188"/>
      <c r="AT46" s="1188"/>
      <c r="AU46" s="1188"/>
      <c r="AV46" s="1188"/>
      <c r="AW46" s="1188"/>
      <c r="AX46" s="1188"/>
      <c r="AY46" s="1188"/>
      <c r="AZ46" s="1188"/>
      <c r="BA46" s="1188"/>
      <c r="BB46" s="1189"/>
      <c r="BC46"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6" s="583" t="str">
        <f t="shared" ref="BF46:BF52" si="3">IF(T46="","",T46)</f>
        <v>Наименование тарифа</v>
      </c>
      <c r="BI46" s="539">
        <v>21</v>
      </c>
    </row>
    <row r="47" spans="1:61" ht="21.95" customHeight="1">
      <c r="A47" s="858" t="s">
        <v>284</v>
      </c>
      <c r="B47" s="858" t="s">
        <v>285</v>
      </c>
      <c r="E47" s="1193"/>
      <c r="F47" s="1192">
        <v>1</v>
      </c>
      <c r="Q47" s="880"/>
      <c r="R47" s="838"/>
      <c r="S47" s="833" t="str">
        <f>INDEX(PT_DIFFERENTIATION_NUM_TER,MATCH(B47,PT_DIFFERENTIATION_TER_ID,0))</f>
        <v>.</v>
      </c>
      <c r="T47" s="839" t="s">
        <v>405</v>
      </c>
      <c r="U47" s="834"/>
      <c r="V47" s="1188"/>
      <c r="W47" s="1188"/>
      <c r="X47" s="1188"/>
      <c r="Y47" s="1188"/>
      <c r="Z47" s="1188"/>
      <c r="AA47" s="1188"/>
      <c r="AB47" s="1188"/>
      <c r="AC47" s="1189"/>
      <c r="AD47" s="1187" t="str">
        <f>INDEX(PT_DIFFERENTIATION_TER,MATCH(B47,PT_DIFFERENTIATION_TER_ID,0))</f>
        <v/>
      </c>
      <c r="AE47" s="1188"/>
      <c r="AF47" s="1188"/>
      <c r="AG47" s="1188"/>
      <c r="AH47" s="1188"/>
      <c r="AI47" s="1188"/>
      <c r="AJ47" s="1188"/>
      <c r="AK47" s="1188"/>
      <c r="AL47" s="1188"/>
      <c r="AM47" s="1188"/>
      <c r="AN47" s="1188"/>
      <c r="AO47" s="1188"/>
      <c r="AP47" s="1188"/>
      <c r="AQ47" s="1188"/>
      <c r="AR47" s="1188"/>
      <c r="AS47" s="1188"/>
      <c r="AT47" s="1188"/>
      <c r="AU47" s="1188"/>
      <c r="AV47" s="1188"/>
      <c r="AW47" s="1188"/>
      <c r="AX47" s="1188"/>
      <c r="AY47" s="1188"/>
      <c r="AZ47" s="1188"/>
      <c r="BA47" s="1188"/>
      <c r="BB47" s="1189"/>
      <c r="BC47" s="836" t="s">
        <v>406</v>
      </c>
      <c r="BF47" s="583" t="str">
        <f t="shared" si="3"/>
        <v>Территория действия тарифа</v>
      </c>
      <c r="BI47" s="539">
        <v>21</v>
      </c>
    </row>
    <row r="48" spans="1:61" ht="35.65" customHeight="1">
      <c r="A48" s="858" t="s">
        <v>284</v>
      </c>
      <c r="B48" s="858" t="s">
        <v>285</v>
      </c>
      <c r="C48" s="858" t="s">
        <v>286</v>
      </c>
      <c r="E48" s="1193"/>
      <c r="F48" s="1193"/>
      <c r="G48" s="1192">
        <v>1</v>
      </c>
      <c r="Q48" s="880"/>
      <c r="R48" s="838"/>
      <c r="S48" s="833" t="str">
        <f>INDEX(PT_DIFFERENTIATION_NUM_CS,MATCH(C48,PT_DIFFERENTIATION_CS_ID,0))</f>
        <v>..</v>
      </c>
      <c r="T48" s="840" t="s">
        <v>524</v>
      </c>
      <c r="U48" s="834"/>
      <c r="V48" s="1188"/>
      <c r="W48" s="1188"/>
      <c r="X48" s="1188"/>
      <c r="Y48" s="1188"/>
      <c r="Z48" s="1188"/>
      <c r="AA48" s="1188"/>
      <c r="AB48" s="1188"/>
      <c r="AC48" s="1189"/>
      <c r="AD48" s="1187" t="str">
        <f>INDEX(PT_DIFFERENTIATION_CS,MATCH(C48,PT_DIFFERENTIATION_CS_ID,0))</f>
        <v/>
      </c>
      <c r="AE48" s="1188"/>
      <c r="AF48" s="1188"/>
      <c r="AG48" s="1188"/>
      <c r="AH48" s="1188"/>
      <c r="AI48" s="1188"/>
      <c r="AJ48" s="1188"/>
      <c r="AK48" s="1188"/>
      <c r="AL48" s="1188"/>
      <c r="AM48" s="1188"/>
      <c r="AN48" s="1188"/>
      <c r="AO48" s="1188"/>
      <c r="AP48" s="1188"/>
      <c r="AQ48" s="1188"/>
      <c r="AR48" s="1188"/>
      <c r="AS48" s="1188"/>
      <c r="AT48" s="1188"/>
      <c r="AU48" s="1188"/>
      <c r="AV48" s="1188"/>
      <c r="AW48" s="1188"/>
      <c r="AX48" s="1188"/>
      <c r="AY48" s="1188"/>
      <c r="AZ48" s="1188"/>
      <c r="BA48" s="1188"/>
      <c r="BB48" s="1189"/>
      <c r="BC48" s="836" t="s">
        <v>525</v>
      </c>
      <c r="BF48" s="583" t="str">
        <f t="shared" si="3"/>
        <v>Наименование централизованной системы водоотведения</v>
      </c>
      <c r="BI48" s="539">
        <v>34</v>
      </c>
    </row>
    <row r="49" spans="1:61" ht="0" hidden="1" customHeight="1">
      <c r="A49" s="575" t="s">
        <v>284</v>
      </c>
      <c r="B49" s="575" t="s">
        <v>285</v>
      </c>
      <c r="C49" s="575" t="s">
        <v>286</v>
      </c>
      <c r="D49" s="575" t="s">
        <v>537</v>
      </c>
      <c r="E49" s="1193"/>
      <c r="F49" s="1193"/>
      <c r="G49" s="1193"/>
      <c r="H49" s="1192">
        <v>1</v>
      </c>
      <c r="Q49" s="909"/>
      <c r="R49" s="845"/>
      <c r="S49" s="636"/>
      <c r="T49" s="910"/>
      <c r="U49" s="861"/>
      <c r="V49" s="1224"/>
      <c r="W49" s="1224"/>
      <c r="X49" s="1224"/>
      <c r="Y49" s="1224"/>
      <c r="Z49" s="1224"/>
      <c r="AA49" s="1224"/>
      <c r="AB49" s="1224"/>
      <c r="AC49" s="1225"/>
      <c r="AD49" s="1223"/>
      <c r="AE49" s="1224"/>
      <c r="AF49" s="1224"/>
      <c r="AG49" s="1224"/>
      <c r="AH49" s="1224"/>
      <c r="AI49" s="1224"/>
      <c r="AJ49" s="1224"/>
      <c r="AK49" s="1224"/>
      <c r="AL49" s="1224"/>
      <c r="AM49" s="1224"/>
      <c r="AN49" s="1224"/>
      <c r="AO49" s="1224"/>
      <c r="AP49" s="1224"/>
      <c r="AQ49" s="1224"/>
      <c r="AR49" s="1224"/>
      <c r="AS49" s="1224"/>
      <c r="AT49" s="1224"/>
      <c r="AU49" s="1224"/>
      <c r="AV49" s="1224"/>
      <c r="AW49" s="1224"/>
      <c r="AX49" s="1224"/>
      <c r="AY49" s="1224"/>
      <c r="AZ49" s="1224"/>
      <c r="BA49" s="1224"/>
      <c r="BB49" s="1225"/>
      <c r="BC49" s="863" t="s">
        <v>410</v>
      </c>
      <c r="BF49" s="583" t="str">
        <f t="shared" si="3"/>
        <v/>
      </c>
      <c r="BI49" s="578">
        <v>0</v>
      </c>
    </row>
    <row r="50" spans="1:61" ht="0" hidden="1" customHeight="1">
      <c r="A50" s="575" t="s">
        <v>284</v>
      </c>
      <c r="B50" s="575" t="s">
        <v>285</v>
      </c>
      <c r="C50" s="575" t="s">
        <v>286</v>
      </c>
      <c r="D50" s="575" t="s">
        <v>537</v>
      </c>
      <c r="E50" s="1193"/>
      <c r="F50" s="1193"/>
      <c r="G50" s="1193"/>
      <c r="H50" s="1193"/>
      <c r="I50" s="1194" t="str">
        <f>S49&amp;".1"</f>
        <v>.1</v>
      </c>
      <c r="L50" s="864" t="s">
        <v>411</v>
      </c>
      <c r="P50" s="1196">
        <v>1</v>
      </c>
      <c r="R50" s="843"/>
      <c r="S50" s="636"/>
      <c r="T50" s="860"/>
      <c r="U50" s="861"/>
      <c r="V50" s="1224"/>
      <c r="W50" s="1224"/>
      <c r="X50" s="1224"/>
      <c r="Y50" s="1224"/>
      <c r="Z50" s="1224"/>
      <c r="AA50" s="1224"/>
      <c r="AB50" s="1224"/>
      <c r="AC50" s="1225"/>
      <c r="AD50" s="1223"/>
      <c r="AE50" s="1224"/>
      <c r="AF50" s="1224"/>
      <c r="AG50" s="1224"/>
      <c r="AH50" s="1224"/>
      <c r="AI50" s="1224"/>
      <c r="AJ50" s="1224"/>
      <c r="AK50" s="1224"/>
      <c r="AL50" s="1224"/>
      <c r="AM50" s="1224"/>
      <c r="AN50" s="1224"/>
      <c r="AO50" s="1224"/>
      <c r="AP50" s="1224"/>
      <c r="AQ50" s="1224"/>
      <c r="AR50" s="1224"/>
      <c r="AS50" s="1224"/>
      <c r="AT50" s="1224"/>
      <c r="AU50" s="1224"/>
      <c r="AV50" s="1224"/>
      <c r="AW50" s="1224"/>
      <c r="AX50" s="1224"/>
      <c r="AY50" s="1224"/>
      <c r="AZ50" s="1224"/>
      <c r="BA50" s="1224"/>
      <c r="BB50" s="1225"/>
      <c r="BC50" s="863"/>
      <c r="BF50" s="583" t="str">
        <f t="shared" si="3"/>
        <v/>
      </c>
      <c r="BI50" s="578">
        <v>0</v>
      </c>
    </row>
    <row r="51" spans="1:61" ht="0" hidden="1" customHeight="1">
      <c r="A51" s="575" t="s">
        <v>284</v>
      </c>
      <c r="B51" s="575" t="s">
        <v>285</v>
      </c>
      <c r="C51" s="575" t="s">
        <v>286</v>
      </c>
      <c r="D51" s="575" t="s">
        <v>537</v>
      </c>
      <c r="E51" s="1193"/>
      <c r="F51" s="1193"/>
      <c r="G51" s="1193"/>
      <c r="H51" s="1193"/>
      <c r="I51" s="1195"/>
      <c r="J51" s="1194" t="str">
        <f>S49&amp;".1"</f>
        <v>.1</v>
      </c>
      <c r="P51" s="1038"/>
      <c r="Q51" s="1196">
        <v>1</v>
      </c>
      <c r="R51" s="845"/>
      <c r="S51" s="636"/>
      <c r="T51" s="881"/>
      <c r="U51" s="861"/>
      <c r="V51" s="1224"/>
      <c r="W51" s="1224"/>
      <c r="X51" s="1224"/>
      <c r="Y51" s="1224"/>
      <c r="Z51" s="1224"/>
      <c r="AA51" s="1224"/>
      <c r="AB51" s="1224"/>
      <c r="AC51" s="1225"/>
      <c r="AD51" s="1223"/>
      <c r="AE51" s="1224"/>
      <c r="AF51" s="1224"/>
      <c r="AG51" s="1224"/>
      <c r="AH51" s="1224"/>
      <c r="AI51" s="1224"/>
      <c r="AJ51" s="1224"/>
      <c r="AK51" s="1224"/>
      <c r="AL51" s="1224"/>
      <c r="AM51" s="1224"/>
      <c r="AN51" s="1275"/>
      <c r="AO51" s="1275"/>
      <c r="AP51" s="1224"/>
      <c r="AQ51" s="1224"/>
      <c r="AR51" s="1224"/>
      <c r="AS51" s="1224"/>
      <c r="AT51" s="1224"/>
      <c r="AU51" s="1224"/>
      <c r="AV51" s="1224"/>
      <c r="AW51" s="1224"/>
      <c r="AX51" s="1224"/>
      <c r="AY51" s="1224"/>
      <c r="AZ51" s="1224"/>
      <c r="BA51" s="1224"/>
      <c r="BB51" s="1225"/>
      <c r="BC51" s="863"/>
      <c r="BF51" s="583" t="str">
        <f t="shared" si="3"/>
        <v/>
      </c>
      <c r="BI51" s="578">
        <v>0</v>
      </c>
    </row>
    <row r="52" spans="1:61" ht="11.45" customHeight="1">
      <c r="A52" s="858" t="s">
        <v>284</v>
      </c>
      <c r="B52" s="858" t="s">
        <v>285</v>
      </c>
      <c r="C52" s="858" t="s">
        <v>286</v>
      </c>
      <c r="D52" s="858" t="s">
        <v>537</v>
      </c>
      <c r="E52" s="1193"/>
      <c r="F52" s="1193"/>
      <c r="G52" s="1193"/>
      <c r="H52" s="1193"/>
      <c r="I52" s="1195"/>
      <c r="J52" s="1195"/>
      <c r="K52" s="1194" t="str">
        <f>S48&amp;".1"</f>
        <v>...1</v>
      </c>
      <c r="P52" s="1038"/>
      <c r="Q52" s="1038"/>
      <c r="R52" s="845">
        <v>1</v>
      </c>
      <c r="S52" s="1249" t="str">
        <f>$K52</f>
        <v>...1</v>
      </c>
      <c r="T52" s="1269"/>
      <c r="U52" s="834"/>
      <c r="V52" s="312"/>
      <c r="W52" s="314"/>
      <c r="X52" s="312"/>
      <c r="Y52" s="314"/>
      <c r="Z52" s="203"/>
      <c r="AA52" s="56" t="s">
        <v>61</v>
      </c>
      <c r="AB52" s="203"/>
      <c r="AC52" s="56" t="s">
        <v>61</v>
      </c>
      <c r="AD52" s="1141" t="s">
        <v>61</v>
      </c>
      <c r="AE52" s="1245"/>
      <c r="AF52" s="1151">
        <v>1</v>
      </c>
      <c r="AG52" s="1268"/>
      <c r="AH52" s="1079" t="s">
        <v>61</v>
      </c>
      <c r="AI52" s="1245"/>
      <c r="AJ52" s="1151">
        <v>1</v>
      </c>
      <c r="AK52" s="1259" t="s">
        <v>22</v>
      </c>
      <c r="AL52" s="1079" t="s">
        <v>61</v>
      </c>
      <c r="AM52" s="1129"/>
      <c r="AN52" s="1151">
        <v>1</v>
      </c>
      <c r="AO52" s="1272"/>
      <c r="AP52" s="1273" t="s">
        <v>61</v>
      </c>
      <c r="AQ52" s="883"/>
      <c r="AR52" s="92">
        <v>1</v>
      </c>
      <c r="AS52" s="14" t="s">
        <v>22</v>
      </c>
      <c r="AT52" s="312"/>
      <c r="AU52" s="314"/>
      <c r="AV52" s="312"/>
      <c r="AW52" s="314"/>
      <c r="AX52" s="203"/>
      <c r="AY52" s="56" t="s">
        <v>61</v>
      </c>
      <c r="AZ52" s="203"/>
      <c r="BA52" s="56" t="s">
        <v>61</v>
      </c>
      <c r="BB52" s="332"/>
      <c r="BC52" s="1215" t="s">
        <v>509</v>
      </c>
      <c r="BF52" s="583" t="str">
        <f t="shared" si="3"/>
        <v/>
      </c>
      <c r="BI52" s="539">
        <v>11</v>
      </c>
    </row>
    <row r="53" spans="1:61" ht="11.45" customHeight="1">
      <c r="E53" s="1193"/>
      <c r="F53" s="1193"/>
      <c r="G53" s="1193"/>
      <c r="H53" s="1193"/>
      <c r="I53" s="1195"/>
      <c r="J53" s="1195"/>
      <c r="K53" s="1194"/>
      <c r="P53" s="1038"/>
      <c r="Q53" s="1038"/>
      <c r="R53" s="845"/>
      <c r="S53" s="1250"/>
      <c r="T53" s="1270"/>
      <c r="U53" s="834"/>
      <c r="V53" s="345"/>
      <c r="W53" s="352"/>
      <c r="X53" s="345"/>
      <c r="Y53" s="352"/>
      <c r="Z53" s="345"/>
      <c r="AA53" s="345"/>
      <c r="AB53" s="345"/>
      <c r="AC53" s="345"/>
      <c r="AD53" s="1142"/>
      <c r="AE53" s="1245"/>
      <c r="AF53" s="1151"/>
      <c r="AG53" s="1268"/>
      <c r="AH53" s="1079"/>
      <c r="AI53" s="1245"/>
      <c r="AJ53" s="1151"/>
      <c r="AK53" s="1259"/>
      <c r="AL53" s="1079"/>
      <c r="AM53" s="1134"/>
      <c r="AN53" s="1151"/>
      <c r="AO53" s="1272"/>
      <c r="AP53" s="1274"/>
      <c r="AQ53" s="265"/>
      <c r="AR53" s="49"/>
      <c r="AS53" s="49" t="s">
        <v>510</v>
      </c>
      <c r="AT53" s="345"/>
      <c r="AU53" s="352"/>
      <c r="AV53" s="345"/>
      <c r="AW53" s="352"/>
      <c r="AX53" s="345"/>
      <c r="AY53" s="345"/>
      <c r="AZ53" s="345"/>
      <c r="BA53" s="345"/>
      <c r="BB53" s="351"/>
      <c r="BC53" s="1216"/>
      <c r="BI53" s="539">
        <v>11</v>
      </c>
    </row>
    <row r="54" spans="1:61" ht="11.45" customHeight="1">
      <c r="A54" s="858" t="s">
        <v>284</v>
      </c>
      <c r="E54" s="1193"/>
      <c r="F54" s="1193"/>
      <c r="G54" s="1193"/>
      <c r="H54" s="1193"/>
      <c r="I54" s="1195"/>
      <c r="J54" s="1195"/>
      <c r="K54" s="1194"/>
      <c r="P54" s="1038"/>
      <c r="Q54" s="1038"/>
      <c r="R54" s="845"/>
      <c r="S54" s="1250"/>
      <c r="T54" s="1270"/>
      <c r="U54" s="834"/>
      <c r="V54" s="345"/>
      <c r="W54" s="352"/>
      <c r="X54" s="345"/>
      <c r="Y54" s="352"/>
      <c r="Z54" s="345"/>
      <c r="AA54" s="345"/>
      <c r="AB54" s="345"/>
      <c r="AC54" s="345"/>
      <c r="AD54" s="1142"/>
      <c r="AE54" s="1245"/>
      <c r="AF54" s="1151"/>
      <c r="AG54" s="1268"/>
      <c r="AH54" s="1079"/>
      <c r="AI54" s="1245"/>
      <c r="AJ54" s="1151"/>
      <c r="AK54" s="1259"/>
      <c r="AL54" s="1079"/>
      <c r="AM54" s="265"/>
      <c r="AN54" s="304"/>
      <c r="AO54" s="304" t="s">
        <v>530</v>
      </c>
      <c r="AP54" s="49"/>
      <c r="AQ54" s="49"/>
      <c r="AR54" s="49"/>
      <c r="AS54" s="345"/>
      <c r="AT54" s="345"/>
      <c r="AU54" s="352"/>
      <c r="AV54" s="345"/>
      <c r="AW54" s="352"/>
      <c r="AX54" s="345"/>
      <c r="AY54" s="345"/>
      <c r="AZ54" s="345"/>
      <c r="BA54" s="345"/>
      <c r="BB54" s="351"/>
      <c r="BC54" s="1216"/>
      <c r="BI54" s="539">
        <v>11</v>
      </c>
    </row>
    <row r="55" spans="1:61" ht="11.45" customHeight="1">
      <c r="A55" s="858" t="s">
        <v>284</v>
      </c>
      <c r="E55" s="1193"/>
      <c r="F55" s="1193"/>
      <c r="G55" s="1193"/>
      <c r="H55" s="1193"/>
      <c r="I55" s="1195"/>
      <c r="J55" s="1195"/>
      <c r="K55" s="1194"/>
      <c r="P55" s="1038"/>
      <c r="Q55" s="1038"/>
      <c r="R55" s="845"/>
      <c r="S55" s="1250"/>
      <c r="T55" s="1270"/>
      <c r="U55" s="834"/>
      <c r="V55" s="345"/>
      <c r="W55" s="352"/>
      <c r="X55" s="345"/>
      <c r="Y55" s="352"/>
      <c r="Z55" s="345"/>
      <c r="AA55" s="345"/>
      <c r="AB55" s="345"/>
      <c r="AC55" s="345"/>
      <c r="AD55" s="1142"/>
      <c r="AE55" s="1245"/>
      <c r="AF55" s="1151"/>
      <c r="AG55" s="1268"/>
      <c r="AH55" s="1079"/>
      <c r="AI55" s="354"/>
      <c r="AJ55" s="44"/>
      <c r="AK55" s="120" t="s">
        <v>531</v>
      </c>
      <c r="AL55" s="345"/>
      <c r="AM55" s="345"/>
      <c r="AN55" s="345"/>
      <c r="AO55" s="345"/>
      <c r="AP55" s="345"/>
      <c r="AQ55" s="345"/>
      <c r="AR55" s="345"/>
      <c r="AS55" s="345"/>
      <c r="AT55" s="345"/>
      <c r="AU55" s="352"/>
      <c r="AV55" s="345"/>
      <c r="AW55" s="352"/>
      <c r="AX55" s="345"/>
      <c r="AY55" s="345"/>
      <c r="AZ55" s="345"/>
      <c r="BA55" s="345"/>
      <c r="BB55" s="351"/>
      <c r="BC55" s="1216"/>
      <c r="BI55" s="539">
        <v>11</v>
      </c>
    </row>
    <row r="56" spans="1:61" ht="11.45" customHeight="1">
      <c r="A56" s="858" t="s">
        <v>284</v>
      </c>
      <c r="B56" s="858" t="s">
        <v>285</v>
      </c>
      <c r="C56" s="858" t="s">
        <v>286</v>
      </c>
      <c r="D56" s="858" t="s">
        <v>537</v>
      </c>
      <c r="E56" s="1193"/>
      <c r="F56" s="1193"/>
      <c r="G56" s="1193"/>
      <c r="H56" s="1193"/>
      <c r="I56" s="1195"/>
      <c r="J56" s="1195"/>
      <c r="K56" s="1194"/>
      <c r="P56" s="1038"/>
      <c r="Q56" s="1038"/>
      <c r="R56" s="845"/>
      <c r="S56" s="1251"/>
      <c r="T56" s="1271"/>
      <c r="U56" s="834"/>
      <c r="V56" s="345"/>
      <c r="W56" s="346" t="str">
        <f>Z52&amp;"-"&amp;AB52</f>
        <v>-</v>
      </c>
      <c r="X56" s="345"/>
      <c r="Y56" s="346" t="str">
        <f>AB52&amp;"-"&amp;AD52</f>
        <v>-да</v>
      </c>
      <c r="Z56" s="345"/>
      <c r="AA56" s="345"/>
      <c r="AB56" s="345"/>
      <c r="AC56" s="345"/>
      <c r="AD56" s="1085"/>
      <c r="AE56" s="356"/>
      <c r="AF56" s="357"/>
      <c r="AG56" s="49" t="s">
        <v>513</v>
      </c>
      <c r="AH56" s="345"/>
      <c r="AI56" s="345"/>
      <c r="AJ56" s="345"/>
      <c r="AK56" s="345"/>
      <c r="AL56" s="345"/>
      <c r="AM56" s="345"/>
      <c r="AN56" s="345"/>
      <c r="AO56" s="345"/>
      <c r="AP56" s="345"/>
      <c r="AQ56" s="345"/>
      <c r="AR56" s="345"/>
      <c r="AS56" s="345"/>
      <c r="AT56" s="345"/>
      <c r="AU56" s="346" t="str">
        <f>AX52&amp;"-"&amp;AZ52</f>
        <v>-</v>
      </c>
      <c r="AV56" s="345"/>
      <c r="AW56" s="346" t="str">
        <f>AZ52&amp;"-"&amp;BB52</f>
        <v>-</v>
      </c>
      <c r="AX56" s="345"/>
      <c r="AY56" s="345"/>
      <c r="AZ56" s="345"/>
      <c r="BA56" s="345"/>
      <c r="BB56" s="355" t="str">
        <f>BE52&amp;"-"&amp;BG52</f>
        <v>-</v>
      </c>
      <c r="BC56" s="1216"/>
      <c r="BF56" s="583" t="str">
        <f t="shared" ref="BF56:BF63" si="4">IF(T56="","",T56)</f>
        <v/>
      </c>
      <c r="BI56" s="539">
        <v>11</v>
      </c>
    </row>
    <row r="57" spans="1:61" ht="11.45" customHeight="1">
      <c r="A57" s="858" t="s">
        <v>284</v>
      </c>
      <c r="B57" s="858" t="s">
        <v>285</v>
      </c>
      <c r="C57" s="858" t="s">
        <v>286</v>
      </c>
      <c r="D57" s="858" t="s">
        <v>537</v>
      </c>
      <c r="E57" s="1193"/>
      <c r="F57" s="1193"/>
      <c r="G57" s="1193"/>
      <c r="H57" s="1193"/>
      <c r="I57" s="1195"/>
      <c r="J57" s="1194"/>
      <c r="P57" s="1038"/>
      <c r="Q57" s="1038"/>
      <c r="R57" s="843"/>
      <c r="S57" s="316"/>
      <c r="T57" s="319" t="s">
        <v>476</v>
      </c>
      <c r="U57" s="52"/>
      <c r="V57" s="52"/>
      <c r="W57" s="52"/>
      <c r="X57" s="52"/>
      <c r="Y57" s="52"/>
      <c r="Z57" s="52"/>
      <c r="AA57" s="52"/>
      <c r="AB57" s="52"/>
      <c r="AC57" s="318"/>
      <c r="AD57" s="36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318"/>
      <c r="BC57" s="1217"/>
      <c r="BF57" s="583" t="str">
        <f t="shared" si="4"/>
        <v>Добавить строку</v>
      </c>
      <c r="BI57" s="539">
        <v>11</v>
      </c>
    </row>
    <row r="58" spans="1:61" ht="0" hidden="1" customHeight="1">
      <c r="A58" s="575" t="s">
        <v>284</v>
      </c>
      <c r="B58" s="575" t="s">
        <v>285</v>
      </c>
      <c r="C58" s="575" t="s">
        <v>286</v>
      </c>
      <c r="D58" s="575" t="s">
        <v>537</v>
      </c>
      <c r="E58" s="1193"/>
      <c r="F58" s="1193"/>
      <c r="G58" s="1193"/>
      <c r="H58" s="1193"/>
      <c r="I58" s="1194"/>
      <c r="P58" s="1038"/>
      <c r="R58" s="843"/>
      <c r="S58" s="335"/>
      <c r="T58" s="336"/>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c r="BC58" s="338"/>
      <c r="BF58" s="583" t="str">
        <f t="shared" si="4"/>
        <v/>
      </c>
      <c r="BI58" s="578">
        <v>0</v>
      </c>
    </row>
    <row r="59" spans="1:61" ht="0" hidden="1" customHeight="1">
      <c r="A59" s="575" t="s">
        <v>284</v>
      </c>
      <c r="B59" s="575" t="s">
        <v>285</v>
      </c>
      <c r="C59" s="575" t="s">
        <v>286</v>
      </c>
      <c r="D59" s="575" t="s">
        <v>537</v>
      </c>
      <c r="E59" s="1193"/>
      <c r="F59" s="1193"/>
      <c r="G59" s="1193"/>
      <c r="H59" s="1192"/>
      <c r="R59" s="358"/>
      <c r="S59" s="335"/>
      <c r="T59" s="336"/>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c r="BC59" s="338"/>
      <c r="BF59" s="583" t="str">
        <f t="shared" si="4"/>
        <v/>
      </c>
      <c r="BI59" s="578">
        <v>0</v>
      </c>
    </row>
    <row r="60" spans="1:61" ht="0" hidden="1" customHeight="1">
      <c r="A60" s="575" t="s">
        <v>284</v>
      </c>
      <c r="B60" s="575" t="s">
        <v>285</v>
      </c>
      <c r="C60" s="575" t="s">
        <v>286</v>
      </c>
      <c r="E60" s="1193"/>
      <c r="F60" s="1193"/>
      <c r="G60" s="1192"/>
      <c r="BF60" s="583" t="str">
        <f t="shared" si="4"/>
        <v/>
      </c>
      <c r="BI60" s="578">
        <v>0</v>
      </c>
    </row>
    <row r="61" spans="1:61" ht="0" hidden="1" customHeight="1">
      <c r="A61" s="575" t="s">
        <v>284</v>
      </c>
      <c r="B61" s="575" t="s">
        <v>285</v>
      </c>
      <c r="E61" s="1193"/>
      <c r="F61" s="1192"/>
      <c r="T61" s="327" t="s">
        <v>423</v>
      </c>
      <c r="BF61" s="583" t="str">
        <f t="shared" si="4"/>
        <v>Добавить централизованную систему для дифференциации</v>
      </c>
      <c r="BI61" s="578">
        <v>0</v>
      </c>
    </row>
    <row r="62" spans="1:61" ht="0" hidden="1" customHeight="1">
      <c r="A62" s="575" t="s">
        <v>284</v>
      </c>
      <c r="E62" s="1192"/>
      <c r="T62" s="327" t="s">
        <v>424</v>
      </c>
      <c r="BF62" s="583" t="str">
        <f t="shared" si="4"/>
        <v>Добавить территорию для дифференциации</v>
      </c>
      <c r="BI62" s="578">
        <v>0</v>
      </c>
    </row>
    <row r="63" spans="1:61" ht="0" hidden="1" customHeight="1">
      <c r="T63" s="327" t="s">
        <v>456</v>
      </c>
      <c r="BF63" s="583" t="str">
        <f t="shared" si="4"/>
        <v>Добавить наименование тарифа</v>
      </c>
      <c r="BI63" s="578">
        <v>0</v>
      </c>
    </row>
    <row r="64" spans="1:61" ht="11.45" customHeight="1">
      <c r="BI64" s="539">
        <v>11</v>
      </c>
    </row>
    <row r="65" spans="1:61" ht="14.65" customHeight="1">
      <c r="T65" s="1038"/>
      <c r="U65" s="1038"/>
      <c r="V65" s="1038"/>
      <c r="W65" s="1038"/>
      <c r="X65" s="1038"/>
      <c r="Y65" s="1038"/>
      <c r="Z65" s="1038"/>
      <c r="AA65" s="1038"/>
      <c r="AB65" s="1038"/>
      <c r="AC65" s="1038"/>
      <c r="AD65" s="1038"/>
      <c r="AE65" s="1038"/>
      <c r="AF65" s="1038"/>
      <c r="AG65" s="1038"/>
      <c r="AH65" s="1038"/>
      <c r="AI65" s="1038"/>
      <c r="AJ65" s="1038"/>
      <c r="AK65" s="1038"/>
      <c r="AL65" s="1038"/>
      <c r="AM65" s="1038"/>
      <c r="AN65" s="1038"/>
      <c r="AO65" s="1038"/>
      <c r="AP65" s="1038"/>
      <c r="AQ65" s="1038"/>
      <c r="AR65" s="1038"/>
      <c r="AS65" s="1038"/>
      <c r="AT65" s="1038"/>
      <c r="AU65" s="1038"/>
      <c r="AV65" s="1038"/>
      <c r="AW65" s="1038"/>
      <c r="AX65" s="1038"/>
      <c r="AY65" s="1038"/>
      <c r="AZ65" s="1038"/>
      <c r="BA65" s="1038"/>
      <c r="BB65" s="1038"/>
      <c r="BC65" s="1038"/>
      <c r="BI65" s="539">
        <v>14</v>
      </c>
    </row>
    <row r="66" spans="1:61" ht="14.65" customHeight="1">
      <c r="BI66" s="539">
        <v>14</v>
      </c>
    </row>
    <row r="67" spans="1:61" ht="14.65" customHeight="1">
      <c r="T67" s="1038"/>
      <c r="U67" s="1038"/>
      <c r="V67" s="1038"/>
      <c r="W67" s="1038"/>
      <c r="X67" s="1038"/>
      <c r="Y67" s="1038"/>
      <c r="Z67" s="1038"/>
      <c r="AA67" s="1038"/>
      <c r="AB67" s="1038"/>
      <c r="AC67" s="1038"/>
      <c r="AD67" s="1038"/>
      <c r="AE67" s="1038"/>
      <c r="AF67" s="1038"/>
      <c r="AG67" s="1038"/>
      <c r="AH67" s="1038"/>
      <c r="AI67" s="1038"/>
      <c r="AJ67" s="1038"/>
      <c r="AK67" s="1038"/>
      <c r="AL67" s="1038"/>
      <c r="AM67" s="1038"/>
      <c r="AN67" s="1038"/>
      <c r="AO67" s="1038"/>
      <c r="AP67" s="1038"/>
      <c r="AQ67" s="1038"/>
      <c r="AR67" s="1038"/>
      <c r="AS67" s="1038"/>
      <c r="AT67" s="1038"/>
      <c r="AU67" s="1038"/>
      <c r="AV67" s="1038"/>
      <c r="AW67" s="1038"/>
      <c r="AX67" s="1038"/>
      <c r="AY67" s="1038"/>
      <c r="AZ67" s="1038"/>
      <c r="BA67" s="1038"/>
      <c r="BB67" s="1038"/>
      <c r="BC67" s="1038"/>
      <c r="BI67" s="539">
        <v>14</v>
      </c>
    </row>
    <row r="68" spans="1:61" ht="14.65" customHeight="1">
      <c r="BI68" s="539">
        <v>14</v>
      </c>
    </row>
    <row r="69" spans="1:61" ht="14.25" hidden="1" customHeight="1">
      <c r="A69" s="556" t="s">
        <v>81</v>
      </c>
      <c r="B69" s="556">
        <v>0</v>
      </c>
      <c r="C69" s="556">
        <v>0</v>
      </c>
      <c r="D69" s="556">
        <v>0</v>
      </c>
      <c r="E69" s="556">
        <v>0</v>
      </c>
      <c r="F69" s="556">
        <v>0</v>
      </c>
      <c r="G69" s="556">
        <v>0</v>
      </c>
      <c r="H69" s="556">
        <v>0</v>
      </c>
      <c r="I69" s="556">
        <v>0</v>
      </c>
      <c r="J69" s="556">
        <v>0</v>
      </c>
      <c r="K69" s="556">
        <v>0</v>
      </c>
      <c r="L69" s="668">
        <v>0</v>
      </c>
      <c r="M69" s="12">
        <v>0</v>
      </c>
      <c r="N69" s="12">
        <v>0</v>
      </c>
      <c r="O69" s="12">
        <v>0</v>
      </c>
      <c r="P69" s="12">
        <v>0</v>
      </c>
      <c r="Q69" s="890">
        <v>0</v>
      </c>
      <c r="R69" s="822">
        <v>3</v>
      </c>
      <c r="S69" s="554">
        <v>12</v>
      </c>
      <c r="T69" s="539">
        <v>31</v>
      </c>
      <c r="U69" s="539">
        <v>0</v>
      </c>
      <c r="V69" s="539">
        <v>0</v>
      </c>
      <c r="W69" s="539">
        <v>0</v>
      </c>
      <c r="X69" s="539">
        <v>0</v>
      </c>
      <c r="Y69" s="539">
        <v>0</v>
      </c>
      <c r="Z69" s="539">
        <v>0</v>
      </c>
      <c r="AA69" s="539">
        <v>0</v>
      </c>
      <c r="AB69" s="539">
        <v>0</v>
      </c>
      <c r="AC69" s="539">
        <v>0</v>
      </c>
      <c r="AD69" s="539">
        <v>3</v>
      </c>
      <c r="AE69" s="539">
        <v>3</v>
      </c>
      <c r="AF69" s="539">
        <v>3</v>
      </c>
      <c r="AG69" s="539">
        <v>24</v>
      </c>
      <c r="AH69" s="539">
        <v>3</v>
      </c>
      <c r="AI69" s="539">
        <v>3</v>
      </c>
      <c r="AJ69" s="539">
        <v>3</v>
      </c>
      <c r="AK69" s="539">
        <v>24</v>
      </c>
      <c r="AL69" s="539">
        <v>3</v>
      </c>
      <c r="AM69" s="539">
        <v>3</v>
      </c>
      <c r="AN69" s="539">
        <v>3</v>
      </c>
      <c r="AO69" s="539">
        <v>18</v>
      </c>
      <c r="AP69" s="539">
        <v>3</v>
      </c>
      <c r="AQ69" s="539">
        <v>3</v>
      </c>
      <c r="AR69" s="539">
        <v>3</v>
      </c>
      <c r="AS69" s="539">
        <v>18</v>
      </c>
      <c r="AT69" s="539">
        <v>21</v>
      </c>
      <c r="AU69" s="539">
        <v>21</v>
      </c>
      <c r="AV69" s="539">
        <v>21</v>
      </c>
      <c r="AW69" s="539">
        <v>21</v>
      </c>
      <c r="AX69" s="539">
        <v>11</v>
      </c>
      <c r="AY69" s="539">
        <v>3</v>
      </c>
      <c r="AZ69" s="539">
        <v>11</v>
      </c>
      <c r="BA69" s="539">
        <v>0</v>
      </c>
      <c r="BB69" s="539">
        <v>4</v>
      </c>
      <c r="BC69" s="539">
        <v>115</v>
      </c>
      <c r="BD69" s="578">
        <v>10</v>
      </c>
      <c r="BE69" s="578">
        <v>10</v>
      </c>
      <c r="BF69" s="578">
        <v>10</v>
      </c>
      <c r="BG69" s="578">
        <v>10</v>
      </c>
      <c r="BH69" s="578">
        <v>10</v>
      </c>
      <c r="BI69" s="53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5" sqref="G15"/>
    </sheetView>
  </sheetViews>
  <sheetFormatPr defaultColWidth="9.140625" defaultRowHeight="14.25" customHeight="1"/>
  <cols>
    <col min="1" max="1" width="8" style="1030" hidden="1" customWidth="1"/>
    <col min="2" max="2" width="6" style="1030" hidden="1" customWidth="1"/>
    <col min="3" max="4" width="3" style="1030" customWidth="1"/>
    <col min="5" max="5" width="6" style="1030" customWidth="1"/>
    <col min="6" max="6" width="2.7109375" style="1030" hidden="1" customWidth="1"/>
    <col min="7" max="7" width="46.7109375" style="1030" customWidth="1"/>
    <col min="8" max="8" width="42" style="1030" customWidth="1"/>
    <col min="9" max="9" width="14" style="1030" customWidth="1"/>
    <col min="10" max="10" width="3" style="1030" customWidth="1"/>
    <col min="11" max="13" width="9.140625" style="1030" hidden="1"/>
    <col min="14" max="14" width="25.7109375" style="1030" hidden="1" customWidth="1"/>
    <col min="15" max="15" width="14.42578125" style="1030" hidden="1" customWidth="1"/>
    <col min="16" max="27" width="9.140625" style="1030" hidden="1"/>
    <col min="28" max="28" width="8" style="1030" customWidth="1"/>
    <col min="29" max="29" width="9.140625" style="1030" hidden="1"/>
  </cols>
  <sheetData>
    <row r="1" spans="1:29" ht="5.25" hidden="1" customHeight="1">
      <c r="G1" s="575" t="s">
        <v>82</v>
      </c>
      <c r="H1" s="576" t="s">
        <v>83</v>
      </c>
      <c r="I1" s="577" t="s">
        <v>84</v>
      </c>
      <c r="J1" s="575" t="s">
        <v>82</v>
      </c>
      <c r="AC1" s="578" t="s">
        <v>14</v>
      </c>
    </row>
    <row r="2" spans="1:29" ht="11.25" customHeight="1">
      <c r="AC2" s="579">
        <v>11</v>
      </c>
    </row>
    <row r="3" spans="1:29" ht="3" customHeight="1">
      <c r="AC3" s="580">
        <v>3</v>
      </c>
    </row>
    <row r="4" spans="1:29" ht="27.4" customHeight="1">
      <c r="E4" s="1055" t="str">
        <f>NameTemplatesInListMO</f>
        <v>Перечень муниципальных районов и муниципальных образований (территорий оказания услуг)</v>
      </c>
      <c r="F4" s="1055"/>
      <c r="G4" s="1055"/>
      <c r="H4" s="1055"/>
      <c r="I4" s="1055"/>
      <c r="AC4" s="580">
        <v>26</v>
      </c>
    </row>
    <row r="5" spans="1:29" ht="3" customHeight="1">
      <c r="AC5" s="580">
        <v>3</v>
      </c>
    </row>
    <row r="6" spans="1:29" ht="20.25" hidden="1" customHeight="1">
      <c r="AC6" s="580">
        <v>0</v>
      </c>
    </row>
    <row r="7" spans="1:29" ht="25.5" hidden="1" customHeight="1">
      <c r="AC7" s="539">
        <v>0</v>
      </c>
    </row>
    <row r="8" spans="1:29" ht="14.65" customHeight="1">
      <c r="E8" s="1051" t="s">
        <v>85</v>
      </c>
      <c r="F8" s="1056"/>
      <c r="G8" s="1050"/>
      <c r="H8" s="1057" t="s">
        <v>86</v>
      </c>
      <c r="I8" s="1057"/>
      <c r="AC8" s="580">
        <v>14</v>
      </c>
    </row>
    <row r="9" spans="1:29" ht="21" customHeight="1">
      <c r="E9" s="29" t="s">
        <v>87</v>
      </c>
      <c r="F9" s="29"/>
      <c r="G9" s="30" t="s">
        <v>88</v>
      </c>
      <c r="H9" s="30" t="s">
        <v>88</v>
      </c>
      <c r="I9" s="30" t="s">
        <v>84</v>
      </c>
      <c r="AC9" s="580">
        <v>20</v>
      </c>
    </row>
    <row r="10" spans="1:29" ht="11.45" customHeight="1">
      <c r="E10" s="31" t="s">
        <v>89</v>
      </c>
      <c r="F10" s="31"/>
      <c r="G10" s="31" t="s">
        <v>90</v>
      </c>
      <c r="H10" s="31" t="s">
        <v>91</v>
      </c>
      <c r="I10" s="31" t="s">
        <v>92</v>
      </c>
      <c r="AC10" s="539">
        <v>11</v>
      </c>
    </row>
    <row r="11" spans="1:29" ht="1.1499999999999999" customHeight="1">
      <c r="E11" s="32"/>
      <c r="F11" s="32"/>
      <c r="G11" s="33"/>
      <c r="H11" s="33"/>
      <c r="I11" s="34"/>
      <c r="J11" s="582" t="s">
        <v>93</v>
      </c>
      <c r="M11" s="583" t="s">
        <v>94</v>
      </c>
      <c r="N11" s="583" t="s">
        <v>95</v>
      </c>
      <c r="O11" s="583" t="s">
        <v>96</v>
      </c>
      <c r="AC11" s="580">
        <v>1</v>
      </c>
    </row>
    <row r="12" spans="1:29" ht="15" customHeight="1">
      <c r="A12" s="1054">
        <v>1</v>
      </c>
      <c r="E12" s="584">
        <f>A12</f>
        <v>1</v>
      </c>
      <c r="F12" s="585" t="s">
        <v>97</v>
      </c>
      <c r="G12" s="37" t="str">
        <f>"Территория "&amp;E12</f>
        <v>Территория 1</v>
      </c>
      <c r="H12" s="38"/>
      <c r="I12" s="38"/>
      <c r="AC12" s="580">
        <v>14</v>
      </c>
    </row>
    <row r="13" spans="1:29" ht="15.75" customHeight="1">
      <c r="A13" s="1038"/>
      <c r="B13" s="556">
        <v>1</v>
      </c>
      <c r="D13" s="586"/>
      <c r="E13" s="587" t="str">
        <f>A12&amp;"."&amp;B13</f>
        <v>1.1</v>
      </c>
      <c r="F13" s="588" t="s">
        <v>98</v>
      </c>
      <c r="G13" s="39" t="s">
        <v>99</v>
      </c>
      <c r="H13" s="39" t="s">
        <v>99</v>
      </c>
      <c r="I13" s="40" t="s">
        <v>100</v>
      </c>
      <c r="J13" s="583" t="e">
        <f ca="1">MERGEVALUE(G13)</f>
        <v>#NAME?</v>
      </c>
      <c r="M13" s="583" t="str">
        <f t="array" ref="M13">IF(ISERROR(MATCH(MID(N13,1,250),MID(note_ter,1,250),0)),"n","y")</f>
        <v>n</v>
      </c>
      <c r="O13" s="583" t="str">
        <f>H13&amp;"("&amp;I13&amp;")"</f>
        <v>город Нижний Новгород(22701000)</v>
      </c>
      <c r="AC13" s="41">
        <v>15</v>
      </c>
    </row>
    <row r="14" spans="1:29" ht="15.75" customHeight="1">
      <c r="A14" s="1038"/>
      <c r="E14" s="42"/>
      <c r="F14" s="43"/>
      <c r="G14" s="44" t="s">
        <v>101</v>
      </c>
      <c r="H14" s="45"/>
      <c r="I14" s="46"/>
      <c r="AC14" s="41">
        <v>15</v>
      </c>
    </row>
    <row r="15" spans="1:29" ht="15" customHeight="1">
      <c r="A15" s="1058" t="s">
        <v>102</v>
      </c>
      <c r="B15"/>
      <c r="C15" s="748" t="s">
        <v>103</v>
      </c>
      <c r="D15"/>
      <c r="E15" s="584" t="str">
        <f>A15</f>
        <v>2</v>
      </c>
      <c r="F15" s="604" t="s">
        <v>104</v>
      </c>
      <c r="G15" s="37" t="str">
        <f>"Территория "&amp;E15</f>
        <v>Территория 2</v>
      </c>
      <c r="H15" s="38"/>
      <c r="I15" s="38"/>
      <c r="J15"/>
      <c r="K15"/>
      <c r="L15"/>
      <c r="M15"/>
      <c r="N15"/>
      <c r="O15"/>
      <c r="P15"/>
      <c r="Q15"/>
      <c r="R15"/>
      <c r="S15"/>
      <c r="T15"/>
      <c r="U15"/>
      <c r="V15"/>
      <c r="W15"/>
      <c r="X15"/>
      <c r="Y15"/>
      <c r="Z15"/>
      <c r="AA15"/>
      <c r="AB15"/>
      <c r="AC15"/>
    </row>
    <row r="16" spans="1:29" ht="15" customHeight="1">
      <c r="A16" s="1038"/>
      <c r="B16" s="556">
        <v>1</v>
      </c>
      <c r="C16"/>
      <c r="D16" s="586"/>
      <c r="E16" s="587" t="str">
        <f>A15&amp;"."&amp;B16</f>
        <v>2.1</v>
      </c>
      <c r="F16" s="749" t="s">
        <v>105</v>
      </c>
      <c r="G16" s="39" t="s">
        <v>106</v>
      </c>
      <c r="H16" s="39" t="s">
        <v>106</v>
      </c>
      <c r="I16" s="40" t="s">
        <v>107</v>
      </c>
      <c r="J16"/>
      <c r="K16"/>
      <c r="L16"/>
      <c r="M16" s="583" t="str">
        <f t="array" ref="M16">IF(ISERROR(MATCH(MID(N16,1,250),MID(note_ter,1,250),0)),"n","y")</f>
        <v>n</v>
      </c>
      <c r="N16"/>
      <c r="O16" s="583" t="str">
        <f>H16&amp;"("&amp;I16&amp;")"</f>
        <v>Кстовский муниципальный округ(22537000)</v>
      </c>
      <c r="P16"/>
      <c r="Q16"/>
      <c r="R16"/>
      <c r="S16"/>
      <c r="T16"/>
      <c r="U16"/>
      <c r="V16"/>
      <c r="W16"/>
      <c r="X16"/>
      <c r="Y16"/>
      <c r="Z16"/>
      <c r="AA16"/>
      <c r="AB16"/>
      <c r="AC16"/>
    </row>
    <row r="17" spans="1:29" ht="15" customHeight="1">
      <c r="A17" s="1038"/>
      <c r="B17"/>
      <c r="C17"/>
      <c r="D17"/>
      <c r="E17" s="42"/>
      <c r="F17" s="43"/>
      <c r="G17" s="44" t="s">
        <v>101</v>
      </c>
      <c r="H17" s="45"/>
      <c r="I17" s="46"/>
      <c r="J17"/>
      <c r="K17"/>
      <c r="L17"/>
      <c r="M17"/>
      <c r="N17"/>
      <c r="O17"/>
      <c r="P17"/>
      <c r="Q17"/>
      <c r="R17"/>
      <c r="S17"/>
      <c r="T17"/>
      <c r="U17"/>
      <c r="V17"/>
      <c r="W17"/>
      <c r="X17"/>
      <c r="Y17"/>
      <c r="Z17"/>
      <c r="AA17"/>
      <c r="AB17"/>
      <c r="AC17"/>
    </row>
    <row r="18" spans="1:29" ht="14.65" customHeight="1">
      <c r="E18" s="47"/>
      <c r="F18" s="48"/>
      <c r="G18" s="49" t="s">
        <v>108</v>
      </c>
      <c r="H18" s="48"/>
      <c r="I18" s="50"/>
      <c r="J18" s="582"/>
      <c r="N18" s="583" t="s">
        <v>109</v>
      </c>
      <c r="AC18" s="580">
        <v>14</v>
      </c>
    </row>
    <row r="19" spans="1:29" ht="21.95" customHeight="1">
      <c r="E19" s="589"/>
      <c r="F19" s="589"/>
      <c r="G19" s="589"/>
      <c r="H19" s="589"/>
      <c r="I19" s="589"/>
      <c r="AC19" s="580">
        <v>21</v>
      </c>
    </row>
    <row r="20" spans="1:29" ht="14.65" customHeight="1">
      <c r="AC20" s="580">
        <v>14</v>
      </c>
    </row>
    <row r="21" spans="1:29" ht="1.1499999999999999" customHeight="1">
      <c r="AC21" s="580">
        <v>1</v>
      </c>
    </row>
    <row r="22" spans="1:29" ht="10.5" customHeight="1">
      <c r="AC22" s="590">
        <v>10</v>
      </c>
    </row>
    <row r="23" spans="1:29" ht="10.5" customHeight="1">
      <c r="AC23" s="590">
        <v>10</v>
      </c>
    </row>
    <row r="24" spans="1:29" ht="14.65" customHeight="1">
      <c r="AC24" s="539">
        <v>14</v>
      </c>
    </row>
    <row r="25" spans="1:29" ht="14.65" customHeight="1">
      <c r="AC25" s="539">
        <v>14</v>
      </c>
    </row>
    <row r="26" spans="1:29" ht="14.65" customHeight="1">
      <c r="AC26" s="539">
        <v>14</v>
      </c>
    </row>
    <row r="27" spans="1:29" ht="14.65" customHeight="1">
      <c r="AC27" s="539">
        <v>14</v>
      </c>
    </row>
    <row r="28" spans="1:29" ht="14.65" customHeight="1">
      <c r="AC28" s="539">
        <v>14</v>
      </c>
    </row>
    <row r="29" spans="1:29" ht="14.65" customHeight="1">
      <c r="AC29" s="539">
        <v>14</v>
      </c>
    </row>
    <row r="30" spans="1:29" ht="14.65" customHeight="1">
      <c r="AC30" s="539">
        <v>14</v>
      </c>
    </row>
    <row r="31" spans="1:29" ht="14.65" customHeight="1">
      <c r="AC31" s="539">
        <v>14</v>
      </c>
    </row>
    <row r="32" spans="1:29" ht="22.5" hidden="1" customHeight="1">
      <c r="A32" s="539" t="s">
        <v>81</v>
      </c>
      <c r="B32" s="556">
        <v>0</v>
      </c>
      <c r="C32" s="539">
        <v>3</v>
      </c>
      <c r="D32" s="591">
        <v>3</v>
      </c>
      <c r="E32" s="539">
        <v>6</v>
      </c>
      <c r="F32" s="539">
        <v>0</v>
      </c>
      <c r="G32" s="539">
        <v>46</v>
      </c>
      <c r="H32" s="539">
        <v>42</v>
      </c>
      <c r="I32" s="539">
        <v>14</v>
      </c>
      <c r="J32" s="583">
        <v>3</v>
      </c>
      <c r="K32" s="583">
        <v>0</v>
      </c>
      <c r="L32" s="583">
        <v>0</v>
      </c>
      <c r="M32" s="583">
        <v>0</v>
      </c>
      <c r="N32" s="583">
        <v>0</v>
      </c>
      <c r="O32" s="583">
        <v>0</v>
      </c>
      <c r="P32" s="592">
        <v>0</v>
      </c>
      <c r="Q32" s="592">
        <v>0</v>
      </c>
      <c r="R32" s="592">
        <v>0</v>
      </c>
      <c r="S32" s="592">
        <v>0</v>
      </c>
      <c r="T32" s="539">
        <v>0</v>
      </c>
      <c r="U32" s="539">
        <v>0</v>
      </c>
      <c r="V32" s="539">
        <v>0</v>
      </c>
      <c r="W32" s="539">
        <v>0</v>
      </c>
      <c r="X32" s="539">
        <v>0</v>
      </c>
      <c r="Y32" s="539">
        <v>0</v>
      </c>
      <c r="Z32" s="539">
        <v>0</v>
      </c>
      <c r="AA32" s="539">
        <v>0</v>
      </c>
      <c r="AB32" s="539">
        <v>8</v>
      </c>
      <c r="AC32" s="539">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4.140625" style="1030" hidden="1" customWidth="1"/>
    <col min="10" max="10" width="9.85546875" style="1030" hidden="1" customWidth="1"/>
    <col min="11" max="11" width="14.710937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5" style="1030" customWidth="1"/>
    <col min="21" max="21" width="0.140625" style="1030" customWidth="1"/>
    <col min="22" max="28" width="19.7109375" style="1030" hidden="1" customWidth="1"/>
    <col min="29" max="29" width="11.7109375" style="1030" hidden="1" customWidth="1"/>
    <col min="30" max="30" width="3.7109375" style="1030" hidden="1" customWidth="1"/>
    <col min="31" max="31" width="11.7109375" style="1030" hidden="1" customWidth="1"/>
    <col min="32" max="32" width="8.5703125" style="1030" hidden="1" customWidth="1"/>
    <col min="33" max="33" width="19.7109375" style="1030" customWidth="1"/>
    <col min="34" max="39" width="19" style="1030" customWidth="1"/>
    <col min="40" max="40" width="11" style="1030" customWidth="1"/>
    <col min="41" max="41" width="3.7109375" style="1030" customWidth="1"/>
    <col min="42" max="42" width="11" style="1030" customWidth="1"/>
    <col min="43" max="43" width="8.5703125" style="1030" hidden="1" customWidth="1"/>
    <col min="44" max="44" width="4" style="1030" customWidth="1"/>
    <col min="45" max="45" width="115" style="1030" customWidth="1"/>
    <col min="46" max="50" width="10" style="1030" customWidth="1"/>
    <col min="51" max="51" width="10.5703125" style="1030" hidden="1"/>
  </cols>
  <sheetData>
    <row r="1" spans="5:51" ht="22.5" hidden="1" customHeight="1">
      <c r="AY1" s="539" t="s">
        <v>14</v>
      </c>
    </row>
    <row r="2" spans="5:51" ht="23.25" hidden="1" customHeight="1">
      <c r="E2" s="1192">
        <v>1</v>
      </c>
      <c r="R2" s="311"/>
      <c r="S2" s="833" t="e">
        <f>INDEX(PT_DIFFERENTIATION_NUM_NTAR,MATCH(A2,PT_DIFFERENTIATION_NTAR_ID,0))</f>
        <v>#N/A</v>
      </c>
      <c r="T2" s="796" t="s">
        <v>133</v>
      </c>
      <c r="U2" s="834"/>
      <c r="V2" s="1187"/>
      <c r="W2" s="1188"/>
      <c r="X2" s="1188"/>
      <c r="Y2" s="1188"/>
      <c r="Z2" s="1188"/>
      <c r="AA2" s="1188"/>
      <c r="AB2" s="1188"/>
      <c r="AC2" s="1188"/>
      <c r="AD2" s="1188"/>
      <c r="AE2" s="1188"/>
      <c r="AF2" s="1189"/>
      <c r="AG2" s="1187" t="e">
        <f>INDEX(PT_DIFFERENTIATION_NTAR,MATCH(A2,PT_DIFFERENTIATION_NTAR_ID,0))</f>
        <v>#N/A</v>
      </c>
      <c r="AH2" s="1188"/>
      <c r="AI2" s="1188"/>
      <c r="AJ2" s="1188"/>
      <c r="AK2" s="1188"/>
      <c r="AL2" s="1188"/>
      <c r="AM2" s="1188"/>
      <c r="AN2" s="1188"/>
      <c r="AO2" s="1188"/>
      <c r="AP2" s="1188"/>
      <c r="AQ2" s="1188"/>
      <c r="AR2" s="1189"/>
      <c r="AS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V2" s="583" t="str">
        <f t="shared" ref="AV2:AV13" si="0">IF(T2="","",T2)</f>
        <v>Наименование тарифа</v>
      </c>
      <c r="AY2" s="539">
        <v>0</v>
      </c>
    </row>
    <row r="3" spans="5:51" ht="23.25"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8"/>
      <c r="AC3" s="1188"/>
      <c r="AD3" s="1188"/>
      <c r="AE3" s="1188"/>
      <c r="AF3" s="1189"/>
      <c r="AG3" s="1187" t="e">
        <f>INDEX(PT_DIFFERENTIATION_TER,MATCH(B3,PT_DIFFERENTIATION_TER_ID,0))</f>
        <v>#N/A</v>
      </c>
      <c r="AH3" s="1188"/>
      <c r="AI3" s="1188"/>
      <c r="AJ3" s="1188"/>
      <c r="AK3" s="1188"/>
      <c r="AL3" s="1188"/>
      <c r="AM3" s="1188"/>
      <c r="AN3" s="1188"/>
      <c r="AO3" s="1188"/>
      <c r="AP3" s="1188"/>
      <c r="AQ3" s="1188"/>
      <c r="AR3" s="1189"/>
      <c r="AS3" s="836" t="s">
        <v>406</v>
      </c>
      <c r="AV3" s="583" t="str">
        <f t="shared" si="0"/>
        <v>Территория действия тарифа</v>
      </c>
      <c r="AY3" s="539">
        <v>0</v>
      </c>
    </row>
    <row r="4" spans="5:51" ht="23.25" hidden="1" customHeight="1">
      <c r="E4" s="1193"/>
      <c r="F4" s="1193"/>
      <c r="G4" s="1192">
        <v>1</v>
      </c>
      <c r="Q4" s="837"/>
      <c r="R4" s="838"/>
      <c r="S4" s="833" t="e">
        <f>INDEX(PT_DIFFERENTIATION_NUM_CS,MATCH(C4,PT_DIFFERENTIATION_CS_ID,0))</f>
        <v>#N/A</v>
      </c>
      <c r="T4" s="840" t="s">
        <v>538</v>
      </c>
      <c r="U4" s="834"/>
      <c r="V4" s="1187"/>
      <c r="W4" s="1188"/>
      <c r="X4" s="1188"/>
      <c r="Y4" s="1188"/>
      <c r="Z4" s="1188"/>
      <c r="AA4" s="1188"/>
      <c r="AB4" s="1188"/>
      <c r="AC4" s="1188"/>
      <c r="AD4" s="1188"/>
      <c r="AE4" s="1188"/>
      <c r="AF4" s="1189"/>
      <c r="AG4" s="1187" t="e">
        <f>INDEX(PT_DIFFERENTIATION_CS,MATCH(C4,PT_DIFFERENTIATION_CS_ID,0))</f>
        <v>#N/A</v>
      </c>
      <c r="AH4" s="1188"/>
      <c r="AI4" s="1188"/>
      <c r="AJ4" s="1188"/>
      <c r="AK4" s="1188"/>
      <c r="AL4" s="1188"/>
      <c r="AM4" s="1188"/>
      <c r="AN4" s="1188"/>
      <c r="AO4" s="1188"/>
      <c r="AP4" s="1188"/>
      <c r="AQ4" s="1188"/>
      <c r="AR4" s="1189"/>
      <c r="AS4" s="836" t="s">
        <v>539</v>
      </c>
      <c r="AV4" s="583" t="str">
        <f t="shared" si="0"/>
        <v>Наименование централизованной системы горячего водоснабжения</v>
      </c>
      <c r="AY4" s="539">
        <v>0</v>
      </c>
    </row>
    <row r="5" spans="5:51" ht="23.25" hidden="1" customHeight="1">
      <c r="E5" s="1193"/>
      <c r="F5" s="1193"/>
      <c r="G5" s="1193"/>
      <c r="H5" s="1193"/>
      <c r="I5" s="1194" t="e">
        <f>S4&amp;".1"</f>
        <v>#N/A</v>
      </c>
      <c r="P5" s="1196">
        <v>1</v>
      </c>
      <c r="R5" s="843"/>
      <c r="S5" s="833" t="e">
        <f>$I5</f>
        <v>#N/A</v>
      </c>
      <c r="T5" s="844" t="s">
        <v>491</v>
      </c>
      <c r="U5" s="834"/>
      <c r="V5" s="1260"/>
      <c r="W5" s="1261"/>
      <c r="X5" s="1261"/>
      <c r="Y5" s="1261"/>
      <c r="Z5" s="1261"/>
      <c r="AA5" s="1261"/>
      <c r="AB5" s="1261"/>
      <c r="AC5" s="1261"/>
      <c r="AD5" s="1261"/>
      <c r="AE5" s="1261"/>
      <c r="AF5" s="1262"/>
      <c r="AG5" s="1263"/>
      <c r="AH5" s="1264"/>
      <c r="AI5" s="1264"/>
      <c r="AJ5" s="1264"/>
      <c r="AK5" s="1264"/>
      <c r="AL5" s="1264"/>
      <c r="AM5" s="1264"/>
      <c r="AN5" s="1264"/>
      <c r="AO5" s="1264"/>
      <c r="AP5" s="1264"/>
      <c r="AQ5" s="1264"/>
      <c r="AR5" s="1265"/>
      <c r="AS5" s="836" t="s">
        <v>492</v>
      </c>
      <c r="AV5" s="583" t="str">
        <f t="shared" si="0"/>
        <v>Наименование признака дифференциации</v>
      </c>
      <c r="AY5" s="539">
        <v>0</v>
      </c>
    </row>
    <row r="6" spans="5:51" ht="23.25" hidden="1" customHeight="1">
      <c r="E6" s="1193"/>
      <c r="F6" s="1193"/>
      <c r="G6" s="1193"/>
      <c r="H6" s="1193"/>
      <c r="I6" s="1195"/>
      <c r="J6" s="1194" t="e">
        <f>I5&amp;".1"</f>
        <v>#N/A</v>
      </c>
      <c r="L6" s="842" t="s">
        <v>414</v>
      </c>
      <c r="P6" s="1038"/>
      <c r="Q6" s="1196">
        <v>1</v>
      </c>
      <c r="R6" s="845"/>
      <c r="S6" s="833" t="e">
        <f>$J6</f>
        <v>#N/A</v>
      </c>
      <c r="T6" s="846" t="s">
        <v>415</v>
      </c>
      <c r="U6" s="834"/>
      <c r="V6" s="1181"/>
      <c r="W6" s="1182"/>
      <c r="X6" s="1182"/>
      <c r="Y6" s="1182"/>
      <c r="Z6" s="1182"/>
      <c r="AA6" s="1182"/>
      <c r="AB6" s="1182"/>
      <c r="AC6" s="1182"/>
      <c r="AD6" s="1182"/>
      <c r="AE6" s="1182"/>
      <c r="AF6" s="1183"/>
      <c r="AG6" s="1181"/>
      <c r="AH6" s="1182"/>
      <c r="AI6" s="1182"/>
      <c r="AJ6" s="1182"/>
      <c r="AK6" s="1182"/>
      <c r="AL6" s="1182"/>
      <c r="AM6" s="1182"/>
      <c r="AN6" s="1182"/>
      <c r="AO6" s="1182"/>
      <c r="AP6" s="1182"/>
      <c r="AQ6" s="1182"/>
      <c r="AR6" s="1183"/>
      <c r="AS6" s="875" t="s">
        <v>493</v>
      </c>
      <c r="AV6" s="583" t="str">
        <f t="shared" si="0"/>
        <v>Группа потребителей</v>
      </c>
      <c r="AY6" s="539">
        <v>0</v>
      </c>
    </row>
    <row r="7" spans="5:51" ht="23.25" hidden="1" customHeight="1">
      <c r="E7" s="1193"/>
      <c r="F7" s="1193"/>
      <c r="G7" s="1193"/>
      <c r="H7" s="1193"/>
      <c r="I7" s="1195"/>
      <c r="J7" s="1195"/>
      <c r="K7" s="1194" t="e">
        <f>J6&amp;".1"</f>
        <v>#N/A</v>
      </c>
      <c r="P7" s="1038"/>
      <c r="Q7" s="1038"/>
      <c r="R7" s="845">
        <v>1</v>
      </c>
      <c r="S7" s="833" t="e">
        <f>$K7</f>
        <v>#N/A</v>
      </c>
      <c r="T7" s="398"/>
      <c r="U7" s="834"/>
      <c r="V7" s="312"/>
      <c r="W7" s="312"/>
      <c r="X7" s="312"/>
      <c r="Y7" s="312"/>
      <c r="Z7" s="312"/>
      <c r="AA7" s="312"/>
      <c r="AB7" s="312"/>
      <c r="AC7" s="1197"/>
      <c r="AD7" s="1079" t="s">
        <v>61</v>
      </c>
      <c r="AE7" s="1197"/>
      <c r="AF7" s="1079" t="s">
        <v>61</v>
      </c>
      <c r="AG7" s="312"/>
      <c r="AH7" s="312"/>
      <c r="AI7" s="312"/>
      <c r="AJ7" s="312"/>
      <c r="AK7" s="312"/>
      <c r="AL7" s="312"/>
      <c r="AM7" s="312"/>
      <c r="AN7" s="1197"/>
      <c r="AO7" s="1079" t="s">
        <v>61</v>
      </c>
      <c r="AP7" s="1199"/>
      <c r="AQ7" s="1079" t="s">
        <v>61</v>
      </c>
      <c r="AR7" s="399"/>
      <c r="AS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78" t="e">
        <f ca="1">STRCHECKDATE(V8:AR8)</f>
        <v>#NAME?</v>
      </c>
      <c r="AV7" s="583" t="str">
        <f t="shared" si="0"/>
        <v/>
      </c>
      <c r="AY7" s="539">
        <v>0</v>
      </c>
    </row>
    <row r="8" spans="5:51" ht="14.25" hidden="1" customHeight="1">
      <c r="E8" s="1193"/>
      <c r="F8" s="1193"/>
      <c r="G8" s="1193"/>
      <c r="H8" s="1193"/>
      <c r="I8" s="1195"/>
      <c r="J8" s="1195"/>
      <c r="K8" s="1194"/>
      <c r="P8" s="1038"/>
      <c r="Q8" s="1038"/>
      <c r="R8" s="845"/>
      <c r="S8" s="127"/>
      <c r="T8" s="834"/>
      <c r="U8" s="834"/>
      <c r="V8" s="313"/>
      <c r="W8" s="313"/>
      <c r="X8" s="313"/>
      <c r="Y8" s="313"/>
      <c r="Z8" s="313"/>
      <c r="AA8" s="313"/>
      <c r="AB8" s="313"/>
      <c r="AC8" s="1198"/>
      <c r="AD8" s="1079"/>
      <c r="AE8" s="1198"/>
      <c r="AF8" s="1079"/>
      <c r="AG8" s="313"/>
      <c r="AH8" s="313"/>
      <c r="AI8" s="313"/>
      <c r="AJ8" s="313"/>
      <c r="AK8" s="313"/>
      <c r="AL8" s="313"/>
      <c r="AM8" s="313"/>
      <c r="AN8" s="1198"/>
      <c r="AO8" s="1079"/>
      <c r="AP8" s="1200"/>
      <c r="AQ8" s="1079"/>
      <c r="AR8" s="388"/>
      <c r="AS8" s="1266"/>
      <c r="AV8" s="583" t="str">
        <f t="shared" si="0"/>
        <v/>
      </c>
      <c r="AY8" s="539">
        <v>0</v>
      </c>
    </row>
    <row r="9" spans="5:51" ht="21" hidden="1" customHeight="1">
      <c r="E9" s="1193"/>
      <c r="F9" s="1193"/>
      <c r="G9" s="1193"/>
      <c r="H9" s="1193"/>
      <c r="I9" s="1195"/>
      <c r="J9" s="1194"/>
      <c r="P9" s="1038"/>
      <c r="Q9" s="1038"/>
      <c r="R9" s="843"/>
      <c r="S9" s="316"/>
      <c r="T9" s="319" t="s">
        <v>494</v>
      </c>
      <c r="U9" s="52"/>
      <c r="V9" s="52"/>
      <c r="W9" s="52"/>
      <c r="X9" s="52"/>
      <c r="Y9" s="52"/>
      <c r="Z9" s="52"/>
      <c r="AA9" s="52"/>
      <c r="AB9" s="52"/>
      <c r="AC9" s="52"/>
      <c r="AD9" s="52"/>
      <c r="AE9" s="52"/>
      <c r="AF9" s="52"/>
      <c r="AG9" s="52"/>
      <c r="AH9" s="52"/>
      <c r="AI9" s="52"/>
      <c r="AJ9" s="52"/>
      <c r="AK9" s="52"/>
      <c r="AL9" s="52"/>
      <c r="AM9" s="52"/>
      <c r="AN9" s="52"/>
      <c r="AO9" s="52"/>
      <c r="AP9" s="52"/>
      <c r="AQ9" s="52"/>
      <c r="AR9" s="52"/>
      <c r="AS9" s="836" t="s">
        <v>495</v>
      </c>
      <c r="AV9" s="583" t="str">
        <f t="shared" si="0"/>
        <v>Добавить значение признака дифференциации</v>
      </c>
      <c r="AY9" s="539">
        <v>0</v>
      </c>
    </row>
    <row r="10" spans="5:51" ht="21" hidden="1" customHeight="1">
      <c r="E10" s="1193"/>
      <c r="F10" s="1193"/>
      <c r="G10" s="1193"/>
      <c r="H10" s="1193"/>
      <c r="I10" s="1194"/>
      <c r="P10" s="1038"/>
      <c r="R10" s="843"/>
      <c r="S10" s="316"/>
      <c r="T10" s="322" t="s">
        <v>420</v>
      </c>
      <c r="U10" s="52"/>
      <c r="V10" s="52"/>
      <c r="W10" s="52"/>
      <c r="X10" s="52"/>
      <c r="Y10" s="52"/>
      <c r="Z10" s="52"/>
      <c r="AA10" s="52"/>
      <c r="AB10" s="52"/>
      <c r="AC10" s="52"/>
      <c r="AD10" s="52"/>
      <c r="AE10" s="52"/>
      <c r="AF10" s="320"/>
      <c r="AG10" s="52"/>
      <c r="AH10" s="52"/>
      <c r="AI10" s="52"/>
      <c r="AJ10" s="52"/>
      <c r="AK10" s="52"/>
      <c r="AL10" s="52"/>
      <c r="AM10" s="52"/>
      <c r="AN10" s="52"/>
      <c r="AO10" s="52"/>
      <c r="AP10" s="52"/>
      <c r="AQ10" s="320"/>
      <c r="AR10" s="52"/>
      <c r="AS10" s="400"/>
      <c r="AV10" s="583" t="str">
        <f t="shared" si="0"/>
        <v>Добавить группу потребителей</v>
      </c>
      <c r="AY10" s="539">
        <v>0</v>
      </c>
    </row>
    <row r="11" spans="5:51" ht="21" hidden="1" customHeight="1">
      <c r="E11" s="1193"/>
      <c r="F11" s="1193"/>
      <c r="G11" s="1193"/>
      <c r="H11" s="1192"/>
      <c r="R11" s="311"/>
      <c r="S11" s="316"/>
      <c r="T11" s="377" t="s">
        <v>496</v>
      </c>
      <c r="U11" s="52"/>
      <c r="V11" s="52"/>
      <c r="W11" s="52"/>
      <c r="X11" s="52"/>
      <c r="Y11" s="52"/>
      <c r="Z11" s="52"/>
      <c r="AA11" s="52"/>
      <c r="AB11" s="52"/>
      <c r="AC11" s="52"/>
      <c r="AD11" s="52"/>
      <c r="AE11" s="52"/>
      <c r="AF11" s="320"/>
      <c r="AG11" s="52"/>
      <c r="AH11" s="52"/>
      <c r="AI11" s="52"/>
      <c r="AJ11" s="52"/>
      <c r="AK11" s="52"/>
      <c r="AL11" s="52"/>
      <c r="AM11" s="52"/>
      <c r="AN11" s="52"/>
      <c r="AO11" s="52"/>
      <c r="AP11" s="52"/>
      <c r="AQ11" s="320"/>
      <c r="AR11" s="52"/>
      <c r="AS11" s="321"/>
      <c r="AV11" s="583" t="str">
        <f t="shared" si="0"/>
        <v>Добавить наименование признака дифференциации</v>
      </c>
      <c r="AY11" s="539">
        <v>0</v>
      </c>
    </row>
    <row r="12" spans="5:51" ht="14.25" hidden="1" customHeight="1">
      <c r="E12" s="1193"/>
      <c r="F12" s="1192"/>
      <c r="T12" s="327" t="s">
        <v>423</v>
      </c>
      <c r="AV12" s="583" t="str">
        <f t="shared" si="0"/>
        <v>Добавить централизованную систему для дифференциации</v>
      </c>
      <c r="AY12" s="578">
        <v>0</v>
      </c>
    </row>
    <row r="13" spans="5:51" ht="14.25" hidden="1" customHeight="1">
      <c r="E13" s="1192"/>
      <c r="T13" s="327" t="s">
        <v>424</v>
      </c>
      <c r="AV13" s="583" t="str">
        <f t="shared" si="0"/>
        <v>Добавить территорию для дифференциации</v>
      </c>
      <c r="AY13" s="578">
        <v>0</v>
      </c>
    </row>
    <row r="14" spans="5:51" ht="14.25" hidden="1" customHeight="1">
      <c r="AY14" s="539">
        <v>0</v>
      </c>
    </row>
    <row r="15" spans="5:51" ht="14.25" hidden="1" customHeight="1">
      <c r="AG15" s="276"/>
      <c r="AH15" s="276"/>
      <c r="AI15" s="276"/>
      <c r="AJ15" s="276"/>
      <c r="AK15" s="276"/>
      <c r="AL15" s="276"/>
      <c r="AM15" s="276"/>
      <c r="AN15" s="1191"/>
      <c r="AO15" s="1190" t="s">
        <v>61</v>
      </c>
      <c r="AP15" s="1191"/>
      <c r="AQ15" s="1190" t="s">
        <v>61</v>
      </c>
      <c r="AY15" s="539">
        <v>0</v>
      </c>
    </row>
    <row r="16" spans="5:51" ht="14.25" hidden="1" customHeight="1">
      <c r="AG16" s="276"/>
      <c r="AH16" s="276"/>
      <c r="AI16" s="276"/>
      <c r="AJ16" s="276"/>
      <c r="AK16" s="276"/>
      <c r="AL16" s="276"/>
      <c r="AM16" s="276"/>
      <c r="AN16" s="1190"/>
      <c r="AO16" s="1190"/>
      <c r="AP16" s="1190"/>
      <c r="AQ16" s="1190"/>
      <c r="AY16" s="539">
        <v>0</v>
      </c>
    </row>
    <row r="17" spans="15:51" ht="14.25" hidden="1" customHeight="1">
      <c r="AY17" s="539">
        <v>0</v>
      </c>
    </row>
    <row r="18" spans="15:51" ht="22.5" hidden="1" customHeight="1">
      <c r="O18" s="329" t="s">
        <v>425</v>
      </c>
      <c r="AC18" s="329"/>
      <c r="AE18" s="329"/>
      <c r="AN18" s="329"/>
      <c r="AP18" s="329"/>
      <c r="AY18" s="556">
        <v>0</v>
      </c>
    </row>
    <row r="19" spans="15:51" ht="14.25" hidden="1" customHeight="1">
      <c r="AY19" s="556">
        <v>0</v>
      </c>
    </row>
    <row r="20" spans="15:51" ht="12" hidden="1" customHeight="1">
      <c r="O20" s="842" t="s">
        <v>426</v>
      </c>
      <c r="T20" s="556" t="s">
        <v>427</v>
      </c>
      <c r="AD20" s="599" t="s">
        <v>428</v>
      </c>
      <c r="AF20" s="599" t="s">
        <v>429</v>
      </c>
      <c r="AG20" s="556" t="s">
        <v>427</v>
      </c>
      <c r="AO20" s="599" t="s">
        <v>430</v>
      </c>
      <c r="AQ20" s="599" t="s">
        <v>429</v>
      </c>
      <c r="AY20" s="556">
        <v>0</v>
      </c>
    </row>
    <row r="21" spans="15:51" ht="14.25" hidden="1" customHeight="1">
      <c r="AY21" s="539">
        <v>0</v>
      </c>
    </row>
    <row r="22" spans="15:51" ht="14.25" hidden="1" customHeight="1">
      <c r="AY22" s="539">
        <v>0</v>
      </c>
    </row>
    <row r="23" spans="15:51" ht="14.65" customHeight="1">
      <c r="Q23" s="757"/>
      <c r="R23" s="757"/>
      <c r="S23" s="848"/>
      <c r="T23" s="557"/>
      <c r="U23" s="557"/>
      <c r="AY23" s="539">
        <v>14</v>
      </c>
    </row>
    <row r="24" spans="15:51" ht="26.25" customHeight="1">
      <c r="Q24" s="757"/>
      <c r="R24" s="757"/>
      <c r="S24" s="1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Y24" s="539">
        <v>25</v>
      </c>
    </row>
    <row r="25" spans="15:51" ht="14.65" customHeight="1">
      <c r="Q25" s="757"/>
      <c r="R25" s="757"/>
      <c r="S25" s="1148" t="str">
        <f>IF(org=0,"Не определено",org)</f>
        <v>АО "НИЖЕГОРОДСКИЙ ВОДОКАНАЛ"</v>
      </c>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Y25" s="539">
        <v>14</v>
      </c>
    </row>
    <row r="26" spans="15:51" ht="14.25" hidden="1" customHeight="1">
      <c r="Q26" s="757"/>
      <c r="R26" s="757"/>
      <c r="S26" s="848"/>
      <c r="T26" s="557"/>
      <c r="U26" s="55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Y26" s="539">
        <v>0</v>
      </c>
    </row>
    <row r="27" spans="15:51" ht="25.5" hidden="1" customHeight="1">
      <c r="S27" s="1184" t="s">
        <v>41</v>
      </c>
      <c r="T27" s="1184"/>
      <c r="U27" s="850"/>
      <c r="V27" s="1186" t="str">
        <f>IF(TITLE_NAME_OR_PR_CHANGE="",IF(TITLE_NAME_OR_PR="","",TITLE_NAME_OR_PR),TITLE_NAME_OR_PR_CHANGE)</f>
        <v/>
      </c>
      <c r="W27" s="1186"/>
      <c r="X27" s="1186"/>
      <c r="Y27" s="1186"/>
      <c r="Z27" s="1186"/>
      <c r="AA27" s="1186"/>
      <c r="AB27" s="1186"/>
      <c r="AC27" s="1186"/>
      <c r="AD27" s="1186"/>
      <c r="AE27" s="1186"/>
      <c r="AG27" s="1186" t="str">
        <f>IF(TITLE_NAME_OR_PR_CHANGE="",IF(TITLE_NAME_OR_PR="","",TITLE_NAME_OR_PR),TITLE_NAME_OR_PR_CHANGE)</f>
        <v/>
      </c>
      <c r="AH27" s="1186"/>
      <c r="AI27" s="1186"/>
      <c r="AJ27" s="1186"/>
      <c r="AK27" s="1186"/>
      <c r="AL27" s="1186"/>
      <c r="AM27" s="1186"/>
      <c r="AN27" s="1186"/>
      <c r="AO27" s="1186"/>
      <c r="AP27" s="1186"/>
      <c r="AY27" s="593">
        <v>0</v>
      </c>
    </row>
    <row r="28" spans="15:51" ht="18.75" hidden="1" customHeight="1">
      <c r="S28" s="1184" t="s">
        <v>431</v>
      </c>
      <c r="T28" s="1184"/>
      <c r="U28" s="850"/>
      <c r="V28" s="1185" t="str">
        <f>IF(TITLE_DATE_PR_CHANGE="",IF(TITLE_DATE_PR="","",TITLE_DATE_PR),TITLE_DATE_PR_CHANGE)</f>
        <v/>
      </c>
      <c r="W28" s="1185"/>
      <c r="X28" s="1185"/>
      <c r="Y28" s="1185"/>
      <c r="Z28" s="1185"/>
      <c r="AA28" s="1185"/>
      <c r="AB28" s="1185"/>
      <c r="AC28" s="1185"/>
      <c r="AD28" s="1185"/>
      <c r="AE28" s="1185"/>
      <c r="AG28" s="1185" t="str">
        <f>IF(TITLE_DATE_PR_CHANGE="",IF(TITLE_DATE_PR="","",TITLE_DATE_PR),TITLE_DATE_PR_CHANGE)</f>
        <v/>
      </c>
      <c r="AH28" s="1185"/>
      <c r="AI28" s="1185"/>
      <c r="AJ28" s="1185"/>
      <c r="AK28" s="1185"/>
      <c r="AL28" s="1185"/>
      <c r="AM28" s="1185"/>
      <c r="AN28" s="1185"/>
      <c r="AO28" s="1185"/>
      <c r="AP28" s="1185"/>
      <c r="AY28" s="593">
        <v>0</v>
      </c>
    </row>
    <row r="29" spans="15:51" ht="18.75" hidden="1" customHeight="1">
      <c r="S29" s="1184" t="s">
        <v>432</v>
      </c>
      <c r="T29" s="1184"/>
      <c r="U29" s="850"/>
      <c r="V29" s="1186" t="str">
        <f>IF(TITLE_NUMBER_PR_CHANGE="",IF(TITLE_NUMBER_PR="","",TITLE_NUMBER_PR),TITLE_NUMBER_PR_CHANGE)</f>
        <v/>
      </c>
      <c r="W29" s="1186"/>
      <c r="X29" s="1186"/>
      <c r="Y29" s="1186"/>
      <c r="Z29" s="1186"/>
      <c r="AA29" s="1186"/>
      <c r="AB29" s="1186"/>
      <c r="AC29" s="1186"/>
      <c r="AD29" s="1186"/>
      <c r="AE29" s="1186"/>
      <c r="AG29" s="1186" t="str">
        <f>IF(TITLE_NUMBER_PR_CHANGE="",IF(TITLE_NUMBER_PR="","",TITLE_NUMBER_PR),TITLE_NUMBER_PR_CHANGE)</f>
        <v/>
      </c>
      <c r="AH29" s="1186"/>
      <c r="AI29" s="1186"/>
      <c r="AJ29" s="1186"/>
      <c r="AK29" s="1186"/>
      <c r="AL29" s="1186"/>
      <c r="AM29" s="1186"/>
      <c r="AN29" s="1186"/>
      <c r="AO29" s="1186"/>
      <c r="AP29" s="1186"/>
      <c r="AY29" s="593">
        <v>0</v>
      </c>
    </row>
    <row r="30" spans="15:51" ht="18.75" hidden="1" customHeight="1">
      <c r="S30" s="1184" t="s">
        <v>42</v>
      </c>
      <c r="T30" s="1184"/>
      <c r="U30" s="850"/>
      <c r="V30" s="1186" t="str">
        <f>IF(TITLE_IST_PUB_CHANGE="",IF(TITLE_IST_PUB="","",TITLE_IST_PUB),TITLE_IST_PUB_CHANGE)</f>
        <v/>
      </c>
      <c r="W30" s="1186"/>
      <c r="X30" s="1186"/>
      <c r="Y30" s="1186"/>
      <c r="Z30" s="1186"/>
      <c r="AA30" s="1186"/>
      <c r="AB30" s="1186"/>
      <c r="AC30" s="1186"/>
      <c r="AD30" s="1186"/>
      <c r="AE30" s="1186"/>
      <c r="AG30" s="1186" t="str">
        <f>IF(TITLE_IST_PUB_CHANGE="",IF(TITLE_IST_PUB="","",TITLE_IST_PUB),TITLE_IST_PUB_CHANGE)</f>
        <v/>
      </c>
      <c r="AH30" s="1186"/>
      <c r="AI30" s="1186"/>
      <c r="AJ30" s="1186"/>
      <c r="AK30" s="1186"/>
      <c r="AL30" s="1186"/>
      <c r="AM30" s="1186"/>
      <c r="AN30" s="1186"/>
      <c r="AO30" s="1186"/>
      <c r="AP30" s="1186"/>
      <c r="AY30" s="593">
        <v>0</v>
      </c>
    </row>
    <row r="31" spans="15:51" ht="14.25" hidden="1" customHeight="1">
      <c r="Q31" s="757"/>
      <c r="R31" s="757"/>
      <c r="S31" s="848"/>
      <c r="T31" s="557"/>
      <c r="U31" s="55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Y31" s="539">
        <v>0</v>
      </c>
    </row>
    <row r="32" spans="15:51" ht="18.75" hidden="1" customHeight="1">
      <c r="S32" s="1184" t="s">
        <v>433</v>
      </c>
      <c r="T32" s="1184"/>
      <c r="U32" s="850"/>
      <c r="V32" s="1185" t="str">
        <f>IF(TITLE_DATE_PR_CHANGE="",IF(TITLE_DATE_PR="","",TITLE_DATE_PR),TITLE_DATE_PR_CHANGE)</f>
        <v/>
      </c>
      <c r="W32" s="1185"/>
      <c r="X32" s="1185"/>
      <c r="Y32" s="1185"/>
      <c r="Z32" s="1185"/>
      <c r="AA32" s="1185"/>
      <c r="AB32" s="1185"/>
      <c r="AC32" s="1185"/>
      <c r="AD32" s="1185"/>
      <c r="AE32" s="1185"/>
      <c r="AG32" s="1185" t="str">
        <f>IF(TITLE_DATE_PR_CHANGE="",IF(TITLE_DATE_PR="","",TITLE_DATE_PR),TITLE_DATE_PR_CHANGE)</f>
        <v/>
      </c>
      <c r="AH32" s="1185"/>
      <c r="AI32" s="1185"/>
      <c r="AJ32" s="1185"/>
      <c r="AK32" s="1185"/>
      <c r="AL32" s="1185"/>
      <c r="AM32" s="1185"/>
      <c r="AN32" s="1185"/>
      <c r="AO32" s="1185"/>
      <c r="AP32" s="1185"/>
      <c r="AY32" s="593">
        <v>0</v>
      </c>
    </row>
    <row r="33" spans="1:51" ht="18.75" hidden="1" customHeight="1">
      <c r="S33" s="1184" t="s">
        <v>434</v>
      </c>
      <c r="T33" s="1184"/>
      <c r="U33" s="850"/>
      <c r="V33" s="1186" t="str">
        <f>IF(TITLE_NUMBER_PR_CHANGE="",IF(TITLE_NUMBER_PR="","",TITLE_NUMBER_PR),TITLE_NUMBER_PR_CHANGE)</f>
        <v/>
      </c>
      <c r="W33" s="1186"/>
      <c r="X33" s="1186"/>
      <c r="Y33" s="1186"/>
      <c r="Z33" s="1186"/>
      <c r="AA33" s="1186"/>
      <c r="AB33" s="1186"/>
      <c r="AC33" s="1186"/>
      <c r="AD33" s="1186"/>
      <c r="AE33" s="1186"/>
      <c r="AG33" s="1186" t="str">
        <f>IF(TITLE_NUMBER_PR_CHANGE="",IF(TITLE_NUMBER_PR="","",TITLE_NUMBER_PR),TITLE_NUMBER_PR_CHANGE)</f>
        <v/>
      </c>
      <c r="AH33" s="1186"/>
      <c r="AI33" s="1186"/>
      <c r="AJ33" s="1186"/>
      <c r="AK33" s="1186"/>
      <c r="AL33" s="1186"/>
      <c r="AM33" s="1186"/>
      <c r="AN33" s="1186"/>
      <c r="AO33" s="1186"/>
      <c r="AP33" s="1186"/>
      <c r="AY33" s="593">
        <v>0</v>
      </c>
    </row>
    <row r="34" spans="1:51" ht="1.1499999999999999" customHeight="1">
      <c r="AF34" s="578" t="s">
        <v>435</v>
      </c>
      <c r="AQ34" s="578" t="s">
        <v>435</v>
      </c>
      <c r="AY34" s="593">
        <v>1</v>
      </c>
    </row>
    <row r="35" spans="1:51" ht="14.65" customHeight="1">
      <c r="Q35" s="757"/>
      <c r="R35" s="757"/>
      <c r="S35" s="848"/>
      <c r="T35" s="557"/>
      <c r="U35" s="851"/>
      <c r="V35" s="1204"/>
      <c r="W35" s="1204"/>
      <c r="X35" s="1204"/>
      <c r="Y35" s="1204"/>
      <c r="Z35" s="1204"/>
      <c r="AA35" s="1204"/>
      <c r="AB35" s="1204"/>
      <c r="AC35" s="1204"/>
      <c r="AD35" s="1204"/>
      <c r="AE35" s="1204"/>
      <c r="AF35" s="1204"/>
      <c r="AG35" s="1204"/>
      <c r="AH35" s="1204"/>
      <c r="AI35" s="1204"/>
      <c r="AJ35" s="1204"/>
      <c r="AK35" s="1204"/>
      <c r="AL35" s="1204"/>
      <c r="AM35" s="1204"/>
      <c r="AN35" s="1204"/>
      <c r="AO35" s="1204"/>
      <c r="AP35" s="1204"/>
      <c r="AQ35" s="1204"/>
      <c r="AY35" s="539">
        <v>14</v>
      </c>
    </row>
    <row r="36" spans="1:51" ht="14.65" customHeight="1">
      <c r="Q36" s="757"/>
      <c r="R36" s="757"/>
      <c r="S36" s="1070" t="s">
        <v>308</v>
      </c>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P36" s="1070"/>
      <c r="AQ36" s="1070"/>
      <c r="AR36" s="1070"/>
      <c r="AS36" s="1070" t="s">
        <v>309</v>
      </c>
      <c r="AY36" s="539">
        <v>14</v>
      </c>
    </row>
    <row r="37" spans="1:51" ht="14.65" customHeight="1">
      <c r="Q37" s="757"/>
      <c r="R37" s="757"/>
      <c r="S37" s="1205" t="s">
        <v>87</v>
      </c>
      <c r="T37" s="1155" t="s">
        <v>436</v>
      </c>
      <c r="U37" s="818"/>
      <c r="V37" s="1206" t="s">
        <v>437</v>
      </c>
      <c r="W37" s="1222"/>
      <c r="X37" s="1222"/>
      <c r="Y37" s="1222"/>
      <c r="Z37" s="1222"/>
      <c r="AA37" s="1222"/>
      <c r="AB37" s="1222"/>
      <c r="AC37" s="1207"/>
      <c r="AD37" s="1207"/>
      <c r="AE37" s="1208"/>
      <c r="AF37" s="1209" t="s">
        <v>438</v>
      </c>
      <c r="AG37" s="1206" t="s">
        <v>437</v>
      </c>
      <c r="AH37" s="1207"/>
      <c r="AI37" s="1207"/>
      <c r="AJ37" s="1207"/>
      <c r="AK37" s="1207"/>
      <c r="AL37" s="1207"/>
      <c r="AM37" s="1207"/>
      <c r="AN37" s="1207"/>
      <c r="AO37" s="1207"/>
      <c r="AP37" s="1208"/>
      <c r="AQ37" s="1209" t="s">
        <v>439</v>
      </c>
      <c r="AR37" s="1212" t="s">
        <v>440</v>
      </c>
      <c r="AS37" s="1070"/>
      <c r="AY37" s="539">
        <v>14</v>
      </c>
    </row>
    <row r="38" spans="1:51" ht="19.899999999999999" customHeight="1">
      <c r="Q38" s="757"/>
      <c r="R38" s="757"/>
      <c r="S38" s="1205"/>
      <c r="T38" s="1155"/>
      <c r="U38" s="823"/>
      <c r="V38" s="1070" t="s">
        <v>540</v>
      </c>
      <c r="W38" s="1151" t="s">
        <v>541</v>
      </c>
      <c r="X38" s="1151"/>
      <c r="Y38" s="1151"/>
      <c r="Z38" s="1151" t="s">
        <v>542</v>
      </c>
      <c r="AA38" s="1151"/>
      <c r="AB38" s="1151"/>
      <c r="AC38" s="1129" t="s">
        <v>444</v>
      </c>
      <c r="AD38" s="1234"/>
      <c r="AE38" s="1130"/>
      <c r="AF38" s="1210"/>
      <c r="AG38" s="1070" t="s">
        <v>540</v>
      </c>
      <c r="AH38" s="1151" t="s">
        <v>541</v>
      </c>
      <c r="AI38" s="1151"/>
      <c r="AJ38" s="1151"/>
      <c r="AK38" s="1151" t="s">
        <v>542</v>
      </c>
      <c r="AL38" s="1151"/>
      <c r="AM38" s="1151"/>
      <c r="AN38" s="1129" t="s">
        <v>444</v>
      </c>
      <c r="AO38" s="1234"/>
      <c r="AP38" s="1130"/>
      <c r="AQ38" s="1210"/>
      <c r="AR38" s="1213"/>
      <c r="AS38" s="1070"/>
      <c r="AY38" s="539">
        <v>19</v>
      </c>
    </row>
    <row r="39" spans="1:51" ht="19.899999999999999" customHeight="1">
      <c r="Q39" s="757"/>
      <c r="R39" s="757"/>
      <c r="S39" s="1205"/>
      <c r="T39" s="1155"/>
      <c r="U39" s="823"/>
      <c r="V39" s="1070"/>
      <c r="W39" s="1151" t="s">
        <v>543</v>
      </c>
      <c r="X39" s="1151" t="s">
        <v>544</v>
      </c>
      <c r="Y39" s="1151"/>
      <c r="Z39" s="1151" t="s">
        <v>545</v>
      </c>
      <c r="AA39" s="1151" t="s">
        <v>544</v>
      </c>
      <c r="AB39" s="1151"/>
      <c r="AC39" s="1134"/>
      <c r="AD39" s="1235"/>
      <c r="AE39" s="1135"/>
      <c r="AF39" s="1210"/>
      <c r="AG39" s="1070"/>
      <c r="AH39" s="1151" t="s">
        <v>543</v>
      </c>
      <c r="AI39" s="1151" t="s">
        <v>544</v>
      </c>
      <c r="AJ39" s="1151"/>
      <c r="AK39" s="1151" t="s">
        <v>545</v>
      </c>
      <c r="AL39" s="1151" t="s">
        <v>544</v>
      </c>
      <c r="AM39" s="1151"/>
      <c r="AN39" s="1134"/>
      <c r="AO39" s="1235"/>
      <c r="AP39" s="1135"/>
      <c r="AQ39" s="1210"/>
      <c r="AR39" s="1213"/>
      <c r="AS39" s="1070"/>
      <c r="AY39" s="539">
        <v>19</v>
      </c>
    </row>
    <row r="40" spans="1:51" ht="61.9" customHeight="1">
      <c r="B40" s="599" t="s">
        <v>145</v>
      </c>
      <c r="C40" s="599" t="s">
        <v>146</v>
      </c>
      <c r="D40" s="599" t="s">
        <v>147</v>
      </c>
      <c r="E40" s="842" t="s">
        <v>445</v>
      </c>
      <c r="F40" s="842" t="s">
        <v>446</v>
      </c>
      <c r="G40" s="842" t="s">
        <v>447</v>
      </c>
      <c r="I40" s="842" t="s">
        <v>498</v>
      </c>
      <c r="J40" s="842" t="s">
        <v>450</v>
      </c>
      <c r="K40" s="842" t="s">
        <v>499</v>
      </c>
      <c r="L40" s="842" t="s">
        <v>426</v>
      </c>
      <c r="Q40" s="757"/>
      <c r="R40" s="757"/>
      <c r="S40" s="1205"/>
      <c r="T40" s="1155"/>
      <c r="U40" s="853"/>
      <c r="V40" s="1070"/>
      <c r="W40" s="1151"/>
      <c r="X40" s="92" t="s">
        <v>546</v>
      </c>
      <c r="Y40" s="92" t="s">
        <v>547</v>
      </c>
      <c r="Z40" s="1151"/>
      <c r="AA40" s="92" t="s">
        <v>548</v>
      </c>
      <c r="AB40" s="92" t="s">
        <v>549</v>
      </c>
      <c r="AC40" s="603" t="s">
        <v>454</v>
      </c>
      <c r="AD40" s="1160" t="s">
        <v>455</v>
      </c>
      <c r="AE40" s="1173"/>
      <c r="AF40" s="1211"/>
      <c r="AG40" s="1070"/>
      <c r="AH40" s="1151"/>
      <c r="AI40" s="92" t="s">
        <v>546</v>
      </c>
      <c r="AJ40" s="92" t="s">
        <v>547</v>
      </c>
      <c r="AK40" s="1151"/>
      <c r="AL40" s="92" t="s">
        <v>548</v>
      </c>
      <c r="AM40" s="92" t="s">
        <v>549</v>
      </c>
      <c r="AN40" s="603" t="s">
        <v>454</v>
      </c>
      <c r="AO40" s="1160" t="s">
        <v>455</v>
      </c>
      <c r="AP40" s="1173"/>
      <c r="AQ40" s="1211"/>
      <c r="AR40" s="1214"/>
      <c r="AS40" s="1070"/>
      <c r="AY40" s="539">
        <v>59</v>
      </c>
    </row>
    <row r="41" spans="1:51" ht="11.25" hidden="1" customHeight="1">
      <c r="Q41" s="854"/>
      <c r="R41" s="855">
        <v>1</v>
      </c>
      <c r="S41" s="330" t="s">
        <v>114</v>
      </c>
      <c r="T41" s="331" t="s">
        <v>102</v>
      </c>
      <c r="U41" s="856" t="str">
        <f ca="1">OFFSET(U41,0,-1)</f>
        <v>2</v>
      </c>
      <c r="V41" s="857">
        <f ca="1">OFFSET(V41,0,-1)+1</f>
        <v>3</v>
      </c>
      <c r="W41" s="681"/>
      <c r="X41" s="681"/>
      <c r="Y41" s="681"/>
      <c r="Z41" s="681"/>
      <c r="AA41" s="681"/>
      <c r="AB41" s="681"/>
      <c r="AC41" s="857">
        <f ca="1">OFFSET(AC41,0,-1)+1</f>
        <v>1</v>
      </c>
      <c r="AD41" s="1203">
        <f ca="1">OFFSET(AD41,0,-1)+1</f>
        <v>2</v>
      </c>
      <c r="AE41" s="1203"/>
      <c r="AF41" s="857">
        <f ca="1">OFFSET(AF41,0,-2)+1</f>
        <v>3</v>
      </c>
      <c r="AG41" s="857">
        <f ca="1">OFFSET(AG41,0,-1)+1</f>
        <v>4</v>
      </c>
      <c r="AH41" s="857"/>
      <c r="AI41" s="857"/>
      <c r="AJ41" s="857"/>
      <c r="AK41" s="857"/>
      <c r="AL41" s="857"/>
      <c r="AM41" s="857">
        <f ca="1">OFFSET(AM41,0,-1)+1</f>
        <v>1</v>
      </c>
      <c r="AN41" s="857">
        <f ca="1">OFFSET(AN41,0,-1)+1</f>
        <v>2</v>
      </c>
      <c r="AO41" s="1203">
        <f ca="1">OFFSET(AO41,0,-1)+1</f>
        <v>3</v>
      </c>
      <c r="AP41" s="1203"/>
      <c r="AQ41" s="857">
        <f ca="1">OFFSET(AQ41,0,-2)+1</f>
        <v>4</v>
      </c>
      <c r="AR41" s="856">
        <f ca="1">OFFSET(AR41,0,-1)</f>
        <v>4</v>
      </c>
      <c r="AS41" s="857">
        <f ca="1">OFFSET(AS41,0,-1)+1</f>
        <v>5</v>
      </c>
      <c r="AY41" s="682">
        <v>0</v>
      </c>
    </row>
    <row r="42" spans="1:51" ht="24" customHeight="1">
      <c r="A42" s="858" t="s">
        <v>259</v>
      </c>
      <c r="E42" s="1192">
        <v>1</v>
      </c>
      <c r="R42" s="311"/>
      <c r="S42" s="833">
        <f>INDEX(PT_DIFFERENTIATION_NUM_NTAR,MATCH(A42,PT_DIFFERENTIATION_NTAR_ID,0))</f>
        <v>0</v>
      </c>
      <c r="T42" s="796" t="s">
        <v>133</v>
      </c>
      <c r="U42" s="834"/>
      <c r="V42" s="1187"/>
      <c r="W42" s="1188"/>
      <c r="X42" s="1188"/>
      <c r="Y42" s="1188"/>
      <c r="Z42" s="1188"/>
      <c r="AA42" s="1188"/>
      <c r="AB42" s="1188"/>
      <c r="AC42" s="1188"/>
      <c r="AD42" s="1188"/>
      <c r="AE42" s="1188"/>
      <c r="AF42" s="1189"/>
      <c r="AG42" s="1187" t="str">
        <f>INDEX(PT_DIFFERENTIATION_NTAR,MATCH(A42,PT_DIFFERENTIATION_NTAR_ID,0))</f>
        <v/>
      </c>
      <c r="AH42" s="1188"/>
      <c r="AI42" s="1188"/>
      <c r="AJ42" s="1188"/>
      <c r="AK42" s="1188"/>
      <c r="AL42" s="1188"/>
      <c r="AM42" s="1188"/>
      <c r="AN42" s="1188"/>
      <c r="AO42" s="1188"/>
      <c r="AP42" s="1188"/>
      <c r="AQ42" s="1188"/>
      <c r="AR42" s="1189"/>
      <c r="AS4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V42" s="583" t="str">
        <f t="shared" ref="AV42:AV54" si="1">IF(T42="","",T42)</f>
        <v>Наименование тарифа</v>
      </c>
      <c r="AY42" s="539">
        <v>23</v>
      </c>
    </row>
    <row r="43" spans="1:51" ht="24" customHeight="1">
      <c r="A43" s="858" t="s">
        <v>259</v>
      </c>
      <c r="B43" s="858" t="s">
        <v>260</v>
      </c>
      <c r="E43" s="1193"/>
      <c r="F43" s="1192">
        <v>1</v>
      </c>
      <c r="Q43" s="837"/>
      <c r="R43" s="838"/>
      <c r="S43" s="833" t="str">
        <f>INDEX(PT_DIFFERENTIATION_NUM_TER,MATCH(B43,PT_DIFFERENTIATION_TER_ID,0))</f>
        <v>.</v>
      </c>
      <c r="T43" s="839" t="s">
        <v>405</v>
      </c>
      <c r="U43" s="834"/>
      <c r="V43" s="1187"/>
      <c r="W43" s="1188"/>
      <c r="X43" s="1188"/>
      <c r="Y43" s="1188"/>
      <c r="Z43" s="1188"/>
      <c r="AA43" s="1188"/>
      <c r="AB43" s="1188"/>
      <c r="AC43" s="1188"/>
      <c r="AD43" s="1188"/>
      <c r="AE43" s="1188"/>
      <c r="AF43" s="1189"/>
      <c r="AG43" s="1187" t="str">
        <f>INDEX(PT_DIFFERENTIATION_TER,MATCH(B43,PT_DIFFERENTIATION_TER_ID,0))</f>
        <v/>
      </c>
      <c r="AH43" s="1188"/>
      <c r="AI43" s="1188"/>
      <c r="AJ43" s="1188"/>
      <c r="AK43" s="1188"/>
      <c r="AL43" s="1188"/>
      <c r="AM43" s="1188"/>
      <c r="AN43" s="1188"/>
      <c r="AO43" s="1188"/>
      <c r="AP43" s="1188"/>
      <c r="AQ43" s="1188"/>
      <c r="AR43" s="1189"/>
      <c r="AS43" s="836" t="s">
        <v>406</v>
      </c>
      <c r="AV43" s="583" t="str">
        <f t="shared" si="1"/>
        <v>Территория действия тарифа</v>
      </c>
      <c r="AY43" s="539">
        <v>23</v>
      </c>
    </row>
    <row r="44" spans="1:51" ht="24" customHeight="1">
      <c r="A44" s="858" t="s">
        <v>259</v>
      </c>
      <c r="B44" s="858" t="s">
        <v>260</v>
      </c>
      <c r="C44" s="858" t="s">
        <v>261</v>
      </c>
      <c r="E44" s="1193"/>
      <c r="F44" s="1193"/>
      <c r="G44" s="1192">
        <v>1</v>
      </c>
      <c r="Q44" s="837"/>
      <c r="R44" s="838"/>
      <c r="S44" s="833" t="str">
        <f>INDEX(PT_DIFFERENTIATION_NUM_CS,MATCH(C44,PT_DIFFERENTIATION_CS_ID,0))</f>
        <v>..</v>
      </c>
      <c r="T44" s="840" t="s">
        <v>538</v>
      </c>
      <c r="U44" s="834"/>
      <c r="V44" s="1187"/>
      <c r="W44" s="1188"/>
      <c r="X44" s="1188"/>
      <c r="Y44" s="1188"/>
      <c r="Z44" s="1188"/>
      <c r="AA44" s="1188"/>
      <c r="AB44" s="1188"/>
      <c r="AC44" s="1188"/>
      <c r="AD44" s="1188"/>
      <c r="AE44" s="1188"/>
      <c r="AF44" s="1189"/>
      <c r="AG44" s="1187" t="str">
        <f>INDEX(PT_DIFFERENTIATION_CS,MATCH(C44,PT_DIFFERENTIATION_CS_ID,0))</f>
        <v/>
      </c>
      <c r="AH44" s="1188"/>
      <c r="AI44" s="1188"/>
      <c r="AJ44" s="1188"/>
      <c r="AK44" s="1188"/>
      <c r="AL44" s="1188"/>
      <c r="AM44" s="1188"/>
      <c r="AN44" s="1188"/>
      <c r="AO44" s="1188"/>
      <c r="AP44" s="1188"/>
      <c r="AQ44" s="1188"/>
      <c r="AR44" s="1189"/>
      <c r="AS44" s="836" t="s">
        <v>539</v>
      </c>
      <c r="AV44" s="583" t="str">
        <f t="shared" si="1"/>
        <v>Наименование централизованной системы горячего водоснабжения</v>
      </c>
      <c r="AY44" s="539">
        <v>23</v>
      </c>
    </row>
    <row r="45" spans="1:51" ht="24" customHeight="1">
      <c r="A45" s="858" t="s">
        <v>259</v>
      </c>
      <c r="B45" s="858" t="s">
        <v>260</v>
      </c>
      <c r="C45" s="858" t="s">
        <v>261</v>
      </c>
      <c r="D45" s="858" t="s">
        <v>550</v>
      </c>
      <c r="E45" s="1193"/>
      <c r="F45" s="1193"/>
      <c r="G45" s="1193"/>
      <c r="H45" s="1193"/>
      <c r="I45" s="1194" t="str">
        <f>S44&amp;".1"</f>
        <v>...1</v>
      </c>
      <c r="P45" s="1196">
        <v>1</v>
      </c>
      <c r="R45" s="843"/>
      <c r="S45" s="833" t="str">
        <f>$I45</f>
        <v>...1</v>
      </c>
      <c r="T45" s="844" t="s">
        <v>491</v>
      </c>
      <c r="U45" s="834"/>
      <c r="V45" s="1260"/>
      <c r="W45" s="1261"/>
      <c r="X45" s="1261"/>
      <c r="Y45" s="1261"/>
      <c r="Z45" s="1261"/>
      <c r="AA45" s="1261"/>
      <c r="AB45" s="1261"/>
      <c r="AC45" s="1261"/>
      <c r="AD45" s="1261"/>
      <c r="AE45" s="1261"/>
      <c r="AF45" s="1262"/>
      <c r="AG45" s="1263"/>
      <c r="AH45" s="1264"/>
      <c r="AI45" s="1264"/>
      <c r="AJ45" s="1264"/>
      <c r="AK45" s="1264"/>
      <c r="AL45" s="1264"/>
      <c r="AM45" s="1264"/>
      <c r="AN45" s="1264"/>
      <c r="AO45" s="1264"/>
      <c r="AP45" s="1264"/>
      <c r="AQ45" s="1264"/>
      <c r="AR45" s="1265"/>
      <c r="AS45" s="836" t="s">
        <v>492</v>
      </c>
      <c r="AV45" s="583" t="str">
        <f t="shared" si="1"/>
        <v>Наименование признака дифференциации</v>
      </c>
      <c r="AY45" s="539">
        <v>23</v>
      </c>
    </row>
    <row r="46" spans="1:51" ht="24" customHeight="1">
      <c r="A46" s="858" t="s">
        <v>259</v>
      </c>
      <c r="B46" s="858" t="s">
        <v>260</v>
      </c>
      <c r="C46" s="858" t="s">
        <v>261</v>
      </c>
      <c r="D46" s="858" t="s">
        <v>550</v>
      </c>
      <c r="E46" s="1193"/>
      <c r="F46" s="1193"/>
      <c r="G46" s="1193"/>
      <c r="H46" s="1193"/>
      <c r="I46" s="1195"/>
      <c r="J46" s="1194" t="str">
        <f>I45&amp;".1"</f>
        <v>...1.1</v>
      </c>
      <c r="L46" s="842" t="s">
        <v>414</v>
      </c>
      <c r="P46" s="1038"/>
      <c r="Q46" s="1196">
        <v>1</v>
      </c>
      <c r="R46" s="845"/>
      <c r="S46" s="833" t="str">
        <f>$J46</f>
        <v>...1.1</v>
      </c>
      <c r="T46" s="846" t="s">
        <v>415</v>
      </c>
      <c r="U46" s="834"/>
      <c r="V46" s="1181"/>
      <c r="W46" s="1182"/>
      <c r="X46" s="1182"/>
      <c r="Y46" s="1182"/>
      <c r="Z46" s="1182"/>
      <c r="AA46" s="1182"/>
      <c r="AB46" s="1182"/>
      <c r="AC46" s="1182"/>
      <c r="AD46" s="1182"/>
      <c r="AE46" s="1182"/>
      <c r="AF46" s="1183"/>
      <c r="AG46" s="1181"/>
      <c r="AH46" s="1182"/>
      <c r="AI46" s="1182"/>
      <c r="AJ46" s="1182"/>
      <c r="AK46" s="1182"/>
      <c r="AL46" s="1182"/>
      <c r="AM46" s="1182"/>
      <c r="AN46" s="1182"/>
      <c r="AO46" s="1182"/>
      <c r="AP46" s="1182"/>
      <c r="AQ46" s="1182"/>
      <c r="AR46" s="1183"/>
      <c r="AS46" s="875" t="s">
        <v>493</v>
      </c>
      <c r="AV46" s="583" t="str">
        <f t="shared" si="1"/>
        <v>Группа потребителей</v>
      </c>
      <c r="AY46" s="539">
        <v>23</v>
      </c>
    </row>
    <row r="47" spans="1:51" ht="24" customHeight="1">
      <c r="A47" s="858" t="s">
        <v>259</v>
      </c>
      <c r="B47" s="858" t="s">
        <v>260</v>
      </c>
      <c r="C47" s="858" t="s">
        <v>261</v>
      </c>
      <c r="D47" s="858" t="s">
        <v>550</v>
      </c>
      <c r="E47" s="1193"/>
      <c r="F47" s="1193"/>
      <c r="G47" s="1193"/>
      <c r="H47" s="1193"/>
      <c r="I47" s="1195"/>
      <c r="J47" s="1195"/>
      <c r="K47" s="1194" t="str">
        <f>J46&amp;".1"</f>
        <v>...1.1.1</v>
      </c>
      <c r="P47" s="1038"/>
      <c r="Q47" s="1038"/>
      <c r="R47" s="845">
        <v>1</v>
      </c>
      <c r="S47" s="833" t="str">
        <f>$K47</f>
        <v>...1.1.1</v>
      </c>
      <c r="T47" s="398"/>
      <c r="U47" s="834"/>
      <c r="V47" s="312"/>
      <c r="W47" s="312"/>
      <c r="X47" s="312"/>
      <c r="Y47" s="312"/>
      <c r="Z47" s="312"/>
      <c r="AA47" s="312"/>
      <c r="AB47" s="312"/>
      <c r="AC47" s="1191"/>
      <c r="AD47" s="1190" t="s">
        <v>61</v>
      </c>
      <c r="AE47" s="1191"/>
      <c r="AF47" s="1190" t="s">
        <v>61</v>
      </c>
      <c r="AG47" s="312"/>
      <c r="AH47" s="312"/>
      <c r="AI47" s="312"/>
      <c r="AJ47" s="312"/>
      <c r="AK47" s="312"/>
      <c r="AL47" s="312"/>
      <c r="AM47" s="312"/>
      <c r="AN47" s="1197"/>
      <c r="AO47" s="1079" t="s">
        <v>61</v>
      </c>
      <c r="AP47" s="1199"/>
      <c r="AQ47" s="1079" t="s">
        <v>19</v>
      </c>
      <c r="AR47" s="399"/>
      <c r="AS4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78" t="e">
        <f ca="1">STRCHECKDATE(V48:AR48)</f>
        <v>#NAME?</v>
      </c>
      <c r="AV47" s="583" t="str">
        <f t="shared" si="1"/>
        <v/>
      </c>
      <c r="AY47" s="539">
        <v>23</v>
      </c>
    </row>
    <row r="48" spans="1:51" ht="0" hidden="1" customHeight="1">
      <c r="A48" s="858" t="s">
        <v>259</v>
      </c>
      <c r="B48" s="858" t="s">
        <v>260</v>
      </c>
      <c r="C48" s="858" t="s">
        <v>261</v>
      </c>
      <c r="D48" s="858" t="s">
        <v>550</v>
      </c>
      <c r="E48" s="1193"/>
      <c r="F48" s="1193"/>
      <c r="G48" s="1193"/>
      <c r="H48" s="1193"/>
      <c r="I48" s="1195"/>
      <c r="J48" s="1195"/>
      <c r="K48" s="1194"/>
      <c r="P48" s="1038"/>
      <c r="Q48" s="1038"/>
      <c r="R48" s="845"/>
      <c r="S48" s="127"/>
      <c r="T48" s="834"/>
      <c r="U48" s="834"/>
      <c r="V48" s="276"/>
      <c r="W48" s="276"/>
      <c r="X48" s="276"/>
      <c r="Y48" s="276"/>
      <c r="Z48" s="276"/>
      <c r="AA48" s="276"/>
      <c r="AB48" s="276"/>
      <c r="AC48" s="1190"/>
      <c r="AD48" s="1190"/>
      <c r="AE48" s="1190"/>
      <c r="AF48" s="1190"/>
      <c r="AG48" s="313"/>
      <c r="AH48" s="313"/>
      <c r="AI48" s="313"/>
      <c r="AJ48" s="313"/>
      <c r="AK48" s="313"/>
      <c r="AL48" s="313"/>
      <c r="AM48" s="313"/>
      <c r="AN48" s="1198"/>
      <c r="AO48" s="1079"/>
      <c r="AP48" s="1200"/>
      <c r="AQ48" s="1079"/>
      <c r="AR48" s="388"/>
      <c r="AS48" s="1266"/>
      <c r="AV48" s="583" t="str">
        <f t="shared" si="1"/>
        <v/>
      </c>
      <c r="AY48" s="539">
        <v>0</v>
      </c>
    </row>
    <row r="49" spans="1:51" ht="21" customHeight="1">
      <c r="A49" s="858" t="s">
        <v>259</v>
      </c>
      <c r="B49" s="858" t="s">
        <v>260</v>
      </c>
      <c r="C49" s="858" t="s">
        <v>261</v>
      </c>
      <c r="D49" s="858" t="s">
        <v>550</v>
      </c>
      <c r="E49" s="1193"/>
      <c r="F49" s="1193"/>
      <c r="G49" s="1193"/>
      <c r="H49" s="1193"/>
      <c r="I49" s="1195"/>
      <c r="J49" s="1194"/>
      <c r="P49" s="1038"/>
      <c r="Q49" s="1038"/>
      <c r="R49" s="843"/>
      <c r="S49" s="316"/>
      <c r="T49" s="319" t="s">
        <v>494</v>
      </c>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836" t="s">
        <v>495</v>
      </c>
      <c r="AV49" s="583" t="str">
        <f t="shared" si="1"/>
        <v>Добавить значение признака дифференциации</v>
      </c>
      <c r="AY49" s="539">
        <v>20</v>
      </c>
    </row>
    <row r="50" spans="1:51" ht="21.95" customHeight="1">
      <c r="A50" s="858" t="s">
        <v>259</v>
      </c>
      <c r="B50" s="858" t="s">
        <v>260</v>
      </c>
      <c r="C50" s="858" t="s">
        <v>261</v>
      </c>
      <c r="D50" s="858" t="s">
        <v>550</v>
      </c>
      <c r="E50" s="1193"/>
      <c r="F50" s="1193"/>
      <c r="G50" s="1193"/>
      <c r="H50" s="1193"/>
      <c r="I50" s="1194"/>
      <c r="P50" s="1038"/>
      <c r="R50" s="843"/>
      <c r="S50" s="316"/>
      <c r="T50" s="322" t="s">
        <v>420</v>
      </c>
      <c r="U50" s="52"/>
      <c r="V50" s="52"/>
      <c r="W50" s="52"/>
      <c r="X50" s="52"/>
      <c r="Y50" s="52"/>
      <c r="Z50" s="52"/>
      <c r="AA50" s="52"/>
      <c r="AB50" s="52"/>
      <c r="AC50" s="52"/>
      <c r="AD50" s="52"/>
      <c r="AE50" s="52"/>
      <c r="AF50" s="320"/>
      <c r="AG50" s="52"/>
      <c r="AH50" s="52"/>
      <c r="AI50" s="52"/>
      <c r="AJ50" s="52"/>
      <c r="AK50" s="52"/>
      <c r="AL50" s="52"/>
      <c r="AM50" s="52"/>
      <c r="AN50" s="52"/>
      <c r="AO50" s="52"/>
      <c r="AP50" s="52"/>
      <c r="AQ50" s="320"/>
      <c r="AR50" s="52"/>
      <c r="AS50" s="400"/>
      <c r="AV50" s="583" t="str">
        <f t="shared" si="1"/>
        <v>Добавить группу потребителей</v>
      </c>
      <c r="AY50" s="539">
        <v>21</v>
      </c>
    </row>
    <row r="51" spans="1:51" ht="21.95" customHeight="1">
      <c r="A51" s="858" t="s">
        <v>259</v>
      </c>
      <c r="B51" s="858" t="s">
        <v>260</v>
      </c>
      <c r="C51" s="858" t="s">
        <v>261</v>
      </c>
      <c r="D51" s="858" t="s">
        <v>550</v>
      </c>
      <c r="E51" s="1193"/>
      <c r="F51" s="1193"/>
      <c r="G51" s="1193"/>
      <c r="H51" s="1192"/>
      <c r="R51" s="311"/>
      <c r="S51" s="316"/>
      <c r="T51" s="377" t="s">
        <v>496</v>
      </c>
      <c r="U51" s="52"/>
      <c r="V51" s="52"/>
      <c r="W51" s="52"/>
      <c r="X51" s="52"/>
      <c r="Y51" s="52"/>
      <c r="Z51" s="52"/>
      <c r="AA51" s="52"/>
      <c r="AB51" s="52"/>
      <c r="AC51" s="52"/>
      <c r="AD51" s="52"/>
      <c r="AE51" s="52"/>
      <c r="AF51" s="320"/>
      <c r="AG51" s="52"/>
      <c r="AH51" s="52"/>
      <c r="AI51" s="52"/>
      <c r="AJ51" s="52"/>
      <c r="AK51" s="52"/>
      <c r="AL51" s="52"/>
      <c r="AM51" s="52"/>
      <c r="AN51" s="52"/>
      <c r="AO51" s="52"/>
      <c r="AP51" s="52"/>
      <c r="AQ51" s="320"/>
      <c r="AR51" s="52"/>
      <c r="AS51" s="321"/>
      <c r="AV51" s="583" t="str">
        <f t="shared" si="1"/>
        <v>Добавить наименование признака дифференциации</v>
      </c>
      <c r="AY51" s="539">
        <v>21</v>
      </c>
    </row>
    <row r="52" spans="1:51" ht="0" hidden="1" customHeight="1">
      <c r="A52" s="575" t="s">
        <v>259</v>
      </c>
      <c r="B52" s="575" t="s">
        <v>260</v>
      </c>
      <c r="E52" s="1193"/>
      <c r="F52" s="1192"/>
      <c r="T52" s="327" t="s">
        <v>423</v>
      </c>
      <c r="AV52" s="583" t="str">
        <f t="shared" si="1"/>
        <v>Добавить централизованную систему для дифференциации</v>
      </c>
      <c r="AY52" s="578">
        <v>0</v>
      </c>
    </row>
    <row r="53" spans="1:51" ht="0" hidden="1" customHeight="1">
      <c r="A53" s="575" t="s">
        <v>259</v>
      </c>
      <c r="E53" s="1192"/>
      <c r="T53" s="327" t="s">
        <v>424</v>
      </c>
      <c r="AV53" s="583" t="str">
        <f t="shared" si="1"/>
        <v>Добавить территорию для дифференциации</v>
      </c>
      <c r="AY53" s="578">
        <v>0</v>
      </c>
    </row>
    <row r="54" spans="1:51" ht="0" hidden="1" customHeight="1">
      <c r="T54" s="327" t="s">
        <v>456</v>
      </c>
      <c r="AV54" s="583" t="str">
        <f t="shared" si="1"/>
        <v>Добавить наименование тарифа</v>
      </c>
      <c r="AY54" s="578">
        <v>0</v>
      </c>
    </row>
    <row r="55" spans="1:51" ht="11.45" customHeight="1">
      <c r="AY55" s="539">
        <v>11</v>
      </c>
    </row>
    <row r="56" spans="1:51" ht="14.65" customHeight="1">
      <c r="T56" s="1038"/>
      <c r="U56" s="1038"/>
      <c r="V56" s="1038"/>
      <c r="W56" s="1038"/>
      <c r="X56" s="1038"/>
      <c r="Y56" s="1038"/>
      <c r="Z56" s="1038"/>
      <c r="AA56" s="1038"/>
      <c r="AB56" s="1038"/>
      <c r="AC56" s="1038"/>
      <c r="AD56" s="1038"/>
      <c r="AE56" s="1038"/>
      <c r="AF56" s="1038"/>
      <c r="AG56" s="1038"/>
      <c r="AH56" s="1038"/>
      <c r="AI56" s="1038"/>
      <c r="AJ56" s="1038"/>
      <c r="AK56" s="1038"/>
      <c r="AL56" s="1038"/>
      <c r="AM56" s="1038"/>
      <c r="AN56" s="1038"/>
      <c r="AO56" s="1038"/>
      <c r="AP56" s="1038"/>
      <c r="AQ56" s="1038"/>
      <c r="AR56" s="1038"/>
      <c r="AS56" s="1038"/>
      <c r="AY56" s="539">
        <v>14</v>
      </c>
    </row>
    <row r="57" spans="1:51" ht="14.65" customHeight="1">
      <c r="AY57" s="539">
        <v>14</v>
      </c>
    </row>
    <row r="58" spans="1:51" ht="14.65" customHeight="1">
      <c r="T58" s="1038"/>
      <c r="U58" s="1038"/>
      <c r="V58" s="1038"/>
      <c r="W58" s="1038"/>
      <c r="X58" s="1038"/>
      <c r="Y58" s="1038"/>
      <c r="Z58" s="1038"/>
      <c r="AA58" s="1038"/>
      <c r="AB58" s="1038"/>
      <c r="AC58" s="1038"/>
      <c r="AD58" s="1038"/>
      <c r="AE58" s="1038"/>
      <c r="AF58" s="1038"/>
      <c r="AG58" s="1038"/>
      <c r="AH58" s="1038"/>
      <c r="AI58" s="1038"/>
      <c r="AJ58" s="1038"/>
      <c r="AK58" s="1038"/>
      <c r="AL58" s="1038"/>
      <c r="AM58" s="1038"/>
      <c r="AN58" s="1038"/>
      <c r="AO58" s="1038"/>
      <c r="AP58" s="1038"/>
      <c r="AQ58" s="1038"/>
      <c r="AR58" s="1038"/>
      <c r="AS58" s="1038"/>
      <c r="AY58" s="539">
        <v>14</v>
      </c>
    </row>
    <row r="59" spans="1:51" ht="22.5" hidden="1" customHeight="1">
      <c r="A59" s="556" t="s">
        <v>81</v>
      </c>
      <c r="B59" s="556">
        <v>0</v>
      </c>
      <c r="C59" s="556">
        <v>0</v>
      </c>
      <c r="D59" s="556">
        <v>0</v>
      </c>
      <c r="E59" s="556">
        <v>0</v>
      </c>
      <c r="F59" s="556">
        <v>0</v>
      </c>
      <c r="G59" s="556">
        <v>0</v>
      </c>
      <c r="H59" s="556">
        <v>0</v>
      </c>
      <c r="I59" s="556">
        <v>0</v>
      </c>
      <c r="J59" s="556">
        <v>0</v>
      </c>
      <c r="K59" s="556">
        <v>0</v>
      </c>
      <c r="L59" s="668">
        <v>0</v>
      </c>
      <c r="M59" s="12">
        <v>0</v>
      </c>
      <c r="N59" s="12">
        <v>0</v>
      </c>
      <c r="O59" s="12">
        <v>0</v>
      </c>
      <c r="P59" s="301">
        <v>3</v>
      </c>
      <c r="Q59" s="822">
        <v>3</v>
      </c>
      <c r="R59" s="822">
        <v>3</v>
      </c>
      <c r="S59" s="554">
        <v>12</v>
      </c>
      <c r="T59" s="539">
        <v>35</v>
      </c>
      <c r="U59" s="539">
        <v>0</v>
      </c>
      <c r="V59" s="539">
        <v>0</v>
      </c>
      <c r="W59" s="539">
        <v>0</v>
      </c>
      <c r="X59" s="539">
        <v>0</v>
      </c>
      <c r="Y59" s="539">
        <v>0</v>
      </c>
      <c r="Z59" s="539">
        <v>0</v>
      </c>
      <c r="AA59" s="539">
        <v>0</v>
      </c>
      <c r="AB59" s="539">
        <v>0</v>
      </c>
      <c r="AC59" s="539">
        <v>0</v>
      </c>
      <c r="AD59" s="539">
        <v>0</v>
      </c>
      <c r="AE59" s="539">
        <v>0</v>
      </c>
      <c r="AF59" s="539">
        <v>0</v>
      </c>
      <c r="AG59" s="539">
        <v>19</v>
      </c>
      <c r="AH59" s="539">
        <v>19</v>
      </c>
      <c r="AI59" s="539">
        <v>19</v>
      </c>
      <c r="AJ59" s="539">
        <v>19</v>
      </c>
      <c r="AK59" s="539">
        <v>19</v>
      </c>
      <c r="AL59" s="539">
        <v>19</v>
      </c>
      <c r="AM59" s="539">
        <v>19</v>
      </c>
      <c r="AN59" s="539">
        <v>11</v>
      </c>
      <c r="AO59" s="539">
        <v>3</v>
      </c>
      <c r="AP59" s="539">
        <v>11</v>
      </c>
      <c r="AQ59" s="539">
        <v>0</v>
      </c>
      <c r="AR59" s="539">
        <v>4</v>
      </c>
      <c r="AS59" s="539">
        <v>115</v>
      </c>
      <c r="AT59" s="578">
        <v>10</v>
      </c>
      <c r="AU59" s="578">
        <v>10</v>
      </c>
      <c r="AV59" s="578">
        <v>10</v>
      </c>
      <c r="AW59" s="578">
        <v>10</v>
      </c>
      <c r="AX59" s="578">
        <v>10</v>
      </c>
      <c r="AY59" s="539">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4.140625" style="1030" hidden="1" customWidth="1"/>
    <col min="10" max="10" width="9.85546875" style="1030" hidden="1" customWidth="1"/>
    <col min="11" max="11" width="14.7109375" style="1030" hidden="1" customWidth="1"/>
    <col min="12" max="12" width="19.140625" style="1030" hidden="1" customWidth="1"/>
    <col min="13" max="14" width="12.28515625" style="1030" hidden="1" customWidth="1"/>
    <col min="15" max="15" width="23.42578125" style="1030" hidden="1" customWidth="1"/>
    <col min="16" max="18" width="3" style="1030" customWidth="1"/>
    <col min="19" max="19" width="12" style="1030" customWidth="1"/>
    <col min="20" max="20" width="35" style="1030" customWidth="1"/>
    <col min="21" max="21" width="0.140625" style="1030" customWidth="1"/>
    <col min="22" max="28" width="19.7109375" style="1030" hidden="1" customWidth="1"/>
    <col min="29" max="29" width="11.7109375" style="1030" hidden="1" customWidth="1"/>
    <col min="30" max="30" width="3.7109375" style="1030" hidden="1" customWidth="1"/>
    <col min="31" max="31" width="11.7109375" style="1030" hidden="1" customWidth="1"/>
    <col min="32" max="32" width="8.5703125" style="1030" hidden="1" customWidth="1"/>
    <col min="33" max="33" width="19.7109375" style="1030" customWidth="1"/>
    <col min="34" max="39" width="19" style="1030" customWidth="1"/>
    <col min="40" max="40" width="11" style="1030" customWidth="1"/>
    <col min="41" max="41" width="3.7109375" style="1030" customWidth="1"/>
    <col min="42" max="42" width="11" style="1030" customWidth="1"/>
    <col min="43" max="43" width="8.5703125" style="1030" hidden="1" customWidth="1"/>
    <col min="44" max="44" width="4" style="1030" customWidth="1"/>
    <col min="45" max="45" width="115" style="1030" customWidth="1"/>
    <col min="46" max="50" width="10" style="1030" customWidth="1"/>
    <col min="51" max="51" width="10.5703125" style="1030" hidden="1"/>
  </cols>
  <sheetData>
    <row r="1" spans="5:51" ht="22.5" hidden="1" customHeight="1">
      <c r="AY1" s="539" t="s">
        <v>14</v>
      </c>
    </row>
    <row r="2" spans="5:51" ht="23.25" hidden="1" customHeight="1">
      <c r="E2" s="1192">
        <v>1</v>
      </c>
      <c r="R2" s="311"/>
      <c r="S2" s="833" t="e">
        <f>INDEX(PT_DIFFERENTIATION_NUM_NTAR,MATCH(A2,PT_DIFFERENTIATION_NTAR_ID,0))</f>
        <v>#N/A</v>
      </c>
      <c r="T2" s="796" t="s">
        <v>133</v>
      </c>
      <c r="U2" s="834"/>
      <c r="V2" s="1187"/>
      <c r="W2" s="1188"/>
      <c r="X2" s="1188"/>
      <c r="Y2" s="1188"/>
      <c r="Z2" s="1188"/>
      <c r="AA2" s="1188"/>
      <c r="AB2" s="1188"/>
      <c r="AC2" s="1188"/>
      <c r="AD2" s="1188"/>
      <c r="AE2" s="1188"/>
      <c r="AF2" s="1189"/>
      <c r="AG2" s="1187" t="e">
        <f>INDEX(PT_DIFFERENTIATION_NTAR,MATCH(A2,PT_DIFFERENTIATION_NTAR_ID,0))</f>
        <v>#N/A</v>
      </c>
      <c r="AH2" s="1188"/>
      <c r="AI2" s="1188"/>
      <c r="AJ2" s="1188"/>
      <c r="AK2" s="1188"/>
      <c r="AL2" s="1188"/>
      <c r="AM2" s="1188"/>
      <c r="AN2" s="1188"/>
      <c r="AO2" s="1188"/>
      <c r="AP2" s="1188"/>
      <c r="AQ2" s="1188"/>
      <c r="AR2" s="1189"/>
      <c r="AS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V2" s="583" t="str">
        <f t="shared" ref="AV2:AV13" si="0">IF(T2="","",T2)</f>
        <v>Наименование тарифа</v>
      </c>
      <c r="AY2" s="539">
        <v>0</v>
      </c>
    </row>
    <row r="3" spans="5:51" ht="23.25" hidden="1" customHeight="1">
      <c r="E3" s="1193"/>
      <c r="F3" s="1192">
        <v>1</v>
      </c>
      <c r="Q3" s="837"/>
      <c r="R3" s="838"/>
      <c r="S3" s="833" t="e">
        <f>INDEX(PT_DIFFERENTIATION_NUM_TER,MATCH(B3,PT_DIFFERENTIATION_TER_ID,0))</f>
        <v>#N/A</v>
      </c>
      <c r="T3" s="839" t="s">
        <v>405</v>
      </c>
      <c r="U3" s="834"/>
      <c r="V3" s="1187"/>
      <c r="W3" s="1188"/>
      <c r="X3" s="1188"/>
      <c r="Y3" s="1188"/>
      <c r="Z3" s="1188"/>
      <c r="AA3" s="1188"/>
      <c r="AB3" s="1188"/>
      <c r="AC3" s="1188"/>
      <c r="AD3" s="1188"/>
      <c r="AE3" s="1188"/>
      <c r="AF3" s="1189"/>
      <c r="AG3" s="1187" t="e">
        <f>INDEX(PT_DIFFERENTIATION_TER,MATCH(B3,PT_DIFFERENTIATION_TER_ID,0))</f>
        <v>#N/A</v>
      </c>
      <c r="AH3" s="1188"/>
      <c r="AI3" s="1188"/>
      <c r="AJ3" s="1188"/>
      <c r="AK3" s="1188"/>
      <c r="AL3" s="1188"/>
      <c r="AM3" s="1188"/>
      <c r="AN3" s="1188"/>
      <c r="AO3" s="1188"/>
      <c r="AP3" s="1188"/>
      <c r="AQ3" s="1188"/>
      <c r="AR3" s="1189"/>
      <c r="AS3" s="836" t="s">
        <v>406</v>
      </c>
      <c r="AV3" s="583" t="str">
        <f t="shared" si="0"/>
        <v>Территория действия тарифа</v>
      </c>
      <c r="AY3" s="539">
        <v>0</v>
      </c>
    </row>
    <row r="4" spans="5:51" ht="23.25" hidden="1" customHeight="1">
      <c r="E4" s="1193"/>
      <c r="F4" s="1193"/>
      <c r="G4" s="1192">
        <v>1</v>
      </c>
      <c r="Q4" s="837"/>
      <c r="R4" s="838"/>
      <c r="S4" s="833" t="e">
        <f>INDEX(PT_DIFFERENTIATION_NUM_CS,MATCH(C4,PT_DIFFERENTIATION_CS_ID,0))</f>
        <v>#N/A</v>
      </c>
      <c r="T4" s="840" t="s">
        <v>538</v>
      </c>
      <c r="U4" s="834"/>
      <c r="V4" s="1187"/>
      <c r="W4" s="1188"/>
      <c r="X4" s="1188"/>
      <c r="Y4" s="1188"/>
      <c r="Z4" s="1188"/>
      <c r="AA4" s="1188"/>
      <c r="AB4" s="1188"/>
      <c r="AC4" s="1188"/>
      <c r="AD4" s="1188"/>
      <c r="AE4" s="1188"/>
      <c r="AF4" s="1189"/>
      <c r="AG4" s="1187" t="e">
        <f>INDEX(PT_DIFFERENTIATION_CS,MATCH(C4,PT_DIFFERENTIATION_CS_ID,0))</f>
        <v>#N/A</v>
      </c>
      <c r="AH4" s="1188"/>
      <c r="AI4" s="1188"/>
      <c r="AJ4" s="1188"/>
      <c r="AK4" s="1188"/>
      <c r="AL4" s="1188"/>
      <c r="AM4" s="1188"/>
      <c r="AN4" s="1188"/>
      <c r="AO4" s="1188"/>
      <c r="AP4" s="1188"/>
      <c r="AQ4" s="1188"/>
      <c r="AR4" s="1189"/>
      <c r="AS4" s="836" t="s">
        <v>539</v>
      </c>
      <c r="AV4" s="583" t="str">
        <f t="shared" si="0"/>
        <v>Наименование централизованной системы горячего водоснабжения</v>
      </c>
      <c r="AY4" s="539">
        <v>0</v>
      </c>
    </row>
    <row r="5" spans="5:51" ht="23.25" hidden="1" customHeight="1">
      <c r="E5" s="1193"/>
      <c r="F5" s="1193"/>
      <c r="G5" s="1193"/>
      <c r="H5" s="1193"/>
      <c r="I5" s="1194" t="e">
        <f>S4&amp;".1"</f>
        <v>#N/A</v>
      </c>
      <c r="P5" s="1196">
        <v>1</v>
      </c>
      <c r="R5" s="843"/>
      <c r="S5" s="833" t="e">
        <f>$I5</f>
        <v>#N/A</v>
      </c>
      <c r="T5" s="844" t="s">
        <v>491</v>
      </c>
      <c r="U5" s="834"/>
      <c r="V5" s="1260"/>
      <c r="W5" s="1261"/>
      <c r="X5" s="1261"/>
      <c r="Y5" s="1261"/>
      <c r="Z5" s="1261"/>
      <c r="AA5" s="1261"/>
      <c r="AB5" s="1261"/>
      <c r="AC5" s="1261"/>
      <c r="AD5" s="1261"/>
      <c r="AE5" s="1261"/>
      <c r="AF5" s="1262"/>
      <c r="AG5" s="1263"/>
      <c r="AH5" s="1264"/>
      <c r="AI5" s="1264"/>
      <c r="AJ5" s="1264"/>
      <c r="AK5" s="1264"/>
      <c r="AL5" s="1264"/>
      <c r="AM5" s="1264"/>
      <c r="AN5" s="1264"/>
      <c r="AO5" s="1264"/>
      <c r="AP5" s="1264"/>
      <c r="AQ5" s="1264"/>
      <c r="AR5" s="1265"/>
      <c r="AS5" s="836" t="s">
        <v>492</v>
      </c>
      <c r="AV5" s="583" t="str">
        <f t="shared" si="0"/>
        <v>Наименование признака дифференциации</v>
      </c>
      <c r="AY5" s="539">
        <v>0</v>
      </c>
    </row>
    <row r="6" spans="5:51" ht="23.25" hidden="1" customHeight="1">
      <c r="E6" s="1193"/>
      <c r="F6" s="1193"/>
      <c r="G6" s="1193"/>
      <c r="H6" s="1193"/>
      <c r="I6" s="1195"/>
      <c r="J6" s="1194" t="e">
        <f>I5&amp;".1"</f>
        <v>#N/A</v>
      </c>
      <c r="L6" s="842" t="s">
        <v>414</v>
      </c>
      <c r="P6" s="1038"/>
      <c r="Q6" s="1196">
        <v>1</v>
      </c>
      <c r="R6" s="845"/>
      <c r="S6" s="833" t="e">
        <f>$J6</f>
        <v>#N/A</v>
      </c>
      <c r="T6" s="846" t="s">
        <v>415</v>
      </c>
      <c r="U6" s="834"/>
      <c r="V6" s="1181"/>
      <c r="W6" s="1182"/>
      <c r="X6" s="1182"/>
      <c r="Y6" s="1182"/>
      <c r="Z6" s="1182"/>
      <c r="AA6" s="1182"/>
      <c r="AB6" s="1182"/>
      <c r="AC6" s="1182"/>
      <c r="AD6" s="1182"/>
      <c r="AE6" s="1182"/>
      <c r="AF6" s="1183"/>
      <c r="AG6" s="1181"/>
      <c r="AH6" s="1182"/>
      <c r="AI6" s="1182"/>
      <c r="AJ6" s="1182"/>
      <c r="AK6" s="1182"/>
      <c r="AL6" s="1182"/>
      <c r="AM6" s="1182"/>
      <c r="AN6" s="1182"/>
      <c r="AO6" s="1182"/>
      <c r="AP6" s="1182"/>
      <c r="AQ6" s="1182"/>
      <c r="AR6" s="1183"/>
      <c r="AS6" s="875" t="s">
        <v>493</v>
      </c>
      <c r="AV6" s="583" t="str">
        <f t="shared" si="0"/>
        <v>Группа потребителей</v>
      </c>
      <c r="AY6" s="539">
        <v>0</v>
      </c>
    </row>
    <row r="7" spans="5:51" ht="23.25" hidden="1" customHeight="1">
      <c r="E7" s="1193"/>
      <c r="F7" s="1193"/>
      <c r="G7" s="1193"/>
      <c r="H7" s="1193"/>
      <c r="I7" s="1195"/>
      <c r="J7" s="1195"/>
      <c r="K7" s="1194" t="e">
        <f>J6&amp;".1"</f>
        <v>#N/A</v>
      </c>
      <c r="P7" s="1038"/>
      <c r="Q7" s="1038"/>
      <c r="R7" s="845">
        <v>1</v>
      </c>
      <c r="S7" s="833" t="e">
        <f>$K7</f>
        <v>#N/A</v>
      </c>
      <c r="T7" s="398"/>
      <c r="U7" s="834"/>
      <c r="V7" s="312"/>
      <c r="W7" s="312"/>
      <c r="X7" s="312"/>
      <c r="Y7" s="312"/>
      <c r="Z7" s="312"/>
      <c r="AA7" s="312"/>
      <c r="AB7" s="314"/>
      <c r="AC7" s="1197"/>
      <c r="AD7" s="1079" t="s">
        <v>61</v>
      </c>
      <c r="AE7" s="1197"/>
      <c r="AF7" s="1079" t="s">
        <v>61</v>
      </c>
      <c r="AG7" s="312"/>
      <c r="AH7" s="312"/>
      <c r="AI7" s="312"/>
      <c r="AJ7" s="312"/>
      <c r="AK7" s="312"/>
      <c r="AL7" s="312"/>
      <c r="AM7" s="314"/>
      <c r="AN7" s="1197"/>
      <c r="AO7" s="1079" t="s">
        <v>61</v>
      </c>
      <c r="AP7" s="1199"/>
      <c r="AQ7" s="1079" t="s">
        <v>61</v>
      </c>
      <c r="AR7" s="399"/>
      <c r="AS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78" t="e">
        <f ca="1">STRCHECKDATE(V8:AR8)</f>
        <v>#NAME?</v>
      </c>
      <c r="AV7" s="583" t="str">
        <f t="shared" si="0"/>
        <v/>
      </c>
      <c r="AY7" s="539">
        <v>0</v>
      </c>
    </row>
    <row r="8" spans="5:51" ht="14.25" hidden="1" customHeight="1">
      <c r="E8" s="1193"/>
      <c r="F8" s="1193"/>
      <c r="G8" s="1193"/>
      <c r="H8" s="1193"/>
      <c r="I8" s="1195"/>
      <c r="J8" s="1195"/>
      <c r="K8" s="1194"/>
      <c r="P8" s="1038"/>
      <c r="Q8" s="1038"/>
      <c r="R8" s="845"/>
      <c r="S8" s="127"/>
      <c r="T8" s="834"/>
      <c r="U8" s="834"/>
      <c r="V8" s="313"/>
      <c r="W8" s="313"/>
      <c r="X8" s="313"/>
      <c r="Y8" s="313"/>
      <c r="Z8" s="313"/>
      <c r="AA8" s="313"/>
      <c r="AB8" s="315" t="str">
        <f>AC7&amp;"-"&amp;AE7</f>
        <v>-</v>
      </c>
      <c r="AC8" s="1198"/>
      <c r="AD8" s="1079"/>
      <c r="AE8" s="1198"/>
      <c r="AF8" s="1079"/>
      <c r="AG8" s="313"/>
      <c r="AH8" s="313"/>
      <c r="AI8" s="313"/>
      <c r="AJ8" s="313"/>
      <c r="AK8" s="313"/>
      <c r="AL8" s="313"/>
      <c r="AM8" s="315" t="str">
        <f>AN7&amp;"-"&amp;AP7</f>
        <v>-</v>
      </c>
      <c r="AN8" s="1198"/>
      <c r="AO8" s="1079"/>
      <c r="AP8" s="1200"/>
      <c r="AQ8" s="1079"/>
      <c r="AR8" s="388"/>
      <c r="AS8" s="1266"/>
      <c r="AV8" s="583" t="str">
        <f t="shared" si="0"/>
        <v/>
      </c>
      <c r="AY8" s="539">
        <v>0</v>
      </c>
    </row>
    <row r="9" spans="5:51" ht="21" hidden="1" customHeight="1">
      <c r="E9" s="1193"/>
      <c r="F9" s="1193"/>
      <c r="G9" s="1193"/>
      <c r="H9" s="1193"/>
      <c r="I9" s="1195"/>
      <c r="J9" s="1194"/>
      <c r="P9" s="1038"/>
      <c r="Q9" s="1038"/>
      <c r="R9" s="843"/>
      <c r="S9" s="316"/>
      <c r="T9" s="319" t="s">
        <v>494</v>
      </c>
      <c r="U9" s="52"/>
      <c r="V9" s="52"/>
      <c r="W9" s="52"/>
      <c r="X9" s="52"/>
      <c r="Y9" s="52"/>
      <c r="Z9" s="52"/>
      <c r="AA9" s="52"/>
      <c r="AB9" s="52"/>
      <c r="AC9" s="52"/>
      <c r="AD9" s="52"/>
      <c r="AE9" s="52"/>
      <c r="AF9" s="52"/>
      <c r="AG9" s="52"/>
      <c r="AH9" s="52"/>
      <c r="AI9" s="52"/>
      <c r="AJ9" s="52"/>
      <c r="AK9" s="52"/>
      <c r="AL9" s="52"/>
      <c r="AM9" s="52"/>
      <c r="AN9" s="52"/>
      <c r="AO9" s="52"/>
      <c r="AP9" s="52"/>
      <c r="AQ9" s="52"/>
      <c r="AR9" s="52"/>
      <c r="AS9" s="836" t="s">
        <v>495</v>
      </c>
      <c r="AV9" s="583" t="str">
        <f t="shared" si="0"/>
        <v>Добавить значение признака дифференциации</v>
      </c>
      <c r="AY9" s="539">
        <v>0</v>
      </c>
    </row>
    <row r="10" spans="5:51" ht="21" hidden="1" customHeight="1">
      <c r="E10" s="1193"/>
      <c r="F10" s="1193"/>
      <c r="G10" s="1193"/>
      <c r="H10" s="1193"/>
      <c r="I10" s="1194"/>
      <c r="P10" s="1038"/>
      <c r="R10" s="843"/>
      <c r="S10" s="316"/>
      <c r="T10" s="322" t="s">
        <v>420</v>
      </c>
      <c r="U10" s="52"/>
      <c r="V10" s="52"/>
      <c r="W10" s="52"/>
      <c r="X10" s="52"/>
      <c r="Y10" s="52"/>
      <c r="Z10" s="52"/>
      <c r="AA10" s="52"/>
      <c r="AB10" s="52"/>
      <c r="AC10" s="52"/>
      <c r="AD10" s="52"/>
      <c r="AE10" s="52"/>
      <c r="AF10" s="320"/>
      <c r="AG10" s="52"/>
      <c r="AH10" s="52"/>
      <c r="AI10" s="52"/>
      <c r="AJ10" s="52"/>
      <c r="AK10" s="52"/>
      <c r="AL10" s="52"/>
      <c r="AM10" s="52"/>
      <c r="AN10" s="52"/>
      <c r="AO10" s="52"/>
      <c r="AP10" s="52"/>
      <c r="AQ10" s="320"/>
      <c r="AR10" s="52"/>
      <c r="AS10" s="400"/>
      <c r="AV10" s="583" t="str">
        <f t="shared" si="0"/>
        <v>Добавить группу потребителей</v>
      </c>
      <c r="AY10" s="539">
        <v>0</v>
      </c>
    </row>
    <row r="11" spans="5:51" ht="21" hidden="1" customHeight="1">
      <c r="E11" s="1193"/>
      <c r="F11" s="1193"/>
      <c r="G11" s="1193"/>
      <c r="H11" s="1192"/>
      <c r="R11" s="311"/>
      <c r="S11" s="316"/>
      <c r="T11" s="377" t="s">
        <v>496</v>
      </c>
      <c r="U11" s="52"/>
      <c r="V11" s="52"/>
      <c r="W11" s="52"/>
      <c r="X11" s="52"/>
      <c r="Y11" s="52"/>
      <c r="Z11" s="52"/>
      <c r="AA11" s="52"/>
      <c r="AB11" s="52"/>
      <c r="AC11" s="52"/>
      <c r="AD11" s="52"/>
      <c r="AE11" s="52"/>
      <c r="AF11" s="320"/>
      <c r="AG11" s="52"/>
      <c r="AH11" s="52"/>
      <c r="AI11" s="52"/>
      <c r="AJ11" s="52"/>
      <c r="AK11" s="52"/>
      <c r="AL11" s="52"/>
      <c r="AM11" s="52"/>
      <c r="AN11" s="52"/>
      <c r="AO11" s="52"/>
      <c r="AP11" s="52"/>
      <c r="AQ11" s="320"/>
      <c r="AR11" s="52"/>
      <c r="AS11" s="321"/>
      <c r="AV11" s="583" t="str">
        <f t="shared" si="0"/>
        <v>Добавить наименование признака дифференциации</v>
      </c>
      <c r="AY11" s="539">
        <v>0</v>
      </c>
    </row>
    <row r="12" spans="5:51" ht="14.25" hidden="1" customHeight="1">
      <c r="E12" s="1193"/>
      <c r="F12" s="1192"/>
      <c r="T12" s="327" t="s">
        <v>423</v>
      </c>
      <c r="AV12" s="583" t="str">
        <f t="shared" si="0"/>
        <v>Добавить централизованную систему для дифференциации</v>
      </c>
      <c r="AY12" s="578">
        <v>0</v>
      </c>
    </row>
    <row r="13" spans="5:51" ht="14.25" hidden="1" customHeight="1">
      <c r="E13" s="1192"/>
      <c r="T13" s="327" t="s">
        <v>424</v>
      </c>
      <c r="AV13" s="583" t="str">
        <f t="shared" si="0"/>
        <v>Добавить территорию для дифференциации</v>
      </c>
      <c r="AY13" s="578">
        <v>0</v>
      </c>
    </row>
    <row r="14" spans="5:51" ht="14.25" hidden="1" customHeight="1">
      <c r="AY14" s="539">
        <v>0</v>
      </c>
    </row>
    <row r="15" spans="5:51" ht="14.25" hidden="1" customHeight="1">
      <c r="AG15" s="276"/>
      <c r="AH15" s="276"/>
      <c r="AI15" s="276"/>
      <c r="AJ15" s="276"/>
      <c r="AK15" s="276"/>
      <c r="AL15" s="276"/>
      <c r="AM15" s="328"/>
      <c r="AN15" s="1191"/>
      <c r="AO15" s="1190" t="s">
        <v>61</v>
      </c>
      <c r="AP15" s="1191"/>
      <c r="AQ15" s="1190" t="s">
        <v>61</v>
      </c>
      <c r="AY15" s="539">
        <v>0</v>
      </c>
    </row>
    <row r="16" spans="5:51" ht="14.25" hidden="1" customHeight="1">
      <c r="AG16" s="276"/>
      <c r="AH16" s="276"/>
      <c r="AI16" s="276"/>
      <c r="AJ16" s="276"/>
      <c r="AK16" s="276"/>
      <c r="AL16" s="276"/>
      <c r="AM16" s="315" t="str">
        <f>AN15&amp;"-"&amp;AP15</f>
        <v>-</v>
      </c>
      <c r="AN16" s="1190"/>
      <c r="AO16" s="1190"/>
      <c r="AP16" s="1190"/>
      <c r="AQ16" s="1190"/>
      <c r="AY16" s="539">
        <v>0</v>
      </c>
    </row>
    <row r="17" spans="15:51" ht="14.25" hidden="1" customHeight="1">
      <c r="AY17" s="539">
        <v>0</v>
      </c>
    </row>
    <row r="18" spans="15:51" ht="22.5" hidden="1" customHeight="1">
      <c r="O18" s="329" t="s">
        <v>425</v>
      </c>
      <c r="AC18" s="329"/>
      <c r="AE18" s="329"/>
      <c r="AN18" s="329"/>
      <c r="AP18" s="329"/>
      <c r="AY18" s="556">
        <v>0</v>
      </c>
    </row>
    <row r="19" spans="15:51" ht="14.25" hidden="1" customHeight="1">
      <c r="AY19" s="556">
        <v>0</v>
      </c>
    </row>
    <row r="20" spans="15:51" ht="12" hidden="1" customHeight="1">
      <c r="O20" s="842" t="s">
        <v>426</v>
      </c>
      <c r="T20" s="556" t="s">
        <v>427</v>
      </c>
      <c r="AD20" s="599" t="s">
        <v>428</v>
      </c>
      <c r="AF20" s="599" t="s">
        <v>429</v>
      </c>
      <c r="AG20" s="556" t="s">
        <v>427</v>
      </c>
      <c r="AO20" s="599" t="s">
        <v>430</v>
      </c>
      <c r="AQ20" s="599" t="s">
        <v>429</v>
      </c>
      <c r="AY20" s="556">
        <v>0</v>
      </c>
    </row>
    <row r="21" spans="15:51" ht="14.25" hidden="1" customHeight="1">
      <c r="AY21" s="539">
        <v>0</v>
      </c>
    </row>
    <row r="22" spans="15:51" ht="14.25" hidden="1" customHeight="1">
      <c r="AY22" s="539">
        <v>0</v>
      </c>
    </row>
    <row r="23" spans="15:51" ht="14.65" customHeight="1">
      <c r="Q23" s="757"/>
      <c r="R23" s="757"/>
      <c r="S23" s="848"/>
      <c r="T23" s="557"/>
      <c r="U23" s="557"/>
      <c r="AY23" s="539">
        <v>14</v>
      </c>
    </row>
    <row r="24" spans="15:51" ht="26.25" customHeight="1">
      <c r="Q24" s="757"/>
      <c r="R24" s="757"/>
      <c r="S24" s="1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Y24" s="539">
        <v>25</v>
      </c>
    </row>
    <row r="25" spans="15:51" ht="14.65" customHeight="1">
      <c r="Q25" s="757"/>
      <c r="R25" s="757"/>
      <c r="S25" s="1148" t="str">
        <f>IF(org=0,"Не определено",org)</f>
        <v>АО "НИЖЕГОРОДСКИЙ ВОДОКАНАЛ"</v>
      </c>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Y25" s="539">
        <v>14</v>
      </c>
    </row>
    <row r="26" spans="15:51" ht="14.25" hidden="1" customHeight="1">
      <c r="Q26" s="757"/>
      <c r="R26" s="757"/>
      <c r="S26" s="848"/>
      <c r="T26" s="557"/>
      <c r="U26" s="55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Y26" s="539">
        <v>0</v>
      </c>
    </row>
    <row r="27" spans="15:51" ht="25.5" hidden="1" customHeight="1">
      <c r="S27" s="1184" t="s">
        <v>41</v>
      </c>
      <c r="T27" s="1184"/>
      <c r="U27" s="850"/>
      <c r="V27" s="1186" t="str">
        <f>IF(TITLE_NAME_OR_PR_CHANGE="",IF(TITLE_NAME_OR_PR="","",TITLE_NAME_OR_PR),TITLE_NAME_OR_PR_CHANGE)</f>
        <v/>
      </c>
      <c r="W27" s="1186"/>
      <c r="X27" s="1186"/>
      <c r="Y27" s="1186"/>
      <c r="Z27" s="1186"/>
      <c r="AA27" s="1186"/>
      <c r="AB27" s="1186"/>
      <c r="AC27" s="1186"/>
      <c r="AD27" s="1186"/>
      <c r="AE27" s="1186"/>
      <c r="AG27" s="1186" t="str">
        <f>IF(TITLE_NAME_OR_PR_CHANGE="",IF(TITLE_NAME_OR_PR="","",TITLE_NAME_OR_PR),TITLE_NAME_OR_PR_CHANGE)</f>
        <v/>
      </c>
      <c r="AH27" s="1186"/>
      <c r="AI27" s="1186"/>
      <c r="AJ27" s="1186"/>
      <c r="AK27" s="1186"/>
      <c r="AL27" s="1186"/>
      <c r="AM27" s="1186"/>
      <c r="AN27" s="1186"/>
      <c r="AO27" s="1186"/>
      <c r="AP27" s="1186"/>
      <c r="AY27" s="593">
        <v>0</v>
      </c>
    </row>
    <row r="28" spans="15:51" ht="18.75" hidden="1" customHeight="1">
      <c r="S28" s="1184" t="s">
        <v>431</v>
      </c>
      <c r="T28" s="1184"/>
      <c r="U28" s="850"/>
      <c r="V28" s="1185" t="str">
        <f>IF(TITLE_DATE_PR_CHANGE="",IF(TITLE_DATE_PR="","",TITLE_DATE_PR),TITLE_DATE_PR_CHANGE)</f>
        <v/>
      </c>
      <c r="W28" s="1185"/>
      <c r="X28" s="1185"/>
      <c r="Y28" s="1185"/>
      <c r="Z28" s="1185"/>
      <c r="AA28" s="1185"/>
      <c r="AB28" s="1185"/>
      <c r="AC28" s="1185"/>
      <c r="AD28" s="1185"/>
      <c r="AE28" s="1185"/>
      <c r="AG28" s="1185" t="str">
        <f>IF(TITLE_DATE_PR_CHANGE="",IF(TITLE_DATE_PR="","",TITLE_DATE_PR),TITLE_DATE_PR_CHANGE)</f>
        <v/>
      </c>
      <c r="AH28" s="1185"/>
      <c r="AI28" s="1185"/>
      <c r="AJ28" s="1185"/>
      <c r="AK28" s="1185"/>
      <c r="AL28" s="1185"/>
      <c r="AM28" s="1185"/>
      <c r="AN28" s="1185"/>
      <c r="AO28" s="1185"/>
      <c r="AP28" s="1185"/>
      <c r="AY28" s="593">
        <v>0</v>
      </c>
    </row>
    <row r="29" spans="15:51" ht="18.75" hidden="1" customHeight="1">
      <c r="S29" s="1184" t="s">
        <v>432</v>
      </c>
      <c r="T29" s="1184"/>
      <c r="U29" s="850"/>
      <c r="V29" s="1186" t="str">
        <f>IF(TITLE_NUMBER_PR_CHANGE="",IF(TITLE_NUMBER_PR="","",TITLE_NUMBER_PR),TITLE_NUMBER_PR_CHANGE)</f>
        <v/>
      </c>
      <c r="W29" s="1186"/>
      <c r="X29" s="1186"/>
      <c r="Y29" s="1186"/>
      <c r="Z29" s="1186"/>
      <c r="AA29" s="1186"/>
      <c r="AB29" s="1186"/>
      <c r="AC29" s="1186"/>
      <c r="AD29" s="1186"/>
      <c r="AE29" s="1186"/>
      <c r="AG29" s="1186" t="str">
        <f>IF(TITLE_NUMBER_PR_CHANGE="",IF(TITLE_NUMBER_PR="","",TITLE_NUMBER_PR),TITLE_NUMBER_PR_CHANGE)</f>
        <v/>
      </c>
      <c r="AH29" s="1186"/>
      <c r="AI29" s="1186"/>
      <c r="AJ29" s="1186"/>
      <c r="AK29" s="1186"/>
      <c r="AL29" s="1186"/>
      <c r="AM29" s="1186"/>
      <c r="AN29" s="1186"/>
      <c r="AO29" s="1186"/>
      <c r="AP29" s="1186"/>
      <c r="AY29" s="593">
        <v>0</v>
      </c>
    </row>
    <row r="30" spans="15:51" ht="18.75" hidden="1" customHeight="1">
      <c r="S30" s="1184" t="s">
        <v>42</v>
      </c>
      <c r="T30" s="1184"/>
      <c r="U30" s="850"/>
      <c r="V30" s="1186" t="str">
        <f>IF(TITLE_IST_PUB_CHANGE="",IF(TITLE_IST_PUB="","",TITLE_IST_PUB),TITLE_IST_PUB_CHANGE)</f>
        <v/>
      </c>
      <c r="W30" s="1186"/>
      <c r="X30" s="1186"/>
      <c r="Y30" s="1186"/>
      <c r="Z30" s="1186"/>
      <c r="AA30" s="1186"/>
      <c r="AB30" s="1186"/>
      <c r="AC30" s="1186"/>
      <c r="AD30" s="1186"/>
      <c r="AE30" s="1186"/>
      <c r="AG30" s="1186" t="str">
        <f>IF(TITLE_IST_PUB_CHANGE="",IF(TITLE_IST_PUB="","",TITLE_IST_PUB),TITLE_IST_PUB_CHANGE)</f>
        <v/>
      </c>
      <c r="AH30" s="1186"/>
      <c r="AI30" s="1186"/>
      <c r="AJ30" s="1186"/>
      <c r="AK30" s="1186"/>
      <c r="AL30" s="1186"/>
      <c r="AM30" s="1186"/>
      <c r="AN30" s="1186"/>
      <c r="AO30" s="1186"/>
      <c r="AP30" s="1186"/>
      <c r="AY30" s="593">
        <v>0</v>
      </c>
    </row>
    <row r="31" spans="15:51" ht="14.25" hidden="1" customHeight="1">
      <c r="Q31" s="757"/>
      <c r="R31" s="757"/>
      <c r="S31" s="848"/>
      <c r="T31" s="557"/>
      <c r="U31" s="55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Y31" s="539">
        <v>0</v>
      </c>
    </row>
    <row r="32" spans="15:51" ht="18.75" hidden="1" customHeight="1">
      <c r="S32" s="1184" t="s">
        <v>433</v>
      </c>
      <c r="T32" s="1184"/>
      <c r="U32" s="850"/>
      <c r="V32" s="1185" t="str">
        <f>IF(TITLE_DATE_PR_CHANGE="",IF(TITLE_DATE_PR="","",TITLE_DATE_PR),TITLE_DATE_PR_CHANGE)</f>
        <v/>
      </c>
      <c r="W32" s="1185"/>
      <c r="X32" s="1185"/>
      <c r="Y32" s="1185"/>
      <c r="Z32" s="1185"/>
      <c r="AA32" s="1185"/>
      <c r="AB32" s="1185"/>
      <c r="AC32" s="1185"/>
      <c r="AD32" s="1185"/>
      <c r="AE32" s="1185"/>
      <c r="AG32" s="1185" t="str">
        <f>IF(TITLE_DATE_PR_CHANGE="",IF(TITLE_DATE_PR="","",TITLE_DATE_PR),TITLE_DATE_PR_CHANGE)</f>
        <v/>
      </c>
      <c r="AH32" s="1185"/>
      <c r="AI32" s="1185"/>
      <c r="AJ32" s="1185"/>
      <c r="AK32" s="1185"/>
      <c r="AL32" s="1185"/>
      <c r="AM32" s="1185"/>
      <c r="AN32" s="1185"/>
      <c r="AO32" s="1185"/>
      <c r="AP32" s="1185"/>
      <c r="AY32" s="593">
        <v>0</v>
      </c>
    </row>
    <row r="33" spans="1:51" ht="18.75" hidden="1" customHeight="1">
      <c r="S33" s="1184" t="s">
        <v>434</v>
      </c>
      <c r="T33" s="1184"/>
      <c r="U33" s="850"/>
      <c r="V33" s="1186" t="str">
        <f>IF(TITLE_NUMBER_PR_CHANGE="",IF(TITLE_NUMBER_PR="","",TITLE_NUMBER_PR),TITLE_NUMBER_PR_CHANGE)</f>
        <v/>
      </c>
      <c r="W33" s="1186"/>
      <c r="X33" s="1186"/>
      <c r="Y33" s="1186"/>
      <c r="Z33" s="1186"/>
      <c r="AA33" s="1186"/>
      <c r="AB33" s="1186"/>
      <c r="AC33" s="1186"/>
      <c r="AD33" s="1186"/>
      <c r="AE33" s="1186"/>
      <c r="AG33" s="1186" t="str">
        <f>IF(TITLE_NUMBER_PR_CHANGE="",IF(TITLE_NUMBER_PR="","",TITLE_NUMBER_PR),TITLE_NUMBER_PR_CHANGE)</f>
        <v/>
      </c>
      <c r="AH33" s="1186"/>
      <c r="AI33" s="1186"/>
      <c r="AJ33" s="1186"/>
      <c r="AK33" s="1186"/>
      <c r="AL33" s="1186"/>
      <c r="AM33" s="1186"/>
      <c r="AN33" s="1186"/>
      <c r="AO33" s="1186"/>
      <c r="AP33" s="1186"/>
      <c r="AY33" s="593">
        <v>0</v>
      </c>
    </row>
    <row r="34" spans="1:51" ht="1.1499999999999999" customHeight="1">
      <c r="AF34" s="578" t="s">
        <v>435</v>
      </c>
      <c r="AQ34" s="578" t="s">
        <v>435</v>
      </c>
      <c r="AY34" s="593">
        <v>1</v>
      </c>
    </row>
    <row r="35" spans="1:51" ht="14.65" customHeight="1">
      <c r="Q35" s="757"/>
      <c r="R35" s="757"/>
      <c r="S35" s="848"/>
      <c r="T35" s="557"/>
      <c r="U35" s="851"/>
      <c r="V35" s="1204"/>
      <c r="W35" s="1204"/>
      <c r="X35" s="1204"/>
      <c r="Y35" s="1204"/>
      <c r="Z35" s="1204"/>
      <c r="AA35" s="1204"/>
      <c r="AB35" s="1204"/>
      <c r="AC35" s="1204"/>
      <c r="AD35" s="1204"/>
      <c r="AE35" s="1204"/>
      <c r="AF35" s="1204"/>
      <c r="AG35" s="1204"/>
      <c r="AH35" s="1204"/>
      <c r="AI35" s="1204"/>
      <c r="AJ35" s="1204"/>
      <c r="AK35" s="1204"/>
      <c r="AL35" s="1204"/>
      <c r="AM35" s="1204"/>
      <c r="AN35" s="1204"/>
      <c r="AO35" s="1204"/>
      <c r="AP35" s="1204"/>
      <c r="AQ35" s="1204"/>
      <c r="AY35" s="539">
        <v>14</v>
      </c>
    </row>
    <row r="36" spans="1:51" ht="14.65" customHeight="1">
      <c r="Q36" s="757"/>
      <c r="R36" s="757"/>
      <c r="S36" s="1070" t="s">
        <v>308</v>
      </c>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P36" s="1070"/>
      <c r="AQ36" s="1070"/>
      <c r="AR36" s="1070"/>
      <c r="AS36" s="1070" t="s">
        <v>309</v>
      </c>
      <c r="AY36" s="539">
        <v>14</v>
      </c>
    </row>
    <row r="37" spans="1:51" ht="14.65" customHeight="1">
      <c r="Q37" s="757"/>
      <c r="R37" s="757"/>
      <c r="S37" s="1205" t="s">
        <v>87</v>
      </c>
      <c r="T37" s="1155" t="s">
        <v>436</v>
      </c>
      <c r="U37" s="818"/>
      <c r="V37" s="1206" t="s">
        <v>437</v>
      </c>
      <c r="W37" s="1207"/>
      <c r="X37" s="1207"/>
      <c r="Y37" s="1207"/>
      <c r="Z37" s="1207"/>
      <c r="AA37" s="1207"/>
      <c r="AB37" s="1207"/>
      <c r="AC37" s="1207"/>
      <c r="AD37" s="1207"/>
      <c r="AE37" s="1208"/>
      <c r="AF37" s="1209" t="s">
        <v>438</v>
      </c>
      <c r="AG37" s="1206" t="s">
        <v>437</v>
      </c>
      <c r="AH37" s="1207"/>
      <c r="AI37" s="1207"/>
      <c r="AJ37" s="1207"/>
      <c r="AK37" s="1207"/>
      <c r="AL37" s="1207"/>
      <c r="AM37" s="1207"/>
      <c r="AN37" s="1207"/>
      <c r="AO37" s="1207"/>
      <c r="AP37" s="1208"/>
      <c r="AQ37" s="1209" t="s">
        <v>439</v>
      </c>
      <c r="AR37" s="1212" t="s">
        <v>440</v>
      </c>
      <c r="AS37" s="1070"/>
      <c r="AY37" s="539">
        <v>14</v>
      </c>
    </row>
    <row r="38" spans="1:51" ht="19.899999999999999" customHeight="1">
      <c r="Q38" s="757"/>
      <c r="R38" s="757"/>
      <c r="S38" s="1205"/>
      <c r="T38" s="1155"/>
      <c r="U38" s="823"/>
      <c r="V38" s="1070" t="s">
        <v>540</v>
      </c>
      <c r="W38" s="1151" t="s">
        <v>541</v>
      </c>
      <c r="X38" s="1151"/>
      <c r="Y38" s="1151"/>
      <c r="Z38" s="1151" t="s">
        <v>542</v>
      </c>
      <c r="AA38" s="1151"/>
      <c r="AB38" s="1151"/>
      <c r="AC38" s="1129" t="s">
        <v>444</v>
      </c>
      <c r="AD38" s="1234"/>
      <c r="AE38" s="1130"/>
      <c r="AF38" s="1210"/>
      <c r="AG38" s="1070" t="s">
        <v>540</v>
      </c>
      <c r="AH38" s="1151" t="s">
        <v>541</v>
      </c>
      <c r="AI38" s="1151"/>
      <c r="AJ38" s="1151"/>
      <c r="AK38" s="1151" t="s">
        <v>542</v>
      </c>
      <c r="AL38" s="1151"/>
      <c r="AM38" s="1151"/>
      <c r="AN38" s="1129" t="s">
        <v>444</v>
      </c>
      <c r="AO38" s="1234"/>
      <c r="AP38" s="1130"/>
      <c r="AQ38" s="1210"/>
      <c r="AR38" s="1213"/>
      <c r="AS38" s="1070"/>
      <c r="AY38" s="539">
        <v>19</v>
      </c>
    </row>
    <row r="39" spans="1:51" ht="19.899999999999999" customHeight="1">
      <c r="Q39" s="757"/>
      <c r="R39" s="757"/>
      <c r="S39" s="1205"/>
      <c r="T39" s="1155"/>
      <c r="U39" s="823"/>
      <c r="V39" s="1070"/>
      <c r="W39" s="1151" t="s">
        <v>543</v>
      </c>
      <c r="X39" s="1151" t="s">
        <v>544</v>
      </c>
      <c r="Y39" s="1151"/>
      <c r="Z39" s="1151" t="s">
        <v>545</v>
      </c>
      <c r="AA39" s="1151" t="s">
        <v>544</v>
      </c>
      <c r="AB39" s="1151"/>
      <c r="AC39" s="1134"/>
      <c r="AD39" s="1235"/>
      <c r="AE39" s="1135"/>
      <c r="AF39" s="1210"/>
      <c r="AG39" s="1070"/>
      <c r="AH39" s="1151" t="s">
        <v>543</v>
      </c>
      <c r="AI39" s="1151" t="s">
        <v>544</v>
      </c>
      <c r="AJ39" s="1151"/>
      <c r="AK39" s="1151" t="s">
        <v>545</v>
      </c>
      <c r="AL39" s="1151" t="s">
        <v>544</v>
      </c>
      <c r="AM39" s="1151"/>
      <c r="AN39" s="1134"/>
      <c r="AO39" s="1235"/>
      <c r="AP39" s="1135"/>
      <c r="AQ39" s="1210"/>
      <c r="AR39" s="1213"/>
      <c r="AS39" s="1070"/>
      <c r="AY39" s="539">
        <v>19</v>
      </c>
    </row>
    <row r="40" spans="1:51" ht="61.9" customHeight="1">
      <c r="B40" s="599" t="s">
        <v>145</v>
      </c>
      <c r="C40" s="599" t="s">
        <v>146</v>
      </c>
      <c r="D40" s="599" t="s">
        <v>147</v>
      </c>
      <c r="E40" s="842" t="s">
        <v>445</v>
      </c>
      <c r="F40" s="842" t="s">
        <v>446</v>
      </c>
      <c r="G40" s="842" t="s">
        <v>447</v>
      </c>
      <c r="I40" s="842" t="s">
        <v>498</v>
      </c>
      <c r="J40" s="842" t="s">
        <v>450</v>
      </c>
      <c r="K40" s="842" t="s">
        <v>499</v>
      </c>
      <c r="L40" s="842" t="s">
        <v>426</v>
      </c>
      <c r="Q40" s="757"/>
      <c r="R40" s="757"/>
      <c r="S40" s="1205"/>
      <c r="T40" s="1155"/>
      <c r="U40" s="853"/>
      <c r="V40" s="1070"/>
      <c r="W40" s="1151"/>
      <c r="X40" s="92" t="s">
        <v>546</v>
      </c>
      <c r="Y40" s="92" t="s">
        <v>547</v>
      </c>
      <c r="Z40" s="1151"/>
      <c r="AA40" s="92" t="s">
        <v>548</v>
      </c>
      <c r="AB40" s="92" t="s">
        <v>549</v>
      </c>
      <c r="AC40" s="603" t="s">
        <v>454</v>
      </c>
      <c r="AD40" s="1160" t="s">
        <v>455</v>
      </c>
      <c r="AE40" s="1173"/>
      <c r="AF40" s="1211"/>
      <c r="AG40" s="1070"/>
      <c r="AH40" s="1151"/>
      <c r="AI40" s="92" t="s">
        <v>546</v>
      </c>
      <c r="AJ40" s="92" t="s">
        <v>547</v>
      </c>
      <c r="AK40" s="1151"/>
      <c r="AL40" s="92" t="s">
        <v>548</v>
      </c>
      <c r="AM40" s="92" t="s">
        <v>549</v>
      </c>
      <c r="AN40" s="603" t="s">
        <v>454</v>
      </c>
      <c r="AO40" s="1160" t="s">
        <v>455</v>
      </c>
      <c r="AP40" s="1173"/>
      <c r="AQ40" s="1211"/>
      <c r="AR40" s="1214"/>
      <c r="AS40" s="1070"/>
      <c r="AY40" s="539">
        <v>59</v>
      </c>
    </row>
    <row r="41" spans="1:51" ht="11.25" hidden="1" customHeight="1">
      <c r="Q41" s="854"/>
      <c r="R41" s="855">
        <v>1</v>
      </c>
      <c r="S41" s="330" t="s">
        <v>114</v>
      </c>
      <c r="T41" s="331" t="s">
        <v>102</v>
      </c>
      <c r="U41" s="856" t="str">
        <f ca="1">OFFSET(U41,0,-1)</f>
        <v>2</v>
      </c>
      <c r="V41" s="857">
        <f ca="1">OFFSET(V41,0,-1)+1</f>
        <v>3</v>
      </c>
      <c r="W41" s="857"/>
      <c r="X41" s="857"/>
      <c r="Y41" s="857"/>
      <c r="Z41" s="857"/>
      <c r="AA41" s="857"/>
      <c r="AB41" s="857">
        <f ca="1">OFFSET(AB41,0,-1)+1</f>
        <v>1</v>
      </c>
      <c r="AC41" s="857">
        <f ca="1">OFFSET(AC41,0,-1)+1</f>
        <v>2</v>
      </c>
      <c r="AD41" s="1203">
        <f ca="1">OFFSET(AD41,0,-1)+1</f>
        <v>3</v>
      </c>
      <c r="AE41" s="1203"/>
      <c r="AF41" s="857">
        <f ca="1">OFFSET(AF41,0,-2)+1</f>
        <v>4</v>
      </c>
      <c r="AG41" s="857">
        <f ca="1">OFFSET(AG41,0,-1)+1</f>
        <v>5</v>
      </c>
      <c r="AH41" s="857"/>
      <c r="AI41" s="857"/>
      <c r="AJ41" s="857"/>
      <c r="AK41" s="857"/>
      <c r="AL41" s="857"/>
      <c r="AM41" s="857">
        <f ca="1">OFFSET(AM41,0,-1)+1</f>
        <v>1</v>
      </c>
      <c r="AN41" s="857">
        <f ca="1">OFFSET(AN41,0,-1)+1</f>
        <v>2</v>
      </c>
      <c r="AO41" s="1203">
        <f ca="1">OFFSET(AO41,0,-1)+1</f>
        <v>3</v>
      </c>
      <c r="AP41" s="1203"/>
      <c r="AQ41" s="857">
        <f ca="1">OFFSET(AQ41,0,-2)+1</f>
        <v>4</v>
      </c>
      <c r="AR41" s="856">
        <f ca="1">OFFSET(AR41,0,-1)</f>
        <v>4</v>
      </c>
      <c r="AS41" s="857">
        <f ca="1">OFFSET(AS41,0,-1)+1</f>
        <v>5</v>
      </c>
      <c r="AY41" s="682">
        <v>0</v>
      </c>
    </row>
    <row r="42" spans="1:51" ht="24" customHeight="1">
      <c r="A42" s="858" t="s">
        <v>264</v>
      </c>
      <c r="E42" s="1192">
        <v>1</v>
      </c>
      <c r="R42" s="311"/>
      <c r="S42" s="833">
        <f>INDEX(PT_DIFFERENTIATION_NUM_NTAR,MATCH(A42,PT_DIFFERENTIATION_NTAR_ID,0))</f>
        <v>0</v>
      </c>
      <c r="T42" s="796" t="s">
        <v>133</v>
      </c>
      <c r="U42" s="834"/>
      <c r="V42" s="1187"/>
      <c r="W42" s="1188"/>
      <c r="X42" s="1188"/>
      <c r="Y42" s="1188"/>
      <c r="Z42" s="1188"/>
      <c r="AA42" s="1188"/>
      <c r="AB42" s="1188"/>
      <c r="AC42" s="1188"/>
      <c r="AD42" s="1188"/>
      <c r="AE42" s="1188"/>
      <c r="AF42" s="1189"/>
      <c r="AG42" s="1187" t="str">
        <f>INDEX(PT_DIFFERENTIATION_NTAR,MATCH(A42,PT_DIFFERENTIATION_NTAR_ID,0))</f>
        <v/>
      </c>
      <c r="AH42" s="1188"/>
      <c r="AI42" s="1188"/>
      <c r="AJ42" s="1188"/>
      <c r="AK42" s="1188"/>
      <c r="AL42" s="1188"/>
      <c r="AM42" s="1188"/>
      <c r="AN42" s="1188"/>
      <c r="AO42" s="1188"/>
      <c r="AP42" s="1188"/>
      <c r="AQ42" s="1188"/>
      <c r="AR42" s="1189"/>
      <c r="AS4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V42" s="583" t="str">
        <f t="shared" ref="AV42:AV54" si="1">IF(T42="","",T42)</f>
        <v>Наименование тарифа</v>
      </c>
      <c r="AY42" s="539">
        <v>23</v>
      </c>
    </row>
    <row r="43" spans="1:51" ht="24" customHeight="1">
      <c r="A43" s="858" t="s">
        <v>264</v>
      </c>
      <c r="B43" s="858" t="s">
        <v>265</v>
      </c>
      <c r="E43" s="1193"/>
      <c r="F43" s="1192">
        <v>1</v>
      </c>
      <c r="Q43" s="837"/>
      <c r="R43" s="838"/>
      <c r="S43" s="833" t="str">
        <f>INDEX(PT_DIFFERENTIATION_NUM_TER,MATCH(B43,PT_DIFFERENTIATION_TER_ID,0))</f>
        <v>.</v>
      </c>
      <c r="T43" s="839" t="s">
        <v>405</v>
      </c>
      <c r="U43" s="834"/>
      <c r="V43" s="1187"/>
      <c r="W43" s="1188"/>
      <c r="X43" s="1188"/>
      <c r="Y43" s="1188"/>
      <c r="Z43" s="1188"/>
      <c r="AA43" s="1188"/>
      <c r="AB43" s="1188"/>
      <c r="AC43" s="1188"/>
      <c r="AD43" s="1188"/>
      <c r="AE43" s="1188"/>
      <c r="AF43" s="1189"/>
      <c r="AG43" s="1187" t="str">
        <f>INDEX(PT_DIFFERENTIATION_TER,MATCH(B43,PT_DIFFERENTIATION_TER_ID,0))</f>
        <v/>
      </c>
      <c r="AH43" s="1188"/>
      <c r="AI43" s="1188"/>
      <c r="AJ43" s="1188"/>
      <c r="AK43" s="1188"/>
      <c r="AL43" s="1188"/>
      <c r="AM43" s="1188"/>
      <c r="AN43" s="1188"/>
      <c r="AO43" s="1188"/>
      <c r="AP43" s="1188"/>
      <c r="AQ43" s="1188"/>
      <c r="AR43" s="1189"/>
      <c r="AS43" s="836" t="s">
        <v>406</v>
      </c>
      <c r="AV43" s="583" t="str">
        <f t="shared" si="1"/>
        <v>Территория действия тарифа</v>
      </c>
      <c r="AY43" s="539">
        <v>23</v>
      </c>
    </row>
    <row r="44" spans="1:51" ht="24" customHeight="1">
      <c r="A44" s="858" t="s">
        <v>264</v>
      </c>
      <c r="B44" s="858" t="s">
        <v>265</v>
      </c>
      <c r="C44" s="858" t="s">
        <v>266</v>
      </c>
      <c r="E44" s="1193"/>
      <c r="F44" s="1193"/>
      <c r="G44" s="1192">
        <v>1</v>
      </c>
      <c r="Q44" s="837"/>
      <c r="R44" s="838"/>
      <c r="S44" s="833" t="str">
        <f>INDEX(PT_DIFFERENTIATION_NUM_CS,MATCH(C44,PT_DIFFERENTIATION_CS_ID,0))</f>
        <v>..</v>
      </c>
      <c r="T44" s="840" t="s">
        <v>538</v>
      </c>
      <c r="U44" s="834"/>
      <c r="V44" s="1187"/>
      <c r="W44" s="1188"/>
      <c r="X44" s="1188"/>
      <c r="Y44" s="1188"/>
      <c r="Z44" s="1188"/>
      <c r="AA44" s="1188"/>
      <c r="AB44" s="1188"/>
      <c r="AC44" s="1188"/>
      <c r="AD44" s="1188"/>
      <c r="AE44" s="1188"/>
      <c r="AF44" s="1189"/>
      <c r="AG44" s="1187" t="str">
        <f>INDEX(PT_DIFFERENTIATION_CS,MATCH(C44,PT_DIFFERENTIATION_CS_ID,0))</f>
        <v/>
      </c>
      <c r="AH44" s="1188"/>
      <c r="AI44" s="1188"/>
      <c r="AJ44" s="1188"/>
      <c r="AK44" s="1188"/>
      <c r="AL44" s="1188"/>
      <c r="AM44" s="1188"/>
      <c r="AN44" s="1188"/>
      <c r="AO44" s="1188"/>
      <c r="AP44" s="1188"/>
      <c r="AQ44" s="1188"/>
      <c r="AR44" s="1189"/>
      <c r="AS44" s="836" t="s">
        <v>539</v>
      </c>
      <c r="AV44" s="583" t="str">
        <f t="shared" si="1"/>
        <v>Наименование централизованной системы горячего водоснабжения</v>
      </c>
      <c r="AY44" s="539">
        <v>23</v>
      </c>
    </row>
    <row r="45" spans="1:51" ht="24" customHeight="1">
      <c r="A45" s="858" t="s">
        <v>264</v>
      </c>
      <c r="B45" s="858" t="s">
        <v>265</v>
      </c>
      <c r="C45" s="858" t="s">
        <v>266</v>
      </c>
      <c r="D45" s="858" t="s">
        <v>551</v>
      </c>
      <c r="E45" s="1193"/>
      <c r="F45" s="1193"/>
      <c r="G45" s="1193"/>
      <c r="H45" s="1193"/>
      <c r="I45" s="1194" t="str">
        <f>S44&amp;".1"</f>
        <v>...1</v>
      </c>
      <c r="P45" s="1196">
        <v>1</v>
      </c>
      <c r="R45" s="843"/>
      <c r="S45" s="833" t="str">
        <f>$I45</f>
        <v>...1</v>
      </c>
      <c r="T45" s="844" t="s">
        <v>491</v>
      </c>
      <c r="U45" s="834"/>
      <c r="V45" s="1260"/>
      <c r="W45" s="1261"/>
      <c r="X45" s="1261"/>
      <c r="Y45" s="1261"/>
      <c r="Z45" s="1261"/>
      <c r="AA45" s="1261"/>
      <c r="AB45" s="1261"/>
      <c r="AC45" s="1261"/>
      <c r="AD45" s="1261"/>
      <c r="AE45" s="1261"/>
      <c r="AF45" s="1262"/>
      <c r="AG45" s="1263"/>
      <c r="AH45" s="1264"/>
      <c r="AI45" s="1264"/>
      <c r="AJ45" s="1264"/>
      <c r="AK45" s="1264"/>
      <c r="AL45" s="1264"/>
      <c r="AM45" s="1264"/>
      <c r="AN45" s="1264"/>
      <c r="AO45" s="1264"/>
      <c r="AP45" s="1264"/>
      <c r="AQ45" s="1264"/>
      <c r="AR45" s="1265"/>
      <c r="AS45" s="836" t="s">
        <v>492</v>
      </c>
      <c r="AV45" s="583" t="str">
        <f t="shared" si="1"/>
        <v>Наименование признака дифференциации</v>
      </c>
      <c r="AY45" s="539">
        <v>23</v>
      </c>
    </row>
    <row r="46" spans="1:51" ht="24" customHeight="1">
      <c r="A46" s="858" t="s">
        <v>264</v>
      </c>
      <c r="B46" s="858" t="s">
        <v>265</v>
      </c>
      <c r="C46" s="858" t="s">
        <v>266</v>
      </c>
      <c r="D46" s="858" t="s">
        <v>551</v>
      </c>
      <c r="E46" s="1193"/>
      <c r="F46" s="1193"/>
      <c r="G46" s="1193"/>
      <c r="H46" s="1193"/>
      <c r="I46" s="1195"/>
      <c r="J46" s="1194" t="str">
        <f>I45&amp;".1"</f>
        <v>...1.1</v>
      </c>
      <c r="L46" s="842" t="s">
        <v>414</v>
      </c>
      <c r="P46" s="1038"/>
      <c r="Q46" s="1196">
        <v>1</v>
      </c>
      <c r="R46" s="845"/>
      <c r="S46" s="833" t="str">
        <f>$J46</f>
        <v>...1.1</v>
      </c>
      <c r="T46" s="846" t="s">
        <v>415</v>
      </c>
      <c r="U46" s="834"/>
      <c r="V46" s="1181"/>
      <c r="W46" s="1182"/>
      <c r="X46" s="1182"/>
      <c r="Y46" s="1182"/>
      <c r="Z46" s="1182"/>
      <c r="AA46" s="1182"/>
      <c r="AB46" s="1182"/>
      <c r="AC46" s="1182"/>
      <c r="AD46" s="1182"/>
      <c r="AE46" s="1182"/>
      <c r="AF46" s="1183"/>
      <c r="AG46" s="1181"/>
      <c r="AH46" s="1182"/>
      <c r="AI46" s="1182"/>
      <c r="AJ46" s="1182"/>
      <c r="AK46" s="1182"/>
      <c r="AL46" s="1182"/>
      <c r="AM46" s="1182"/>
      <c r="AN46" s="1182"/>
      <c r="AO46" s="1182"/>
      <c r="AP46" s="1182"/>
      <c r="AQ46" s="1182"/>
      <c r="AR46" s="1183"/>
      <c r="AS46" s="875" t="s">
        <v>493</v>
      </c>
      <c r="AV46" s="583" t="str">
        <f t="shared" si="1"/>
        <v>Группа потребителей</v>
      </c>
      <c r="AY46" s="539">
        <v>23</v>
      </c>
    </row>
    <row r="47" spans="1:51" ht="24" customHeight="1">
      <c r="A47" s="858" t="s">
        <v>264</v>
      </c>
      <c r="B47" s="858" t="s">
        <v>265</v>
      </c>
      <c r="C47" s="858" t="s">
        <v>266</v>
      </c>
      <c r="D47" s="858" t="s">
        <v>551</v>
      </c>
      <c r="E47" s="1193"/>
      <c r="F47" s="1193"/>
      <c r="G47" s="1193"/>
      <c r="H47" s="1193"/>
      <c r="I47" s="1195"/>
      <c r="J47" s="1195"/>
      <c r="K47" s="1194" t="str">
        <f>J46&amp;".1"</f>
        <v>...1.1.1</v>
      </c>
      <c r="P47" s="1038"/>
      <c r="Q47" s="1038"/>
      <c r="R47" s="845">
        <v>1</v>
      </c>
      <c r="S47" s="833" t="str">
        <f>$K47</f>
        <v>...1.1.1</v>
      </c>
      <c r="T47" s="398"/>
      <c r="U47" s="834"/>
      <c r="V47" s="276"/>
      <c r="W47" s="276"/>
      <c r="X47" s="276"/>
      <c r="Y47" s="276"/>
      <c r="Z47" s="276"/>
      <c r="AA47" s="276"/>
      <c r="AB47" s="328"/>
      <c r="AC47" s="1191"/>
      <c r="AD47" s="1190" t="s">
        <v>61</v>
      </c>
      <c r="AE47" s="1191"/>
      <c r="AF47" s="1190" t="s">
        <v>61</v>
      </c>
      <c r="AG47" s="312"/>
      <c r="AH47" s="312"/>
      <c r="AI47" s="312"/>
      <c r="AJ47" s="312"/>
      <c r="AK47" s="312"/>
      <c r="AL47" s="312"/>
      <c r="AM47" s="314"/>
      <c r="AN47" s="1197"/>
      <c r="AO47" s="1079" t="s">
        <v>61</v>
      </c>
      <c r="AP47" s="1199"/>
      <c r="AQ47" s="1079" t="s">
        <v>19</v>
      </c>
      <c r="AR47" s="399"/>
      <c r="AS47" s="1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78" t="e">
        <f ca="1">STRCHECKDATE(V48:AR48)</f>
        <v>#NAME?</v>
      </c>
      <c r="AV47" s="583" t="str">
        <f t="shared" si="1"/>
        <v/>
      </c>
      <c r="AY47" s="539">
        <v>23</v>
      </c>
    </row>
    <row r="48" spans="1:51" ht="0" hidden="1" customHeight="1">
      <c r="A48" s="858" t="s">
        <v>264</v>
      </c>
      <c r="B48" s="858" t="s">
        <v>265</v>
      </c>
      <c r="C48" s="858" t="s">
        <v>266</v>
      </c>
      <c r="D48" s="858" t="s">
        <v>551</v>
      </c>
      <c r="E48" s="1193"/>
      <c r="F48" s="1193"/>
      <c r="G48" s="1193"/>
      <c r="H48" s="1193"/>
      <c r="I48" s="1195"/>
      <c r="J48" s="1195"/>
      <c r="K48" s="1194"/>
      <c r="P48" s="1038"/>
      <c r="Q48" s="1038"/>
      <c r="R48" s="845"/>
      <c r="S48" s="127"/>
      <c r="T48" s="834"/>
      <c r="U48" s="834"/>
      <c r="V48" s="276"/>
      <c r="W48" s="276"/>
      <c r="X48" s="276"/>
      <c r="Y48" s="276"/>
      <c r="Z48" s="276"/>
      <c r="AA48" s="276"/>
      <c r="AB48" s="315" t="str">
        <f>AC47&amp;"-"&amp;AE47</f>
        <v>-</v>
      </c>
      <c r="AC48" s="1190"/>
      <c r="AD48" s="1190"/>
      <c r="AE48" s="1190"/>
      <c r="AF48" s="1190"/>
      <c r="AG48" s="313"/>
      <c r="AH48" s="313"/>
      <c r="AI48" s="313"/>
      <c r="AJ48" s="313"/>
      <c r="AK48" s="313"/>
      <c r="AL48" s="313"/>
      <c r="AM48" s="315" t="str">
        <f>AN47&amp;"-"&amp;AP47</f>
        <v>-</v>
      </c>
      <c r="AN48" s="1198"/>
      <c r="AO48" s="1079"/>
      <c r="AP48" s="1200"/>
      <c r="AQ48" s="1079"/>
      <c r="AR48" s="388"/>
      <c r="AS48" s="1266"/>
      <c r="AV48" s="583" t="str">
        <f t="shared" si="1"/>
        <v/>
      </c>
      <c r="AY48" s="539">
        <v>0</v>
      </c>
    </row>
    <row r="49" spans="1:51" ht="21" customHeight="1">
      <c r="A49" s="858" t="s">
        <v>264</v>
      </c>
      <c r="B49" s="858" t="s">
        <v>265</v>
      </c>
      <c r="C49" s="858" t="s">
        <v>266</v>
      </c>
      <c r="D49" s="858" t="s">
        <v>551</v>
      </c>
      <c r="E49" s="1193"/>
      <c r="F49" s="1193"/>
      <c r="G49" s="1193"/>
      <c r="H49" s="1193"/>
      <c r="I49" s="1195"/>
      <c r="J49" s="1194"/>
      <c r="P49" s="1038"/>
      <c r="Q49" s="1038"/>
      <c r="R49" s="843"/>
      <c r="S49" s="316"/>
      <c r="T49" s="319" t="s">
        <v>494</v>
      </c>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836" t="s">
        <v>495</v>
      </c>
      <c r="AV49" s="583" t="str">
        <f t="shared" si="1"/>
        <v>Добавить значение признака дифференциации</v>
      </c>
      <c r="AY49" s="539">
        <v>20</v>
      </c>
    </row>
    <row r="50" spans="1:51" ht="21.95" customHeight="1">
      <c r="A50" s="858" t="s">
        <v>264</v>
      </c>
      <c r="B50" s="858" t="s">
        <v>265</v>
      </c>
      <c r="C50" s="858" t="s">
        <v>266</v>
      </c>
      <c r="D50" s="858" t="s">
        <v>551</v>
      </c>
      <c r="E50" s="1193"/>
      <c r="F50" s="1193"/>
      <c r="G50" s="1193"/>
      <c r="H50" s="1193"/>
      <c r="I50" s="1194"/>
      <c r="P50" s="1038"/>
      <c r="R50" s="843"/>
      <c r="S50" s="316"/>
      <c r="T50" s="322" t="s">
        <v>420</v>
      </c>
      <c r="U50" s="52"/>
      <c r="V50" s="52"/>
      <c r="W50" s="52"/>
      <c r="X50" s="52"/>
      <c r="Y50" s="52"/>
      <c r="Z50" s="52"/>
      <c r="AA50" s="52"/>
      <c r="AB50" s="52"/>
      <c r="AC50" s="52"/>
      <c r="AD50" s="52"/>
      <c r="AE50" s="52"/>
      <c r="AF50" s="320"/>
      <c r="AG50" s="52"/>
      <c r="AH50" s="52"/>
      <c r="AI50" s="52"/>
      <c r="AJ50" s="52"/>
      <c r="AK50" s="52"/>
      <c r="AL50" s="52"/>
      <c r="AM50" s="52"/>
      <c r="AN50" s="52"/>
      <c r="AO50" s="52"/>
      <c r="AP50" s="52"/>
      <c r="AQ50" s="320"/>
      <c r="AR50" s="52"/>
      <c r="AS50" s="400"/>
      <c r="AV50" s="583" t="str">
        <f t="shared" si="1"/>
        <v>Добавить группу потребителей</v>
      </c>
      <c r="AY50" s="539">
        <v>21</v>
      </c>
    </row>
    <row r="51" spans="1:51" ht="21.95" customHeight="1">
      <c r="A51" s="858" t="s">
        <v>264</v>
      </c>
      <c r="B51" s="858" t="s">
        <v>265</v>
      </c>
      <c r="C51" s="858" t="s">
        <v>266</v>
      </c>
      <c r="D51" s="858" t="s">
        <v>551</v>
      </c>
      <c r="E51" s="1193"/>
      <c r="F51" s="1193"/>
      <c r="G51" s="1193"/>
      <c r="H51" s="1192"/>
      <c r="R51" s="311"/>
      <c r="S51" s="316"/>
      <c r="T51" s="377" t="s">
        <v>496</v>
      </c>
      <c r="U51" s="52"/>
      <c r="V51" s="52"/>
      <c r="W51" s="52"/>
      <c r="X51" s="52"/>
      <c r="Y51" s="52"/>
      <c r="Z51" s="52"/>
      <c r="AA51" s="52"/>
      <c r="AB51" s="52"/>
      <c r="AC51" s="52"/>
      <c r="AD51" s="52"/>
      <c r="AE51" s="52"/>
      <c r="AF51" s="320"/>
      <c r="AG51" s="52"/>
      <c r="AH51" s="52"/>
      <c r="AI51" s="52"/>
      <c r="AJ51" s="52"/>
      <c r="AK51" s="52"/>
      <c r="AL51" s="52"/>
      <c r="AM51" s="52"/>
      <c r="AN51" s="52"/>
      <c r="AO51" s="52"/>
      <c r="AP51" s="52"/>
      <c r="AQ51" s="320"/>
      <c r="AR51" s="52"/>
      <c r="AS51" s="321"/>
      <c r="AV51" s="583" t="str">
        <f t="shared" si="1"/>
        <v>Добавить наименование признака дифференциации</v>
      </c>
      <c r="AY51" s="539">
        <v>21</v>
      </c>
    </row>
    <row r="52" spans="1:51" ht="0" hidden="1" customHeight="1">
      <c r="A52" s="575" t="s">
        <v>264</v>
      </c>
      <c r="B52" s="575" t="s">
        <v>265</v>
      </c>
      <c r="E52" s="1193"/>
      <c r="F52" s="1192"/>
      <c r="T52" s="327" t="s">
        <v>423</v>
      </c>
      <c r="AV52" s="583" t="str">
        <f t="shared" si="1"/>
        <v>Добавить централизованную систему для дифференциации</v>
      </c>
      <c r="AY52" s="578">
        <v>0</v>
      </c>
    </row>
    <row r="53" spans="1:51" ht="0" hidden="1" customHeight="1">
      <c r="A53" s="575" t="s">
        <v>264</v>
      </c>
      <c r="E53" s="1192"/>
      <c r="T53" s="327" t="s">
        <v>424</v>
      </c>
      <c r="AV53" s="583" t="str">
        <f t="shared" si="1"/>
        <v>Добавить территорию для дифференциации</v>
      </c>
      <c r="AY53" s="578">
        <v>0</v>
      </c>
    </row>
    <row r="54" spans="1:51" ht="0" hidden="1" customHeight="1">
      <c r="T54" s="327" t="s">
        <v>456</v>
      </c>
      <c r="AV54" s="583" t="str">
        <f t="shared" si="1"/>
        <v>Добавить наименование тарифа</v>
      </c>
      <c r="AY54" s="578">
        <v>0</v>
      </c>
    </row>
    <row r="55" spans="1:51" ht="11.45" customHeight="1">
      <c r="AY55" s="539">
        <v>11</v>
      </c>
    </row>
    <row r="56" spans="1:51" ht="14.65" customHeight="1">
      <c r="T56" s="1038"/>
      <c r="U56" s="1038"/>
      <c r="V56" s="1038"/>
      <c r="W56" s="1038"/>
      <c r="X56" s="1038"/>
      <c r="Y56" s="1038"/>
      <c r="Z56" s="1038"/>
      <c r="AA56" s="1038"/>
      <c r="AB56" s="1038"/>
      <c r="AC56" s="1038"/>
      <c r="AD56" s="1038"/>
      <c r="AE56" s="1038"/>
      <c r="AF56" s="1038"/>
      <c r="AG56" s="1038"/>
      <c r="AH56" s="1038"/>
      <c r="AI56" s="1038"/>
      <c r="AJ56" s="1038"/>
      <c r="AK56" s="1038"/>
      <c r="AL56" s="1038"/>
      <c r="AM56" s="1038"/>
      <c r="AN56" s="1038"/>
      <c r="AO56" s="1038"/>
      <c r="AP56" s="1038"/>
      <c r="AQ56" s="1038"/>
      <c r="AR56" s="1038"/>
      <c r="AS56" s="1038"/>
      <c r="AY56" s="539">
        <v>14</v>
      </c>
    </row>
    <row r="57" spans="1:51" ht="14.65" customHeight="1">
      <c r="AY57" s="539">
        <v>14</v>
      </c>
    </row>
    <row r="58" spans="1:51" ht="14.65" customHeight="1">
      <c r="T58" s="1038"/>
      <c r="U58" s="1038"/>
      <c r="V58" s="1038"/>
      <c r="W58" s="1038"/>
      <c r="X58" s="1038"/>
      <c r="Y58" s="1038"/>
      <c r="Z58" s="1038"/>
      <c r="AA58" s="1038"/>
      <c r="AB58" s="1038"/>
      <c r="AC58" s="1038"/>
      <c r="AD58" s="1038"/>
      <c r="AE58" s="1038"/>
      <c r="AF58" s="1038"/>
      <c r="AG58" s="1038"/>
      <c r="AH58" s="1038"/>
      <c r="AI58" s="1038"/>
      <c r="AJ58" s="1038"/>
      <c r="AK58" s="1038"/>
      <c r="AL58" s="1038"/>
      <c r="AM58" s="1038"/>
      <c r="AN58" s="1038"/>
      <c r="AO58" s="1038"/>
      <c r="AP58" s="1038"/>
      <c r="AQ58" s="1038"/>
      <c r="AR58" s="1038"/>
      <c r="AS58" s="1038"/>
      <c r="AY58" s="539">
        <v>14</v>
      </c>
    </row>
    <row r="59" spans="1:51" ht="22.5" hidden="1" customHeight="1">
      <c r="A59" s="556" t="s">
        <v>81</v>
      </c>
      <c r="B59" s="556">
        <v>0</v>
      </c>
      <c r="C59" s="556">
        <v>0</v>
      </c>
      <c r="D59" s="556">
        <v>0</v>
      </c>
      <c r="E59" s="556">
        <v>0</v>
      </c>
      <c r="F59" s="556">
        <v>0</v>
      </c>
      <c r="G59" s="556">
        <v>0</v>
      </c>
      <c r="H59" s="556">
        <v>0</v>
      </c>
      <c r="I59" s="556">
        <v>0</v>
      </c>
      <c r="J59" s="556">
        <v>0</v>
      </c>
      <c r="K59" s="556">
        <v>0</v>
      </c>
      <c r="L59" s="668">
        <v>0</v>
      </c>
      <c r="M59" s="12">
        <v>0</v>
      </c>
      <c r="N59" s="12">
        <v>0</v>
      </c>
      <c r="O59" s="12">
        <v>0</v>
      </c>
      <c r="P59" s="301">
        <v>3</v>
      </c>
      <c r="Q59" s="822">
        <v>3</v>
      </c>
      <c r="R59" s="822">
        <v>3</v>
      </c>
      <c r="S59" s="554">
        <v>12</v>
      </c>
      <c r="T59" s="539">
        <v>35</v>
      </c>
      <c r="U59" s="539">
        <v>0</v>
      </c>
      <c r="V59" s="539">
        <v>0</v>
      </c>
      <c r="W59" s="539">
        <v>0</v>
      </c>
      <c r="X59" s="539">
        <v>0</v>
      </c>
      <c r="Y59" s="539">
        <v>0</v>
      </c>
      <c r="Z59" s="539">
        <v>0</v>
      </c>
      <c r="AA59" s="539">
        <v>0</v>
      </c>
      <c r="AB59" s="539">
        <v>0</v>
      </c>
      <c r="AC59" s="539">
        <v>0</v>
      </c>
      <c r="AD59" s="539">
        <v>0</v>
      </c>
      <c r="AE59" s="539">
        <v>0</v>
      </c>
      <c r="AF59" s="539">
        <v>0</v>
      </c>
      <c r="AG59" s="539">
        <v>19</v>
      </c>
      <c r="AH59" s="539">
        <v>19</v>
      </c>
      <c r="AI59" s="539">
        <v>19</v>
      </c>
      <c r="AJ59" s="539">
        <v>19</v>
      </c>
      <c r="AK59" s="539">
        <v>19</v>
      </c>
      <c r="AL59" s="539">
        <v>19</v>
      </c>
      <c r="AM59" s="539">
        <v>19</v>
      </c>
      <c r="AN59" s="539">
        <v>11</v>
      </c>
      <c r="AO59" s="539">
        <v>3</v>
      </c>
      <c r="AP59" s="539">
        <v>11</v>
      </c>
      <c r="AQ59" s="539">
        <v>0</v>
      </c>
      <c r="AR59" s="539">
        <v>4</v>
      </c>
      <c r="AS59" s="539">
        <v>115</v>
      </c>
      <c r="AT59" s="578">
        <v>10</v>
      </c>
      <c r="AU59" s="578">
        <v>10</v>
      </c>
      <c r="AV59" s="578">
        <v>10</v>
      </c>
      <c r="AW59" s="578">
        <v>10</v>
      </c>
      <c r="AX59" s="578">
        <v>10</v>
      </c>
      <c r="AY59" s="539">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030" hidden="1" customWidth="1"/>
    <col min="2" max="2" width="11" style="1030" hidden="1" customWidth="1"/>
    <col min="3" max="3" width="10.5703125" style="1030" hidden="1"/>
    <col min="4" max="4" width="12.85546875" style="1030" hidden="1" customWidth="1"/>
    <col min="5" max="5" width="10" style="1030" hidden="1" customWidth="1"/>
    <col min="6" max="6" width="8.7109375" style="1030" hidden="1" customWidth="1"/>
    <col min="7" max="7" width="7.5703125" style="1030" hidden="1" customWidth="1"/>
    <col min="8" max="8" width="11.42578125" style="1030" hidden="1" customWidth="1"/>
    <col min="9" max="9" width="12" style="1030" hidden="1" customWidth="1"/>
    <col min="10" max="10" width="9.85546875" style="1030" hidden="1" customWidth="1"/>
    <col min="11" max="11" width="11.42578125" style="1030" hidden="1" customWidth="1"/>
    <col min="12" max="12" width="19.140625" style="1030" hidden="1" customWidth="1"/>
    <col min="13" max="14" width="12.28515625" style="1030" hidden="1" customWidth="1"/>
    <col min="15" max="15" width="23.42578125" style="1030" hidden="1" customWidth="1"/>
    <col min="16" max="17" width="3.7109375" style="1030" hidden="1" customWidth="1"/>
    <col min="18" max="18" width="3" style="1030" customWidth="1"/>
    <col min="19" max="19" width="12" style="1030" customWidth="1"/>
    <col min="20" max="20" width="31" style="1030" customWidth="1"/>
    <col min="21" max="21" width="0.140625" style="1030" customWidth="1"/>
    <col min="22" max="25" width="21.7109375" style="1030" hidden="1" customWidth="1"/>
    <col min="26" max="26" width="11.7109375" style="1030" hidden="1" customWidth="1"/>
    <col min="27" max="27" width="3.7109375" style="1030" hidden="1" customWidth="1"/>
    <col min="28" max="28" width="11.7109375" style="1030" hidden="1" customWidth="1"/>
    <col min="29" max="29" width="8.5703125" style="1030" hidden="1" customWidth="1"/>
    <col min="30" max="30" width="3.7109375" style="1030" customWidth="1"/>
    <col min="31" max="32" width="3" style="1030" customWidth="1"/>
    <col min="33" max="33" width="24" style="1030" customWidth="1"/>
    <col min="34" max="34" width="3.7109375" style="1030" customWidth="1"/>
    <col min="35" max="36" width="3" style="1030" customWidth="1"/>
    <col min="37" max="37" width="24" style="1030" customWidth="1"/>
    <col min="38" max="38" width="3.7109375" style="1030" customWidth="1"/>
    <col min="39" max="40" width="3" style="1030" customWidth="1"/>
    <col min="41" max="41" width="18" style="1030" customWidth="1"/>
    <col min="42" max="42" width="3.7109375" style="1030" customWidth="1"/>
    <col min="43" max="44" width="3" style="1030" customWidth="1"/>
    <col min="45" max="45" width="18" style="1030" customWidth="1"/>
    <col min="46" max="49" width="21" style="1030" customWidth="1"/>
    <col min="50" max="50" width="11" style="1030" customWidth="1"/>
    <col min="51" max="51" width="3.7109375" style="1030" customWidth="1"/>
    <col min="52" max="52" width="11" style="1030" customWidth="1"/>
    <col min="53" max="53" width="8.5703125" style="1030" hidden="1" customWidth="1"/>
    <col min="54" max="54" width="4" style="1030" customWidth="1"/>
    <col min="55" max="55" width="115" style="1030" customWidth="1"/>
    <col min="56" max="60" width="10" style="1030" customWidth="1"/>
    <col min="61" max="61" width="10.5703125" style="1030" hidden="1"/>
  </cols>
  <sheetData>
    <row r="1" spans="5:61" ht="22.5" hidden="1" customHeight="1">
      <c r="BI1" s="539" t="s">
        <v>14</v>
      </c>
    </row>
    <row r="2" spans="5:61" ht="21" hidden="1" customHeight="1">
      <c r="E2" s="1192">
        <v>1</v>
      </c>
      <c r="R2" s="311"/>
      <c r="S2" s="833" t="e">
        <f>INDEX(PT_DIFFERENTIATION_NUM_NTAR,MATCH(A2,PT_DIFFERENTIATION_NTAR_ID,0))</f>
        <v>#N/A</v>
      </c>
      <c r="T2" s="796" t="s">
        <v>133</v>
      </c>
      <c r="U2" s="834"/>
      <c r="V2" s="1188"/>
      <c r="W2" s="1188"/>
      <c r="X2" s="1188"/>
      <c r="Y2" s="1188"/>
      <c r="Z2" s="1188"/>
      <c r="AA2" s="1188"/>
      <c r="AB2" s="1188"/>
      <c r="AC2" s="1189"/>
      <c r="AD2" s="1187" t="e">
        <f>INDEX(PT_DIFFERENTIATION_NTAR,MATCH(A2,PT_DIFFERENTIATION_NTAR_ID,0))</f>
        <v>#N/A</v>
      </c>
      <c r="AE2" s="1188"/>
      <c r="AF2" s="1188"/>
      <c r="AG2" s="1188"/>
      <c r="AH2" s="1188"/>
      <c r="AI2" s="1188"/>
      <c r="AJ2" s="1188"/>
      <c r="AK2" s="1188"/>
      <c r="AL2" s="1188"/>
      <c r="AM2" s="1188"/>
      <c r="AN2" s="1188"/>
      <c r="AO2" s="1188"/>
      <c r="AP2" s="1188"/>
      <c r="AQ2" s="1188"/>
      <c r="AR2" s="1188"/>
      <c r="AS2" s="1188"/>
      <c r="AT2" s="1188"/>
      <c r="AU2" s="1188"/>
      <c r="AV2" s="1188"/>
      <c r="AW2" s="1188"/>
      <c r="AX2" s="1188"/>
      <c r="AY2" s="1188"/>
      <c r="AZ2" s="1188"/>
      <c r="BA2" s="1188"/>
      <c r="BB2" s="1189"/>
      <c r="BC2"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583" t="str">
        <f t="shared" ref="BF2:BF8" si="0">IF(T2="","",T2)</f>
        <v>Наименование тарифа</v>
      </c>
      <c r="BI2" s="539">
        <v>0</v>
      </c>
    </row>
    <row r="3" spans="5:61" ht="21" hidden="1" customHeight="1">
      <c r="E3" s="1193"/>
      <c r="F3" s="1192">
        <v>1</v>
      </c>
      <c r="Q3" s="880"/>
      <c r="R3" s="838"/>
      <c r="S3" s="833" t="e">
        <f>INDEX(PT_DIFFERENTIATION_NUM_TER,MATCH(B3,PT_DIFFERENTIATION_TER_ID,0))</f>
        <v>#N/A</v>
      </c>
      <c r="T3" s="839" t="s">
        <v>405</v>
      </c>
      <c r="U3" s="834"/>
      <c r="V3" s="1188"/>
      <c r="W3" s="1188"/>
      <c r="X3" s="1188"/>
      <c r="Y3" s="1188"/>
      <c r="Z3" s="1188"/>
      <c r="AA3" s="1188"/>
      <c r="AB3" s="1188"/>
      <c r="AC3" s="1189"/>
      <c r="AD3" s="1187" t="e">
        <f>INDEX(PT_DIFFERENTIATION_TER,MATCH(B3,PT_DIFFERENTIATION_TER_ID,0))</f>
        <v>#N/A</v>
      </c>
      <c r="AE3" s="1188"/>
      <c r="AF3" s="1188"/>
      <c r="AG3" s="1188"/>
      <c r="AH3" s="1188"/>
      <c r="AI3" s="1188"/>
      <c r="AJ3" s="1188"/>
      <c r="AK3" s="1188"/>
      <c r="AL3" s="1188"/>
      <c r="AM3" s="1188"/>
      <c r="AN3" s="1188"/>
      <c r="AO3" s="1188"/>
      <c r="AP3" s="1188"/>
      <c r="AQ3" s="1188"/>
      <c r="AR3" s="1188"/>
      <c r="AS3" s="1188"/>
      <c r="AT3" s="1188"/>
      <c r="AU3" s="1188"/>
      <c r="AV3" s="1188"/>
      <c r="AW3" s="1188"/>
      <c r="AX3" s="1188"/>
      <c r="AY3" s="1188"/>
      <c r="AZ3" s="1188"/>
      <c r="BA3" s="1188"/>
      <c r="BB3" s="1189"/>
      <c r="BC3" s="836" t="s">
        <v>406</v>
      </c>
      <c r="BF3" s="583" t="str">
        <f t="shared" si="0"/>
        <v>Территория действия тарифа</v>
      </c>
      <c r="BI3" s="539">
        <v>0</v>
      </c>
    </row>
    <row r="4" spans="5:61" ht="33.75" hidden="1" customHeight="1">
      <c r="E4" s="1193"/>
      <c r="F4" s="1193"/>
      <c r="G4" s="1192">
        <v>1</v>
      </c>
      <c r="Q4" s="880"/>
      <c r="R4" s="838"/>
      <c r="S4" s="833" t="e">
        <f>INDEX(PT_DIFFERENTIATION_NUM_CS,MATCH(C4,PT_DIFFERENTIATION_CS_ID,0))</f>
        <v>#N/A</v>
      </c>
      <c r="T4" s="840" t="s">
        <v>538</v>
      </c>
      <c r="U4" s="834"/>
      <c r="V4" s="1188"/>
      <c r="W4" s="1188"/>
      <c r="X4" s="1188"/>
      <c r="Y4" s="1188"/>
      <c r="Z4" s="1188"/>
      <c r="AA4" s="1188"/>
      <c r="AB4" s="1188"/>
      <c r="AC4" s="1189"/>
      <c r="AD4" s="1187" t="e">
        <f>INDEX(PT_DIFFERENTIATION_CS,MATCH(C4,PT_DIFFERENTIATION_CS_ID,0))</f>
        <v>#N/A</v>
      </c>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88"/>
      <c r="BB4" s="1189"/>
      <c r="BC4" s="836" t="s">
        <v>539</v>
      </c>
      <c r="BF4" s="583" t="str">
        <f t="shared" si="0"/>
        <v>Наименование централизованной системы горячего водоснабжения</v>
      </c>
      <c r="BI4" s="539">
        <v>0</v>
      </c>
    </row>
    <row r="5" spans="5:61" ht="14.25" hidden="1" customHeight="1">
      <c r="E5" s="1193"/>
      <c r="F5" s="1193"/>
      <c r="G5" s="1193"/>
      <c r="H5" s="1192">
        <v>1</v>
      </c>
      <c r="Q5" s="909"/>
      <c r="R5" s="845"/>
      <c r="S5" s="636"/>
      <c r="T5" s="910"/>
      <c r="U5" s="861"/>
      <c r="V5" s="1224"/>
      <c r="W5" s="1224"/>
      <c r="X5" s="1224"/>
      <c r="Y5" s="1224"/>
      <c r="Z5" s="1224"/>
      <c r="AA5" s="1224"/>
      <c r="AB5" s="1224"/>
      <c r="AC5" s="1225"/>
      <c r="AD5" s="1223"/>
      <c r="AE5" s="1224"/>
      <c r="AF5" s="1224"/>
      <c r="AG5" s="1224"/>
      <c r="AH5" s="1224"/>
      <c r="AI5" s="1224"/>
      <c r="AJ5" s="1224"/>
      <c r="AK5" s="1224"/>
      <c r="AL5" s="1224"/>
      <c r="AM5" s="1224"/>
      <c r="AN5" s="1224"/>
      <c r="AO5" s="1224"/>
      <c r="AP5" s="1224"/>
      <c r="AQ5" s="1224"/>
      <c r="AR5" s="1224"/>
      <c r="AS5" s="1224"/>
      <c r="AT5" s="1224"/>
      <c r="AU5" s="1224"/>
      <c r="AV5" s="1224"/>
      <c r="AW5" s="1224"/>
      <c r="AX5" s="1224"/>
      <c r="AY5" s="1224"/>
      <c r="AZ5" s="1224"/>
      <c r="BA5" s="1224"/>
      <c r="BB5" s="1225"/>
      <c r="BC5" s="863" t="s">
        <v>410</v>
      </c>
      <c r="BF5" s="583" t="str">
        <f t="shared" si="0"/>
        <v/>
      </c>
      <c r="BI5" s="578">
        <v>0</v>
      </c>
    </row>
    <row r="6" spans="5:61" ht="14.25" hidden="1" customHeight="1">
      <c r="E6" s="1193"/>
      <c r="F6" s="1193"/>
      <c r="G6" s="1193"/>
      <c r="H6" s="1193"/>
      <c r="I6" s="1194" t="str">
        <f>S5&amp;".1"</f>
        <v>.1</v>
      </c>
      <c r="L6" s="864" t="s">
        <v>411</v>
      </c>
      <c r="P6" s="1196">
        <v>1</v>
      </c>
      <c r="R6" s="843"/>
      <c r="S6" s="636"/>
      <c r="T6" s="860"/>
      <c r="U6" s="861"/>
      <c r="V6" s="1224"/>
      <c r="W6" s="1224"/>
      <c r="X6" s="1224"/>
      <c r="Y6" s="1224"/>
      <c r="Z6" s="1224"/>
      <c r="AA6" s="1224"/>
      <c r="AB6" s="1224"/>
      <c r="AC6" s="1225"/>
      <c r="AD6" s="1223"/>
      <c r="AE6" s="1224"/>
      <c r="AF6" s="1224"/>
      <c r="AG6" s="1224"/>
      <c r="AH6" s="1224"/>
      <c r="AI6" s="1224"/>
      <c r="AJ6" s="1224"/>
      <c r="AK6" s="1224"/>
      <c r="AL6" s="1224"/>
      <c r="AM6" s="1224"/>
      <c r="AN6" s="1224"/>
      <c r="AO6" s="1224"/>
      <c r="AP6" s="1224"/>
      <c r="AQ6" s="1224"/>
      <c r="AR6" s="1224"/>
      <c r="AS6" s="1224"/>
      <c r="AT6" s="1224"/>
      <c r="AU6" s="1224"/>
      <c r="AV6" s="1224"/>
      <c r="AW6" s="1224"/>
      <c r="AX6" s="1224"/>
      <c r="AY6" s="1224"/>
      <c r="AZ6" s="1224"/>
      <c r="BA6" s="1224"/>
      <c r="BB6" s="1225"/>
      <c r="BC6" s="863"/>
      <c r="BF6" s="583" t="str">
        <f t="shared" si="0"/>
        <v/>
      </c>
      <c r="BI6" s="578">
        <v>0</v>
      </c>
    </row>
    <row r="7" spans="5:61" ht="14.25" hidden="1" customHeight="1">
      <c r="E7" s="1193"/>
      <c r="F7" s="1193"/>
      <c r="G7" s="1193"/>
      <c r="H7" s="1193"/>
      <c r="I7" s="1195"/>
      <c r="J7" s="1194" t="str">
        <f>S5&amp;".1"</f>
        <v>.1</v>
      </c>
      <c r="P7" s="1038"/>
      <c r="Q7" s="1196">
        <v>1</v>
      </c>
      <c r="R7" s="845"/>
      <c r="S7" s="636"/>
      <c r="T7" s="881"/>
      <c r="U7" s="861"/>
      <c r="V7" s="1224"/>
      <c r="W7" s="1224"/>
      <c r="X7" s="1224"/>
      <c r="Y7" s="1224"/>
      <c r="Z7" s="1224"/>
      <c r="AA7" s="1224"/>
      <c r="AB7" s="1224"/>
      <c r="AC7" s="1225"/>
      <c r="AD7" s="1223"/>
      <c r="AE7" s="1224"/>
      <c r="AF7" s="1224"/>
      <c r="AG7" s="1224"/>
      <c r="AH7" s="1224"/>
      <c r="AI7" s="1224"/>
      <c r="AJ7" s="1224"/>
      <c r="AK7" s="1224"/>
      <c r="AL7" s="1224"/>
      <c r="AM7" s="1224"/>
      <c r="AN7" s="1224"/>
      <c r="AO7" s="1224"/>
      <c r="AP7" s="1224"/>
      <c r="AQ7" s="1224"/>
      <c r="AR7" s="1224"/>
      <c r="AS7" s="1224"/>
      <c r="AT7" s="1224"/>
      <c r="AU7" s="1224"/>
      <c r="AV7" s="1224"/>
      <c r="AW7" s="1224"/>
      <c r="AX7" s="1224"/>
      <c r="AY7" s="1224"/>
      <c r="AZ7" s="1224"/>
      <c r="BA7" s="1224"/>
      <c r="BB7" s="1225"/>
      <c r="BC7" s="863"/>
      <c r="BF7" s="583" t="str">
        <f t="shared" si="0"/>
        <v/>
      </c>
      <c r="BI7" s="578">
        <v>0</v>
      </c>
    </row>
    <row r="8" spans="5:61" ht="11.25" hidden="1" customHeight="1">
      <c r="E8" s="1193"/>
      <c r="F8" s="1193"/>
      <c r="G8" s="1193"/>
      <c r="H8" s="1193"/>
      <c r="I8" s="1195"/>
      <c r="J8" s="1195"/>
      <c r="K8" s="1194" t="e">
        <f>S4&amp;".1"</f>
        <v>#N/A</v>
      </c>
      <c r="P8" s="1038"/>
      <c r="Q8" s="1038"/>
      <c r="R8" s="1252">
        <v>1</v>
      </c>
      <c r="S8" s="1249" t="e">
        <f>$K8</f>
        <v>#N/A</v>
      </c>
      <c r="T8" s="1269"/>
      <c r="U8" s="834"/>
      <c r="V8" s="312"/>
      <c r="W8" s="314"/>
      <c r="X8" s="312"/>
      <c r="Y8" s="314"/>
      <c r="Z8" s="203"/>
      <c r="AA8" s="56" t="s">
        <v>61</v>
      </c>
      <c r="AB8" s="203"/>
      <c r="AC8" s="56" t="s">
        <v>61</v>
      </c>
      <c r="AD8" s="1141" t="s">
        <v>61</v>
      </c>
      <c r="AE8" s="1245"/>
      <c r="AF8" s="1151">
        <v>1</v>
      </c>
      <c r="AG8" s="1268"/>
      <c r="AH8" s="1079" t="s">
        <v>61</v>
      </c>
      <c r="AI8" s="1245"/>
      <c r="AJ8" s="1151">
        <v>1</v>
      </c>
      <c r="AK8" s="1259" t="s">
        <v>22</v>
      </c>
      <c r="AL8" s="1079" t="s">
        <v>61</v>
      </c>
      <c r="AM8" s="1129"/>
      <c r="AN8" s="1151">
        <v>1</v>
      </c>
      <c r="AO8" s="1272"/>
      <c r="AP8" s="1273" t="s">
        <v>61</v>
      </c>
      <c r="AQ8" s="883"/>
      <c r="AR8" s="92">
        <v>1</v>
      </c>
      <c r="AS8" s="14" t="s">
        <v>22</v>
      </c>
      <c r="AT8" s="312"/>
      <c r="AU8" s="314"/>
      <c r="AV8" s="312"/>
      <c r="AW8" s="314"/>
      <c r="AX8" s="203"/>
      <c r="AY8" s="56" t="s">
        <v>61</v>
      </c>
      <c r="AZ8" s="203"/>
      <c r="BA8" s="56" t="s">
        <v>61</v>
      </c>
      <c r="BB8" s="332"/>
      <c r="BC8" s="1215" t="s">
        <v>509</v>
      </c>
      <c r="BF8" s="583" t="str">
        <f t="shared" si="0"/>
        <v/>
      </c>
      <c r="BI8" s="539">
        <v>0</v>
      </c>
    </row>
    <row r="9" spans="5:61" ht="11.25" hidden="1" customHeight="1">
      <c r="E9" s="1193"/>
      <c r="F9" s="1193"/>
      <c r="G9" s="1193"/>
      <c r="H9" s="1193"/>
      <c r="I9" s="1195"/>
      <c r="J9" s="1195"/>
      <c r="K9" s="1194"/>
      <c r="P9" s="1038"/>
      <c r="Q9" s="1038"/>
      <c r="R9" s="1252"/>
      <c r="S9" s="1250"/>
      <c r="T9" s="1270"/>
      <c r="U9" s="834"/>
      <c r="V9" s="345"/>
      <c r="W9" s="352"/>
      <c r="X9" s="345"/>
      <c r="Y9" s="352"/>
      <c r="Z9" s="345"/>
      <c r="AA9" s="345"/>
      <c r="AB9" s="345"/>
      <c r="AC9" s="345"/>
      <c r="AD9" s="1142"/>
      <c r="AE9" s="1245"/>
      <c r="AF9" s="1151"/>
      <c r="AG9" s="1268"/>
      <c r="AH9" s="1079"/>
      <c r="AI9" s="1245"/>
      <c r="AJ9" s="1151"/>
      <c r="AK9" s="1259"/>
      <c r="AL9" s="1079"/>
      <c r="AM9" s="1134"/>
      <c r="AN9" s="1151"/>
      <c r="AO9" s="1272"/>
      <c r="AP9" s="1274"/>
      <c r="AQ9" s="265"/>
      <c r="AR9" s="49"/>
      <c r="AS9" s="49" t="s">
        <v>510</v>
      </c>
      <c r="AT9" s="345"/>
      <c r="AU9" s="352"/>
      <c r="AV9" s="345"/>
      <c r="AW9" s="352"/>
      <c r="AX9" s="345"/>
      <c r="AY9" s="345"/>
      <c r="AZ9" s="345"/>
      <c r="BA9" s="345"/>
      <c r="BB9" s="351"/>
      <c r="BC9" s="1216"/>
      <c r="BI9" s="539">
        <v>0</v>
      </c>
    </row>
    <row r="10" spans="5:61" ht="11.25" hidden="1" customHeight="1">
      <c r="E10" s="1193"/>
      <c r="F10" s="1193"/>
      <c r="G10" s="1193"/>
      <c r="H10" s="1193"/>
      <c r="I10" s="1195"/>
      <c r="J10" s="1195"/>
      <c r="K10" s="1194"/>
      <c r="P10" s="1038"/>
      <c r="Q10" s="1038"/>
      <c r="R10" s="1252"/>
      <c r="S10" s="1250"/>
      <c r="T10" s="1270"/>
      <c r="U10" s="834"/>
      <c r="V10" s="345"/>
      <c r="W10" s="352"/>
      <c r="X10" s="345"/>
      <c r="Y10" s="352"/>
      <c r="Z10" s="345"/>
      <c r="AA10" s="345"/>
      <c r="AB10" s="345"/>
      <c r="AC10" s="345"/>
      <c r="AD10" s="1142"/>
      <c r="AE10" s="1245"/>
      <c r="AF10" s="1151"/>
      <c r="AG10" s="1268"/>
      <c r="AH10" s="1079"/>
      <c r="AI10" s="1245"/>
      <c r="AJ10" s="1151"/>
      <c r="AK10" s="1259"/>
      <c r="AL10" s="1079"/>
      <c r="AM10" s="265"/>
      <c r="AN10" s="304"/>
      <c r="AO10" s="304" t="s">
        <v>511</v>
      </c>
      <c r="AP10" s="49"/>
      <c r="AQ10" s="49"/>
      <c r="AR10" s="49"/>
      <c r="AS10" s="345"/>
      <c r="AT10" s="345"/>
      <c r="AU10" s="352"/>
      <c r="AV10" s="345"/>
      <c r="AW10" s="352"/>
      <c r="AX10" s="345"/>
      <c r="AY10" s="345"/>
      <c r="AZ10" s="345"/>
      <c r="BA10" s="345"/>
      <c r="BB10" s="351"/>
      <c r="BC10" s="1216"/>
      <c r="BI10" s="539">
        <v>0</v>
      </c>
    </row>
    <row r="11" spans="5:61" ht="11.25" hidden="1" customHeight="1">
      <c r="E11" s="1193"/>
      <c r="F11" s="1193"/>
      <c r="G11" s="1193"/>
      <c r="H11" s="1193"/>
      <c r="I11" s="1195"/>
      <c r="J11" s="1195"/>
      <c r="K11" s="1194"/>
      <c r="P11" s="1038"/>
      <c r="Q11" s="1038"/>
      <c r="R11" s="1252"/>
      <c r="S11" s="1250"/>
      <c r="T11" s="1270"/>
      <c r="U11" s="834"/>
      <c r="V11" s="345"/>
      <c r="W11" s="352"/>
      <c r="X11" s="345"/>
      <c r="Y11" s="352"/>
      <c r="Z11" s="345"/>
      <c r="AA11" s="345"/>
      <c r="AB11" s="345"/>
      <c r="AC11" s="345"/>
      <c r="AD11" s="1142"/>
      <c r="AE11" s="1245"/>
      <c r="AF11" s="1151"/>
      <c r="AG11" s="1268"/>
      <c r="AH11" s="1079"/>
      <c r="AI11" s="354"/>
      <c r="AJ11" s="44"/>
      <c r="AK11" s="120" t="s">
        <v>512</v>
      </c>
      <c r="AL11" s="345"/>
      <c r="AM11" s="345"/>
      <c r="AN11" s="345"/>
      <c r="AO11" s="345"/>
      <c r="AP11" s="345"/>
      <c r="AQ11" s="345"/>
      <c r="AR11" s="345"/>
      <c r="AS11" s="345"/>
      <c r="AT11" s="345"/>
      <c r="AU11" s="352"/>
      <c r="AV11" s="345"/>
      <c r="AW11" s="352"/>
      <c r="AX11" s="345"/>
      <c r="AY11" s="345"/>
      <c r="AZ11" s="345"/>
      <c r="BA11" s="345"/>
      <c r="BB11" s="351"/>
      <c r="BC11" s="1216"/>
      <c r="BI11" s="539">
        <v>0</v>
      </c>
    </row>
    <row r="12" spans="5:61" ht="11.25" hidden="1" customHeight="1">
      <c r="E12" s="1193"/>
      <c r="F12" s="1193"/>
      <c r="G12" s="1193"/>
      <c r="H12" s="1193"/>
      <c r="I12" s="1195"/>
      <c r="J12" s="1195"/>
      <c r="K12" s="1194"/>
      <c r="P12" s="1038"/>
      <c r="Q12" s="1038"/>
      <c r="R12" s="1252"/>
      <c r="S12" s="1251"/>
      <c r="T12" s="1271"/>
      <c r="U12" s="834"/>
      <c r="V12" s="345"/>
      <c r="W12" s="346" t="str">
        <f>Z8&amp;"-"&amp;AB8</f>
        <v>-</v>
      </c>
      <c r="X12" s="345"/>
      <c r="Y12" s="346" t="str">
        <f>AB8&amp;"-"&amp;AD8</f>
        <v>-да</v>
      </c>
      <c r="Z12" s="345"/>
      <c r="AA12" s="345"/>
      <c r="AB12" s="345"/>
      <c r="AC12" s="345"/>
      <c r="AD12" s="1085"/>
      <c r="AE12" s="356"/>
      <c r="AF12" s="357"/>
      <c r="AG12" s="49" t="s">
        <v>513</v>
      </c>
      <c r="AH12" s="345"/>
      <c r="AI12" s="345"/>
      <c r="AJ12" s="345"/>
      <c r="AK12" s="345"/>
      <c r="AL12" s="345"/>
      <c r="AM12" s="345"/>
      <c r="AN12" s="345"/>
      <c r="AO12" s="345"/>
      <c r="AP12" s="345"/>
      <c r="AQ12" s="345"/>
      <c r="AR12" s="345"/>
      <c r="AS12" s="345"/>
      <c r="AT12" s="345"/>
      <c r="AU12" s="346" t="str">
        <f>AX8&amp;"-"&amp;AZ8</f>
        <v>-</v>
      </c>
      <c r="AV12" s="345"/>
      <c r="AW12" s="346" t="str">
        <f>AZ8&amp;"-"&amp;BB8</f>
        <v>-</v>
      </c>
      <c r="AX12" s="345"/>
      <c r="AY12" s="345"/>
      <c r="AZ12" s="345"/>
      <c r="BA12" s="345"/>
      <c r="BB12" s="355" t="str">
        <f>BE8&amp;"-"&amp;BG8</f>
        <v>-</v>
      </c>
      <c r="BC12" s="1216"/>
      <c r="BF12" s="583" t="str">
        <f t="shared" ref="BF12:BF18" si="1">IF(T12="","",T12)</f>
        <v/>
      </c>
      <c r="BI12" s="539">
        <v>0</v>
      </c>
    </row>
    <row r="13" spans="5:61" ht="11.25" hidden="1" customHeight="1">
      <c r="E13" s="1193"/>
      <c r="F13" s="1193"/>
      <c r="G13" s="1193"/>
      <c r="H13" s="1193"/>
      <c r="I13" s="1195"/>
      <c r="J13" s="1194"/>
      <c r="P13" s="1038"/>
      <c r="Q13" s="1038"/>
      <c r="R13" s="843"/>
      <c r="S13" s="316"/>
      <c r="T13" s="319" t="s">
        <v>476</v>
      </c>
      <c r="U13" s="52"/>
      <c r="V13" s="52"/>
      <c r="W13" s="52"/>
      <c r="X13" s="52"/>
      <c r="Y13" s="52"/>
      <c r="Z13" s="52"/>
      <c r="AA13" s="52"/>
      <c r="AB13" s="52"/>
      <c r="AC13" s="52"/>
      <c r="AD13" s="36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318"/>
      <c r="BC13" s="1217"/>
      <c r="BF13" s="583" t="str">
        <f t="shared" si="1"/>
        <v>Добавить строку</v>
      </c>
      <c r="BI13" s="539">
        <v>0</v>
      </c>
    </row>
    <row r="14" spans="5:61" ht="14.25" hidden="1" customHeight="1">
      <c r="E14" s="1193"/>
      <c r="F14" s="1193"/>
      <c r="G14" s="1193"/>
      <c r="H14" s="1193"/>
      <c r="I14" s="1194"/>
      <c r="P14" s="1038"/>
      <c r="R14" s="843"/>
      <c r="S14" s="335"/>
      <c r="T14" s="336"/>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8"/>
      <c r="BF14" s="583" t="str">
        <f t="shared" si="1"/>
        <v/>
      </c>
      <c r="BI14" s="578">
        <v>0</v>
      </c>
    </row>
    <row r="15" spans="5:61" ht="14.25" hidden="1" customHeight="1">
      <c r="E15" s="1193"/>
      <c r="F15" s="1193"/>
      <c r="G15" s="1193"/>
      <c r="H15" s="1192"/>
      <c r="R15" s="358"/>
      <c r="S15" s="335"/>
      <c r="T15" s="33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8"/>
      <c r="BF15" s="583" t="str">
        <f t="shared" si="1"/>
        <v/>
      </c>
      <c r="BI15" s="578">
        <v>0</v>
      </c>
    </row>
    <row r="16" spans="5:61" ht="14.25" hidden="1" customHeight="1">
      <c r="E16" s="1193"/>
      <c r="F16" s="1193"/>
      <c r="G16" s="1192"/>
      <c r="BF16" s="583" t="str">
        <f t="shared" si="1"/>
        <v/>
      </c>
      <c r="BI16" s="578">
        <v>0</v>
      </c>
    </row>
    <row r="17" spans="5:61" ht="14.25" hidden="1" customHeight="1">
      <c r="E17" s="1193"/>
      <c r="F17" s="1192"/>
      <c r="T17" s="327" t="s">
        <v>423</v>
      </c>
      <c r="BF17" s="583" t="str">
        <f t="shared" si="1"/>
        <v>Добавить централизованную систему для дифференциации</v>
      </c>
      <c r="BI17" s="578">
        <v>0</v>
      </c>
    </row>
    <row r="18" spans="5:61" ht="14.25" hidden="1" customHeight="1">
      <c r="E18" s="1192"/>
      <c r="T18" s="327" t="s">
        <v>424</v>
      </c>
      <c r="BF18" s="583" t="str">
        <f t="shared" si="1"/>
        <v>Добавить территорию для дифференциации</v>
      </c>
      <c r="BI18" s="578">
        <v>0</v>
      </c>
    </row>
    <row r="19" spans="5:61" ht="14.25" hidden="1" customHeight="1">
      <c r="BI19" s="539">
        <v>0</v>
      </c>
    </row>
    <row r="20" spans="5:61" ht="14.25" hidden="1" customHeight="1">
      <c r="AD20" s="359" t="s">
        <v>19</v>
      </c>
      <c r="AF20" s="359">
        <v>1</v>
      </c>
      <c r="AH20" s="359" t="s">
        <v>19</v>
      </c>
      <c r="AJ20" s="359">
        <v>1</v>
      </c>
      <c r="AL20" s="359" t="s">
        <v>19</v>
      </c>
      <c r="AN20" s="359">
        <v>1</v>
      </c>
      <c r="AP20" s="359" t="s">
        <v>19</v>
      </c>
      <c r="AR20" s="359">
        <v>1</v>
      </c>
      <c r="AT20" s="313"/>
      <c r="AU20" s="334"/>
      <c r="AV20" s="313"/>
      <c r="AW20" s="334"/>
      <c r="AX20" s="361"/>
      <c r="AY20" s="286" t="s">
        <v>61</v>
      </c>
      <c r="AZ20" s="361"/>
      <c r="BA20" s="286" t="s">
        <v>61</v>
      </c>
      <c r="BI20" s="539">
        <v>0</v>
      </c>
    </row>
    <row r="21" spans="5:61" ht="14.25" hidden="1" customHeight="1">
      <c r="BI21" s="539">
        <v>0</v>
      </c>
    </row>
    <row r="22" spans="5:61" ht="14.25" hidden="1" customHeight="1">
      <c r="O22" s="329" t="s">
        <v>425</v>
      </c>
      <c r="Z22" s="349"/>
      <c r="AB22" s="349"/>
      <c r="AX22" s="349"/>
      <c r="AZ22" s="349"/>
      <c r="BI22" s="539">
        <v>0</v>
      </c>
    </row>
    <row r="23" spans="5:61" ht="14.25" hidden="1" customHeight="1">
      <c r="BI23" s="539">
        <v>0</v>
      </c>
    </row>
    <row r="24" spans="5:61" ht="14.25" hidden="1" customHeight="1">
      <c r="O24" s="885" t="s">
        <v>426</v>
      </c>
      <c r="AA24" s="885" t="s">
        <v>428</v>
      </c>
      <c r="AC24" s="885" t="s">
        <v>429</v>
      </c>
      <c r="AD24" s="885" t="s">
        <v>477</v>
      </c>
      <c r="AH24" s="885" t="s">
        <v>477</v>
      </c>
      <c r="AK24" s="885" t="s">
        <v>514</v>
      </c>
      <c r="AL24" s="885" t="s">
        <v>477</v>
      </c>
      <c r="AP24" s="885" t="s">
        <v>477</v>
      </c>
      <c r="AY24" s="885" t="s">
        <v>428</v>
      </c>
      <c r="BA24" s="885" t="s">
        <v>429</v>
      </c>
      <c r="BI24" s="885">
        <v>0</v>
      </c>
    </row>
    <row r="25" spans="5:61" ht="14.25" hidden="1" customHeight="1">
      <c r="BI25" s="539">
        <v>0</v>
      </c>
    </row>
    <row r="26" spans="5:61" ht="14.25" hidden="1" customHeight="1">
      <c r="BI26" s="539">
        <v>0</v>
      </c>
    </row>
    <row r="27" spans="5:61" ht="14.65" customHeight="1">
      <c r="Q27" s="886"/>
      <c r="R27" s="757"/>
      <c r="S27" s="848"/>
      <c r="T27" s="557"/>
      <c r="U27" s="557"/>
      <c r="BI27" s="539">
        <v>14</v>
      </c>
    </row>
    <row r="28" spans="5:61" ht="14.65" customHeight="1">
      <c r="Q28" s="886"/>
      <c r="R28" s="757"/>
      <c r="S28" s="11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174"/>
      <c r="AS28" s="1174"/>
      <c r="AT28" s="1174"/>
      <c r="AU28" s="1174"/>
      <c r="AV28" s="1174"/>
      <c r="AW28" s="1174"/>
      <c r="AX28" s="1174"/>
      <c r="AY28" s="1174"/>
      <c r="AZ28" s="1174"/>
      <c r="BI28" s="539">
        <v>14</v>
      </c>
    </row>
    <row r="29" spans="5:61" ht="14.65" customHeight="1">
      <c r="Q29" s="886"/>
      <c r="R29" s="757"/>
      <c r="S29" s="1148" t="str">
        <f>IF(org=0,"Не определено",org)</f>
        <v>АО "НИЖЕГОРОДСКИЙ ВОДОКАНАЛ"</v>
      </c>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I29" s="539">
        <v>14</v>
      </c>
    </row>
    <row r="30" spans="5:61" ht="14.25" hidden="1" customHeight="1">
      <c r="Q30" s="886"/>
      <c r="R30" s="757"/>
      <c r="S30" s="848"/>
      <c r="T30" s="557"/>
      <c r="U30" s="55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I30" s="539">
        <v>0</v>
      </c>
    </row>
    <row r="31" spans="5:61" ht="25.5" hidden="1" customHeight="1">
      <c r="S31" s="1184" t="s">
        <v>41</v>
      </c>
      <c r="T31" s="1184"/>
      <c r="U31" s="850"/>
      <c r="V31" s="1186" t="str">
        <f>IF(TITLE_NAME_OR_PR_CHANGE="",IF(TITLE_NAME_OR_PR="","",TITLE_NAME_OR_PR),TITLE_NAME_OR_PR_CHANGE)</f>
        <v/>
      </c>
      <c r="W31" s="1186"/>
      <c r="X31" s="1186"/>
      <c r="Y31" s="1186"/>
      <c r="Z31" s="1186"/>
      <c r="AA31" s="1186"/>
      <c r="AB31" s="1186"/>
      <c r="AD31" s="1186" t="str">
        <f>IF(TITLE_NAME_OR_PR_CHANGE="",IF(TITLE_NAME_OR_PR="","",TITLE_NAME_OR_PR),TITLE_NAME_OR_PR_CHANGE)</f>
        <v/>
      </c>
      <c r="AE31" s="1186"/>
      <c r="AF31" s="1186"/>
      <c r="AG31" s="1186"/>
      <c r="AH31" s="1186"/>
      <c r="AI31" s="1186"/>
      <c r="AJ31" s="1186"/>
      <c r="AK31" s="1186"/>
      <c r="AL31" s="1186"/>
      <c r="AM31" s="1186"/>
      <c r="AN31" s="1186"/>
      <c r="AO31" s="1186"/>
      <c r="AP31" s="1186"/>
      <c r="AQ31" s="1186"/>
      <c r="AR31" s="1186"/>
      <c r="AS31" s="1186"/>
      <c r="AT31" s="1186"/>
      <c r="AU31" s="1186"/>
      <c r="AV31" s="1186"/>
      <c r="AW31" s="1186"/>
      <c r="AX31" s="1186"/>
      <c r="AY31" s="1186"/>
      <c r="AZ31" s="1186"/>
      <c r="BI31" s="593">
        <v>0</v>
      </c>
    </row>
    <row r="32" spans="5:61" ht="18.75" hidden="1" customHeight="1">
      <c r="S32" s="1184" t="s">
        <v>431</v>
      </c>
      <c r="T32" s="1184"/>
      <c r="U32" s="850"/>
      <c r="V32" s="1185" t="str">
        <f>IF(TITLE_DATE_PR_CHANGE="",IF(TITLE_DATE_PR="","",TITLE_DATE_PR),TITLE_DATE_PR_CHANGE)</f>
        <v/>
      </c>
      <c r="W32" s="1185"/>
      <c r="X32" s="1185"/>
      <c r="Y32" s="1185"/>
      <c r="Z32" s="1185"/>
      <c r="AA32" s="1185"/>
      <c r="AB32" s="1185"/>
      <c r="AD32" s="1185" t="str">
        <f>IF(TITLE_DATE_PR_CHANGE="",IF(TITLE_DATE_PR="","",TITLE_DATE_PR),TITLE_DATE_PR_CHANGE)</f>
        <v/>
      </c>
      <c r="AE32" s="1185"/>
      <c r="AF32" s="1185"/>
      <c r="AG32" s="1185"/>
      <c r="AH32" s="1185"/>
      <c r="AI32" s="1185"/>
      <c r="AJ32" s="1185"/>
      <c r="AK32" s="1185"/>
      <c r="AL32" s="1185"/>
      <c r="AM32" s="1185"/>
      <c r="AN32" s="1185"/>
      <c r="AO32" s="1185"/>
      <c r="AP32" s="1185"/>
      <c r="AQ32" s="1185"/>
      <c r="AR32" s="1185"/>
      <c r="AS32" s="1185"/>
      <c r="AT32" s="1185"/>
      <c r="AU32" s="1185"/>
      <c r="AV32" s="1185"/>
      <c r="AW32" s="1185"/>
      <c r="AX32" s="1185"/>
      <c r="AY32" s="1185"/>
      <c r="AZ32" s="1185"/>
      <c r="BI32" s="593">
        <v>0</v>
      </c>
    </row>
    <row r="33" spans="1:61" ht="18.75" hidden="1" customHeight="1">
      <c r="S33" s="1184" t="s">
        <v>432</v>
      </c>
      <c r="T33" s="1184"/>
      <c r="U33" s="850"/>
      <c r="V33" s="1186" t="str">
        <f>IF(TITLE_NUMBER_PR_CHANGE="",IF(TITLE_NUMBER_PR="","",TITLE_NUMBER_PR),TITLE_NUMBER_PR_CHANGE)</f>
        <v/>
      </c>
      <c r="W33" s="1186"/>
      <c r="X33" s="1186"/>
      <c r="Y33" s="1186"/>
      <c r="Z33" s="1186"/>
      <c r="AA33" s="1186"/>
      <c r="AB33" s="1186"/>
      <c r="AD33" s="1186" t="str">
        <f>IF(TITLE_NUMBER_PR_CHANGE="",IF(TITLE_NUMBER_PR="","",TITLE_NUMBER_PR),TITLE_NUMBER_PR_CHANGE)</f>
        <v/>
      </c>
      <c r="AE33" s="1186"/>
      <c r="AF33" s="1186"/>
      <c r="AG33" s="1186"/>
      <c r="AH33" s="1186"/>
      <c r="AI33" s="1186"/>
      <c r="AJ33" s="1186"/>
      <c r="AK33" s="1186"/>
      <c r="AL33" s="1186"/>
      <c r="AM33" s="1186"/>
      <c r="AN33" s="1186"/>
      <c r="AO33" s="1186"/>
      <c r="AP33" s="1186"/>
      <c r="AQ33" s="1186"/>
      <c r="AR33" s="1186"/>
      <c r="AS33" s="1186"/>
      <c r="AT33" s="1186"/>
      <c r="AU33" s="1186"/>
      <c r="AV33" s="1186"/>
      <c r="AW33" s="1186"/>
      <c r="AX33" s="1186"/>
      <c r="AY33" s="1186"/>
      <c r="AZ33" s="1186"/>
      <c r="BI33" s="593">
        <v>0</v>
      </c>
    </row>
    <row r="34" spans="1:61" ht="18.75" hidden="1" customHeight="1">
      <c r="S34" s="1184" t="s">
        <v>42</v>
      </c>
      <c r="T34" s="1184"/>
      <c r="U34" s="850"/>
      <c r="V34" s="1186" t="str">
        <f>IF(TITLE_IST_PUB_CHANGE="",IF(TITLE_IST_PUB="","",TITLE_IST_PUB),TITLE_IST_PUB_CHANGE)</f>
        <v/>
      </c>
      <c r="W34" s="1186"/>
      <c r="X34" s="1186"/>
      <c r="Y34" s="1186"/>
      <c r="Z34" s="1186"/>
      <c r="AA34" s="1186"/>
      <c r="AB34" s="1186"/>
      <c r="AD34" s="1186" t="str">
        <f>IF(TITLE_IST_PUB_CHANGE="",IF(TITLE_IST_PUB="","",TITLE_IST_PUB),TITLE_IST_PUB_CHANGE)</f>
        <v/>
      </c>
      <c r="AE34" s="1186"/>
      <c r="AF34" s="1186"/>
      <c r="AG34" s="1186"/>
      <c r="AH34" s="1186"/>
      <c r="AI34" s="1186"/>
      <c r="AJ34" s="1186"/>
      <c r="AK34" s="1186"/>
      <c r="AL34" s="1186"/>
      <c r="AM34" s="1186"/>
      <c r="AN34" s="1186"/>
      <c r="AO34" s="1186"/>
      <c r="AP34" s="1186"/>
      <c r="AQ34" s="1186"/>
      <c r="AR34" s="1186"/>
      <c r="AS34" s="1186"/>
      <c r="AT34" s="1186"/>
      <c r="AU34" s="1186"/>
      <c r="AV34" s="1186"/>
      <c r="AW34" s="1186"/>
      <c r="AX34" s="1186"/>
      <c r="AY34" s="1186"/>
      <c r="AZ34" s="1186"/>
      <c r="BI34" s="593">
        <v>0</v>
      </c>
    </row>
    <row r="35" spans="1:61" ht="14.25" hidden="1" customHeight="1">
      <c r="Q35" s="886"/>
      <c r="R35" s="757"/>
      <c r="S35" s="848"/>
      <c r="T35" s="557"/>
      <c r="U35" s="55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I35" s="539">
        <v>0</v>
      </c>
    </row>
    <row r="36" spans="1:61" ht="18.75" hidden="1" customHeight="1">
      <c r="S36" s="1184" t="s">
        <v>431</v>
      </c>
      <c r="T36" s="1184"/>
      <c r="U36" s="850"/>
      <c r="V36" s="1185" t="str">
        <f>IF(TITLE_DATE_PR_CHANGE="",IF(TITLE_DATE_PR="","",TITLE_DATE_PR),TITLE_DATE_PR_CHANGE)</f>
        <v/>
      </c>
      <c r="W36" s="1185"/>
      <c r="X36" s="1185"/>
      <c r="Y36" s="1185"/>
      <c r="Z36" s="1185"/>
      <c r="AA36" s="1185"/>
      <c r="AB36" s="1185"/>
      <c r="AD36" s="1185" t="str">
        <f>IF(TITLE_DATE_PR_CHANGE="",IF(TITLE_DATE_PR="","",TITLE_DATE_PR),TITLE_DATE_PR_CHANGE)</f>
        <v/>
      </c>
      <c r="AE36" s="1185"/>
      <c r="AF36" s="1185"/>
      <c r="AG36" s="1185"/>
      <c r="AH36" s="1185"/>
      <c r="AI36" s="1185"/>
      <c r="AJ36" s="1185"/>
      <c r="AK36" s="1185"/>
      <c r="AL36" s="1185"/>
      <c r="AM36" s="1185"/>
      <c r="AN36" s="1185"/>
      <c r="AO36" s="1185"/>
      <c r="AP36" s="1185"/>
      <c r="AQ36" s="1185"/>
      <c r="AR36" s="1185"/>
      <c r="AS36" s="1185"/>
      <c r="AT36" s="1185"/>
      <c r="AU36" s="1185"/>
      <c r="AV36" s="1185"/>
      <c r="AW36" s="1185"/>
      <c r="AX36" s="1185"/>
      <c r="AY36" s="1185"/>
      <c r="AZ36" s="1185"/>
      <c r="BI36" s="593">
        <v>0</v>
      </c>
    </row>
    <row r="37" spans="1:61" ht="18.75" hidden="1" customHeight="1">
      <c r="S37" s="1184" t="s">
        <v>432</v>
      </c>
      <c r="T37" s="1184"/>
      <c r="U37" s="850"/>
      <c r="V37" s="1186" t="str">
        <f>IF(TITLE_NUMBER_PR_CHANGE="",IF(TITLE_NUMBER_PR="","",TITLE_NUMBER_PR),TITLE_NUMBER_PR_CHANGE)</f>
        <v/>
      </c>
      <c r="W37" s="1186"/>
      <c r="X37" s="1186"/>
      <c r="Y37" s="1186"/>
      <c r="Z37" s="1186"/>
      <c r="AA37" s="1186"/>
      <c r="AB37" s="1186"/>
      <c r="AD37" s="1186" t="str">
        <f>IF(TITLE_NUMBER_PR_CHANGE="",IF(TITLE_NUMBER_PR="","",TITLE_NUMBER_PR),TITLE_NUMBER_PR_CHANGE)</f>
        <v/>
      </c>
      <c r="AE37" s="1186"/>
      <c r="AF37" s="1186"/>
      <c r="AG37" s="1186"/>
      <c r="AH37" s="1186"/>
      <c r="AI37" s="1186"/>
      <c r="AJ37" s="1186"/>
      <c r="AK37" s="1186"/>
      <c r="AL37" s="1186"/>
      <c r="AM37" s="1186"/>
      <c r="AN37" s="1186"/>
      <c r="AO37" s="1186"/>
      <c r="AP37" s="1186"/>
      <c r="AQ37" s="1186"/>
      <c r="AR37" s="1186"/>
      <c r="AS37" s="1186"/>
      <c r="AT37" s="1186"/>
      <c r="AU37" s="1186"/>
      <c r="AV37" s="1186"/>
      <c r="AW37" s="1186"/>
      <c r="AX37" s="1186"/>
      <c r="AY37" s="1186"/>
      <c r="AZ37" s="1186"/>
      <c r="BI37" s="593">
        <v>0</v>
      </c>
    </row>
    <row r="38" spans="1:61" ht="0" hidden="1" customHeight="1">
      <c r="AC38" s="578" t="s">
        <v>435</v>
      </c>
      <c r="BA38" s="578" t="s">
        <v>435</v>
      </c>
      <c r="BI38" s="593">
        <v>0</v>
      </c>
    </row>
    <row r="39" spans="1:61" ht="14.65" customHeight="1">
      <c r="Q39" s="886"/>
      <c r="R39" s="757"/>
      <c r="S39" s="848"/>
      <c r="T39" s="557"/>
      <c r="U39" s="851"/>
      <c r="V39" s="1204"/>
      <c r="W39" s="1204"/>
      <c r="X39" s="1204"/>
      <c r="Y39" s="1204"/>
      <c r="Z39" s="1204"/>
      <c r="AA39" s="1204"/>
      <c r="AB39" s="1204"/>
      <c r="AC39" s="1204"/>
      <c r="AD39" s="1204"/>
      <c r="AE39" s="1204"/>
      <c r="AF39" s="1204"/>
      <c r="AG39" s="1204"/>
      <c r="AH39" s="1204"/>
      <c r="AI39" s="1204"/>
      <c r="AJ39" s="1204"/>
      <c r="AK39" s="1204"/>
      <c r="AL39" s="1204"/>
      <c r="AM39" s="1204"/>
      <c r="AN39" s="1204"/>
      <c r="AO39" s="1204"/>
      <c r="AP39" s="1204"/>
      <c r="AQ39" s="1204"/>
      <c r="AR39" s="1204"/>
      <c r="AS39" s="1204"/>
      <c r="AT39" s="1204"/>
      <c r="AU39" s="1204"/>
      <c r="AV39" s="1204"/>
      <c r="AW39" s="1204"/>
      <c r="AX39" s="1204"/>
      <c r="AY39" s="1204"/>
      <c r="AZ39" s="1204"/>
      <c r="BA39" s="1204"/>
      <c r="BI39" s="539">
        <v>14</v>
      </c>
    </row>
    <row r="40" spans="1:61" ht="14.65" customHeight="1">
      <c r="Q40" s="886"/>
      <c r="R40" s="757"/>
      <c r="S40" s="1070" t="s">
        <v>308</v>
      </c>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P40" s="1070"/>
      <c r="AQ40" s="1070"/>
      <c r="AR40" s="1070"/>
      <c r="AS40" s="1070"/>
      <c r="AT40" s="1070"/>
      <c r="AU40" s="1070"/>
      <c r="AV40" s="1070"/>
      <c r="AW40" s="1070"/>
      <c r="AX40" s="1070"/>
      <c r="AY40" s="1070"/>
      <c r="AZ40" s="1070"/>
      <c r="BA40" s="1070"/>
      <c r="BB40" s="1070"/>
      <c r="BC40" s="1070" t="s">
        <v>309</v>
      </c>
      <c r="BI40" s="539">
        <v>14</v>
      </c>
    </row>
    <row r="41" spans="1:61" ht="14.65" customHeight="1">
      <c r="Q41" s="886"/>
      <c r="R41" s="757"/>
      <c r="S41" s="1205" t="s">
        <v>87</v>
      </c>
      <c r="T41" s="1155" t="s">
        <v>515</v>
      </c>
      <c r="U41" s="818"/>
      <c r="V41" s="1206" t="s">
        <v>437</v>
      </c>
      <c r="W41" s="1207"/>
      <c r="X41" s="1207"/>
      <c r="Y41" s="1207"/>
      <c r="Z41" s="1207"/>
      <c r="AA41" s="1207"/>
      <c r="AB41" s="1208"/>
      <c r="AC41" s="1209" t="s">
        <v>438</v>
      </c>
      <c r="AD41" s="1238" t="s">
        <v>516</v>
      </c>
      <c r="AE41" s="1222"/>
      <c r="AF41" s="1222"/>
      <c r="AG41" s="1239"/>
      <c r="AH41" s="1238" t="s">
        <v>517</v>
      </c>
      <c r="AI41" s="1222"/>
      <c r="AJ41" s="1222"/>
      <c r="AK41" s="1239"/>
      <c r="AL41" s="1238" t="s">
        <v>518</v>
      </c>
      <c r="AM41" s="1222"/>
      <c r="AN41" s="1222"/>
      <c r="AO41" s="1239"/>
      <c r="AP41" s="1238" t="s">
        <v>519</v>
      </c>
      <c r="AQ41" s="1222"/>
      <c r="AR41" s="1222"/>
      <c r="AS41" s="1239"/>
      <c r="AT41" s="1206" t="s">
        <v>437</v>
      </c>
      <c r="AU41" s="1207"/>
      <c r="AV41" s="1207"/>
      <c r="AW41" s="1207"/>
      <c r="AX41" s="1207"/>
      <c r="AY41" s="1207"/>
      <c r="AZ41" s="1208"/>
      <c r="BA41" s="1209" t="s">
        <v>438</v>
      </c>
      <c r="BB41" s="1212" t="s">
        <v>440</v>
      </c>
      <c r="BC41" s="1070"/>
      <c r="BI41" s="539">
        <v>14</v>
      </c>
    </row>
    <row r="42" spans="1:61" ht="35.65" customHeight="1">
      <c r="Q42" s="886"/>
      <c r="R42" s="757"/>
      <c r="S42" s="1205"/>
      <c r="T42" s="1155"/>
      <c r="U42" s="823"/>
      <c r="V42" s="1129" t="s">
        <v>520</v>
      </c>
      <c r="W42" s="1130"/>
      <c r="X42" s="1129" t="s">
        <v>521</v>
      </c>
      <c r="Y42" s="1130"/>
      <c r="Z42" s="1129" t="s">
        <v>522</v>
      </c>
      <c r="AA42" s="1234"/>
      <c r="AB42" s="1130"/>
      <c r="AC42" s="1210"/>
      <c r="AD42" s="1240"/>
      <c r="AE42" s="1241"/>
      <c r="AF42" s="1241"/>
      <c r="AG42" s="1253"/>
      <c r="AH42" s="1240"/>
      <c r="AI42" s="1241"/>
      <c r="AJ42" s="1241"/>
      <c r="AK42" s="1253"/>
      <c r="AL42" s="1240"/>
      <c r="AM42" s="1241"/>
      <c r="AN42" s="1241"/>
      <c r="AO42" s="1253"/>
      <c r="AP42" s="1240"/>
      <c r="AQ42" s="1241"/>
      <c r="AR42" s="1241"/>
      <c r="AS42" s="1253"/>
      <c r="AT42" s="1129" t="s">
        <v>520</v>
      </c>
      <c r="AU42" s="1130"/>
      <c r="AV42" s="1129" t="s">
        <v>521</v>
      </c>
      <c r="AW42" s="1130"/>
      <c r="AX42" s="1129" t="s">
        <v>522</v>
      </c>
      <c r="AY42" s="1234"/>
      <c r="AZ42" s="1130"/>
      <c r="BA42" s="1210"/>
      <c r="BB42" s="1213"/>
      <c r="BC42" s="1070"/>
      <c r="BI42" s="539">
        <v>34</v>
      </c>
    </row>
    <row r="43" spans="1:61" ht="14.65" customHeight="1">
      <c r="Q43" s="886"/>
      <c r="R43" s="757"/>
      <c r="S43" s="1205"/>
      <c r="T43" s="1155"/>
      <c r="U43" s="823"/>
      <c r="V43" s="1134"/>
      <c r="W43" s="1135"/>
      <c r="X43" s="1134"/>
      <c r="Y43" s="1135"/>
      <c r="Z43" s="1134"/>
      <c r="AA43" s="1235"/>
      <c r="AB43" s="1135"/>
      <c r="AC43" s="1210"/>
      <c r="AD43" s="1240"/>
      <c r="AE43" s="1241"/>
      <c r="AF43" s="1241"/>
      <c r="AG43" s="1253"/>
      <c r="AH43" s="1240"/>
      <c r="AI43" s="1241"/>
      <c r="AJ43" s="1241"/>
      <c r="AK43" s="1253"/>
      <c r="AL43" s="1240"/>
      <c r="AM43" s="1241"/>
      <c r="AN43" s="1241"/>
      <c r="AO43" s="1253"/>
      <c r="AP43" s="1240"/>
      <c r="AQ43" s="1241"/>
      <c r="AR43" s="1241"/>
      <c r="AS43" s="1253"/>
      <c r="AT43" s="1134"/>
      <c r="AU43" s="1135"/>
      <c r="AV43" s="1134"/>
      <c r="AW43" s="1135"/>
      <c r="AX43" s="1134"/>
      <c r="AY43" s="1235"/>
      <c r="AZ43" s="1135"/>
      <c r="BA43" s="1210"/>
      <c r="BB43" s="1213"/>
      <c r="BC43" s="1070"/>
      <c r="BI43" s="539">
        <v>14</v>
      </c>
    </row>
    <row r="44" spans="1:61" ht="14.65" customHeight="1">
      <c r="B44" s="599" t="s">
        <v>145</v>
      </c>
      <c r="C44" s="599" t="s">
        <v>146</v>
      </c>
      <c r="D44" s="599" t="s">
        <v>147</v>
      </c>
      <c r="E44" s="842" t="s">
        <v>445</v>
      </c>
      <c r="F44" s="842" t="s">
        <v>446</v>
      </c>
      <c r="G44" s="842" t="s">
        <v>447</v>
      </c>
      <c r="H44" s="842" t="s">
        <v>448</v>
      </c>
      <c r="I44" s="842" t="s">
        <v>449</v>
      </c>
      <c r="J44" s="842" t="s">
        <v>450</v>
      </c>
      <c r="K44" s="842" t="s">
        <v>451</v>
      </c>
      <c r="L44" s="842" t="s">
        <v>426</v>
      </c>
      <c r="Q44" s="886"/>
      <c r="R44" s="757"/>
      <c r="S44" s="1205"/>
      <c r="T44" s="1155"/>
      <c r="U44" s="853"/>
      <c r="V44" s="633" t="s">
        <v>486</v>
      </c>
      <c r="W44" s="633" t="s">
        <v>487</v>
      </c>
      <c r="X44" s="633" t="s">
        <v>486</v>
      </c>
      <c r="Y44" s="633" t="s">
        <v>487</v>
      </c>
      <c r="Z44" s="603" t="s">
        <v>454</v>
      </c>
      <c r="AA44" s="1160" t="s">
        <v>455</v>
      </c>
      <c r="AB44" s="1173"/>
      <c r="AC44" s="1211"/>
      <c r="AD44" s="1242"/>
      <c r="AE44" s="1243"/>
      <c r="AF44" s="1243"/>
      <c r="AG44" s="1244"/>
      <c r="AH44" s="1242"/>
      <c r="AI44" s="1243"/>
      <c r="AJ44" s="1243"/>
      <c r="AK44" s="1244"/>
      <c r="AL44" s="1242"/>
      <c r="AM44" s="1243"/>
      <c r="AN44" s="1243"/>
      <c r="AO44" s="1244"/>
      <c r="AP44" s="1242"/>
      <c r="AQ44" s="1243"/>
      <c r="AR44" s="1243"/>
      <c r="AS44" s="1244"/>
      <c r="AT44" s="633" t="s">
        <v>486</v>
      </c>
      <c r="AU44" s="633" t="s">
        <v>487</v>
      </c>
      <c r="AV44" s="633" t="s">
        <v>486</v>
      </c>
      <c r="AW44" s="633" t="s">
        <v>487</v>
      </c>
      <c r="AX44" s="603" t="s">
        <v>454</v>
      </c>
      <c r="AY44" s="1160" t="s">
        <v>455</v>
      </c>
      <c r="AZ44" s="1173"/>
      <c r="BA44" s="1211"/>
      <c r="BB44" s="1214"/>
      <c r="BC44" s="1070"/>
      <c r="BI44" s="539">
        <v>14</v>
      </c>
    </row>
    <row r="45" spans="1:61" ht="0" hidden="1" customHeight="1">
      <c r="Q45" s="855"/>
      <c r="R45" s="855">
        <v>1</v>
      </c>
      <c r="S45" s="330" t="s">
        <v>114</v>
      </c>
      <c r="T45" s="331" t="s">
        <v>102</v>
      </c>
      <c r="U45" s="856" t="str">
        <f ca="1">OFFSET(U45,0,-1)</f>
        <v>2</v>
      </c>
      <c r="V45" s="857">
        <f t="shared" ref="V45:AA45" ca="1" si="2">OFFSET(V45,0,-1)+1</f>
        <v>3</v>
      </c>
      <c r="W45" s="857">
        <f t="shared" ca="1" si="2"/>
        <v>4</v>
      </c>
      <c r="X45" s="857">
        <f t="shared" ca="1" si="2"/>
        <v>5</v>
      </c>
      <c r="Y45" s="857">
        <f t="shared" ca="1" si="2"/>
        <v>6</v>
      </c>
      <c r="Z45" s="857">
        <f t="shared" ca="1" si="2"/>
        <v>7</v>
      </c>
      <c r="AA45" s="1203">
        <f t="shared" ca="1" si="2"/>
        <v>8</v>
      </c>
      <c r="AB45" s="1203"/>
      <c r="AC45" s="857">
        <f ca="1">OFFSET(AC45,0,-2)+1</f>
        <v>9</v>
      </c>
      <c r="AD45" s="857">
        <f ca="1">OFFSET(AD45,0,-1)+1</f>
        <v>10</v>
      </c>
      <c r="AE45" s="857"/>
      <c r="AF45" s="857"/>
      <c r="AG45" s="857"/>
      <c r="AH45" s="857"/>
      <c r="AI45" s="857"/>
      <c r="AJ45" s="857"/>
      <c r="AK45" s="857"/>
      <c r="AL45" s="857"/>
      <c r="AM45" s="857"/>
      <c r="AN45" s="857"/>
      <c r="AO45" s="857"/>
      <c r="AP45" s="857"/>
      <c r="AQ45" s="857"/>
      <c r="AR45" s="857"/>
      <c r="AS45" s="857"/>
      <c r="AT45" s="857"/>
      <c r="AU45" s="857"/>
      <c r="AV45" s="857"/>
      <c r="AW45" s="857">
        <f ca="1">OFFSET(AW45,0,-1)+1</f>
        <v>1</v>
      </c>
      <c r="AX45" s="857">
        <f ca="1">OFFSET(AX45,0,-1)+1</f>
        <v>2</v>
      </c>
      <c r="AY45" s="1203">
        <f ca="1">OFFSET(AY45,0,-1)+1</f>
        <v>3</v>
      </c>
      <c r="AZ45" s="1203"/>
      <c r="BA45" s="857">
        <f ca="1">OFFSET(BA45,0,-2)+1</f>
        <v>4</v>
      </c>
      <c r="BB45" s="856">
        <f ca="1">OFFSET(BB45,0,-1)</f>
        <v>4</v>
      </c>
      <c r="BC45" s="857">
        <f ca="1">OFFSET(BC45,0,-1)+1</f>
        <v>5</v>
      </c>
      <c r="BI45" s="682">
        <v>0</v>
      </c>
    </row>
    <row r="46" spans="1:61" ht="21.95" customHeight="1">
      <c r="A46" s="858" t="s">
        <v>269</v>
      </c>
      <c r="E46" s="1192">
        <v>1</v>
      </c>
      <c r="R46" s="311"/>
      <c r="S46" s="833">
        <f>INDEX(PT_DIFFERENTIATION_NUM_NTAR,MATCH(A46,PT_DIFFERENTIATION_NTAR_ID,0))</f>
        <v>0</v>
      </c>
      <c r="T46" s="796" t="s">
        <v>133</v>
      </c>
      <c r="U46" s="834"/>
      <c r="V46" s="1188"/>
      <c r="W46" s="1188"/>
      <c r="X46" s="1188"/>
      <c r="Y46" s="1188"/>
      <c r="Z46" s="1188"/>
      <c r="AA46" s="1188"/>
      <c r="AB46" s="1188"/>
      <c r="AC46" s="1189"/>
      <c r="AD46" s="1187" t="str">
        <f>INDEX(PT_DIFFERENTIATION_NTAR,MATCH(A46,PT_DIFFERENTIATION_NTAR_ID,0))</f>
        <v/>
      </c>
      <c r="AE46" s="1188"/>
      <c r="AF46" s="1188"/>
      <c r="AG46" s="1188"/>
      <c r="AH46" s="1188"/>
      <c r="AI46" s="1188"/>
      <c r="AJ46" s="1188"/>
      <c r="AK46" s="1188"/>
      <c r="AL46" s="1188"/>
      <c r="AM46" s="1188"/>
      <c r="AN46" s="1188"/>
      <c r="AO46" s="1188"/>
      <c r="AP46" s="1188"/>
      <c r="AQ46" s="1188"/>
      <c r="AR46" s="1188"/>
      <c r="AS46" s="1188"/>
      <c r="AT46" s="1188"/>
      <c r="AU46" s="1188"/>
      <c r="AV46" s="1188"/>
      <c r="AW46" s="1188"/>
      <c r="AX46" s="1188"/>
      <c r="AY46" s="1188"/>
      <c r="AZ46" s="1188"/>
      <c r="BA46" s="1188"/>
      <c r="BB46" s="1189"/>
      <c r="BC46" s="83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6" s="583" t="str">
        <f t="shared" ref="BF46:BF52" si="3">IF(T46="","",T46)</f>
        <v>Наименование тарифа</v>
      </c>
      <c r="BI46" s="539">
        <v>21</v>
      </c>
    </row>
    <row r="47" spans="1:61" ht="21.95" customHeight="1">
      <c r="A47" s="858" t="s">
        <v>269</v>
      </c>
      <c r="B47" s="858" t="s">
        <v>270</v>
      </c>
      <c r="E47" s="1193"/>
      <c r="F47" s="1192">
        <v>1</v>
      </c>
      <c r="Q47" s="880"/>
      <c r="R47" s="838"/>
      <c r="S47" s="833" t="str">
        <f>INDEX(PT_DIFFERENTIATION_NUM_TER,MATCH(B47,PT_DIFFERENTIATION_TER_ID,0))</f>
        <v>.</v>
      </c>
      <c r="T47" s="839" t="s">
        <v>405</v>
      </c>
      <c r="U47" s="834"/>
      <c r="V47" s="1188"/>
      <c r="W47" s="1188"/>
      <c r="X47" s="1188"/>
      <c r="Y47" s="1188"/>
      <c r="Z47" s="1188"/>
      <c r="AA47" s="1188"/>
      <c r="AB47" s="1188"/>
      <c r="AC47" s="1189"/>
      <c r="AD47" s="1187" t="str">
        <f>INDEX(PT_DIFFERENTIATION_TER,MATCH(B47,PT_DIFFERENTIATION_TER_ID,0))</f>
        <v/>
      </c>
      <c r="AE47" s="1188"/>
      <c r="AF47" s="1188"/>
      <c r="AG47" s="1188"/>
      <c r="AH47" s="1188"/>
      <c r="AI47" s="1188"/>
      <c r="AJ47" s="1188"/>
      <c r="AK47" s="1188"/>
      <c r="AL47" s="1188"/>
      <c r="AM47" s="1188"/>
      <c r="AN47" s="1188"/>
      <c r="AO47" s="1188"/>
      <c r="AP47" s="1188"/>
      <c r="AQ47" s="1188"/>
      <c r="AR47" s="1188"/>
      <c r="AS47" s="1188"/>
      <c r="AT47" s="1188"/>
      <c r="AU47" s="1188"/>
      <c r="AV47" s="1188"/>
      <c r="AW47" s="1188"/>
      <c r="AX47" s="1188"/>
      <c r="AY47" s="1188"/>
      <c r="AZ47" s="1188"/>
      <c r="BA47" s="1188"/>
      <c r="BB47" s="1189"/>
      <c r="BC47" s="836" t="s">
        <v>406</v>
      </c>
      <c r="BF47" s="583" t="str">
        <f t="shared" si="3"/>
        <v>Территория действия тарифа</v>
      </c>
      <c r="BI47" s="539">
        <v>21</v>
      </c>
    </row>
    <row r="48" spans="1:61" ht="35.65" customHeight="1">
      <c r="A48" s="858" t="s">
        <v>269</v>
      </c>
      <c r="B48" s="858" t="s">
        <v>270</v>
      </c>
      <c r="C48" s="858" t="s">
        <v>271</v>
      </c>
      <c r="E48" s="1193"/>
      <c r="F48" s="1193"/>
      <c r="G48" s="1192">
        <v>1</v>
      </c>
      <c r="Q48" s="880"/>
      <c r="R48" s="838"/>
      <c r="S48" s="833" t="str">
        <f>INDEX(PT_DIFFERENTIATION_NUM_CS,MATCH(C48,PT_DIFFERENTIATION_CS_ID,0))</f>
        <v>..</v>
      </c>
      <c r="T48" s="840" t="s">
        <v>538</v>
      </c>
      <c r="U48" s="834"/>
      <c r="V48" s="1188"/>
      <c r="W48" s="1188"/>
      <c r="X48" s="1188"/>
      <c r="Y48" s="1188"/>
      <c r="Z48" s="1188"/>
      <c r="AA48" s="1188"/>
      <c r="AB48" s="1188"/>
      <c r="AC48" s="1189"/>
      <c r="AD48" s="1187" t="str">
        <f>INDEX(PT_DIFFERENTIATION_CS,MATCH(C48,PT_DIFFERENTIATION_CS_ID,0))</f>
        <v/>
      </c>
      <c r="AE48" s="1188"/>
      <c r="AF48" s="1188"/>
      <c r="AG48" s="1188"/>
      <c r="AH48" s="1188"/>
      <c r="AI48" s="1188"/>
      <c r="AJ48" s="1188"/>
      <c r="AK48" s="1188"/>
      <c r="AL48" s="1188"/>
      <c r="AM48" s="1188"/>
      <c r="AN48" s="1188"/>
      <c r="AO48" s="1188"/>
      <c r="AP48" s="1188"/>
      <c r="AQ48" s="1188"/>
      <c r="AR48" s="1188"/>
      <c r="AS48" s="1188"/>
      <c r="AT48" s="1188"/>
      <c r="AU48" s="1188"/>
      <c r="AV48" s="1188"/>
      <c r="AW48" s="1188"/>
      <c r="AX48" s="1188"/>
      <c r="AY48" s="1188"/>
      <c r="AZ48" s="1188"/>
      <c r="BA48" s="1188"/>
      <c r="BB48" s="1189"/>
      <c r="BC48" s="836" t="s">
        <v>539</v>
      </c>
      <c r="BF48" s="583" t="str">
        <f t="shared" si="3"/>
        <v>Наименование централизованной системы горячего водоснабжения</v>
      </c>
      <c r="BI48" s="539">
        <v>34</v>
      </c>
    </row>
    <row r="49" spans="1:61" ht="0" hidden="1" customHeight="1">
      <c r="A49" s="575" t="s">
        <v>269</v>
      </c>
      <c r="B49" s="575" t="s">
        <v>270</v>
      </c>
      <c r="C49" s="575" t="s">
        <v>271</v>
      </c>
      <c r="D49" s="575" t="s">
        <v>552</v>
      </c>
      <c r="E49" s="1193"/>
      <c r="F49" s="1193"/>
      <c r="G49" s="1193"/>
      <c r="H49" s="1192">
        <v>1</v>
      </c>
      <c r="Q49" s="909"/>
      <c r="R49" s="845"/>
      <c r="S49" s="636"/>
      <c r="T49" s="910"/>
      <c r="U49" s="861"/>
      <c r="V49" s="1224"/>
      <c r="W49" s="1224"/>
      <c r="X49" s="1224"/>
      <c r="Y49" s="1224"/>
      <c r="Z49" s="1224"/>
      <c r="AA49" s="1224"/>
      <c r="AB49" s="1224"/>
      <c r="AC49" s="1225"/>
      <c r="AD49" s="1223"/>
      <c r="AE49" s="1224"/>
      <c r="AF49" s="1224"/>
      <c r="AG49" s="1224"/>
      <c r="AH49" s="1224"/>
      <c r="AI49" s="1224"/>
      <c r="AJ49" s="1224"/>
      <c r="AK49" s="1224"/>
      <c r="AL49" s="1224"/>
      <c r="AM49" s="1224"/>
      <c r="AN49" s="1224"/>
      <c r="AO49" s="1224"/>
      <c r="AP49" s="1224"/>
      <c r="AQ49" s="1224"/>
      <c r="AR49" s="1224"/>
      <c r="AS49" s="1224"/>
      <c r="AT49" s="1224"/>
      <c r="AU49" s="1224"/>
      <c r="AV49" s="1224"/>
      <c r="AW49" s="1224"/>
      <c r="AX49" s="1224"/>
      <c r="AY49" s="1224"/>
      <c r="AZ49" s="1224"/>
      <c r="BA49" s="1224"/>
      <c r="BB49" s="1225"/>
      <c r="BC49" s="863" t="s">
        <v>410</v>
      </c>
      <c r="BF49" s="583" t="str">
        <f t="shared" si="3"/>
        <v/>
      </c>
      <c r="BI49" s="578">
        <v>0</v>
      </c>
    </row>
    <row r="50" spans="1:61" ht="0" hidden="1" customHeight="1">
      <c r="A50" s="575" t="s">
        <v>269</v>
      </c>
      <c r="B50" s="575" t="s">
        <v>270</v>
      </c>
      <c r="C50" s="575" t="s">
        <v>271</v>
      </c>
      <c r="D50" s="575" t="s">
        <v>552</v>
      </c>
      <c r="E50" s="1193"/>
      <c r="F50" s="1193"/>
      <c r="G50" s="1193"/>
      <c r="H50" s="1193"/>
      <c r="I50" s="1194" t="str">
        <f>S49&amp;".1"</f>
        <v>.1</v>
      </c>
      <c r="L50" s="864" t="s">
        <v>411</v>
      </c>
      <c r="P50" s="1196">
        <v>1</v>
      </c>
      <c r="R50" s="843"/>
      <c r="S50" s="636"/>
      <c r="T50" s="860"/>
      <c r="U50" s="861"/>
      <c r="V50" s="1224"/>
      <c r="W50" s="1224"/>
      <c r="X50" s="1224"/>
      <c r="Y50" s="1224"/>
      <c r="Z50" s="1224"/>
      <c r="AA50" s="1224"/>
      <c r="AB50" s="1224"/>
      <c r="AC50" s="1225"/>
      <c r="AD50" s="1223"/>
      <c r="AE50" s="1224"/>
      <c r="AF50" s="1224"/>
      <c r="AG50" s="1224"/>
      <c r="AH50" s="1224"/>
      <c r="AI50" s="1224"/>
      <c r="AJ50" s="1224"/>
      <c r="AK50" s="1224"/>
      <c r="AL50" s="1224"/>
      <c r="AM50" s="1224"/>
      <c r="AN50" s="1224"/>
      <c r="AO50" s="1224"/>
      <c r="AP50" s="1224"/>
      <c r="AQ50" s="1224"/>
      <c r="AR50" s="1224"/>
      <c r="AS50" s="1224"/>
      <c r="AT50" s="1224"/>
      <c r="AU50" s="1224"/>
      <c r="AV50" s="1224"/>
      <c r="AW50" s="1224"/>
      <c r="AX50" s="1224"/>
      <c r="AY50" s="1224"/>
      <c r="AZ50" s="1224"/>
      <c r="BA50" s="1224"/>
      <c r="BB50" s="1225"/>
      <c r="BC50" s="863"/>
      <c r="BF50" s="583" t="str">
        <f t="shared" si="3"/>
        <v/>
      </c>
      <c r="BI50" s="578">
        <v>0</v>
      </c>
    </row>
    <row r="51" spans="1:61" ht="0" hidden="1" customHeight="1">
      <c r="A51" s="575" t="s">
        <v>269</v>
      </c>
      <c r="B51" s="575" t="s">
        <v>270</v>
      </c>
      <c r="C51" s="575" t="s">
        <v>271</v>
      </c>
      <c r="D51" s="575" t="s">
        <v>552</v>
      </c>
      <c r="E51" s="1193"/>
      <c r="F51" s="1193"/>
      <c r="G51" s="1193"/>
      <c r="H51" s="1193"/>
      <c r="I51" s="1195"/>
      <c r="J51" s="1194" t="str">
        <f>S49&amp;".1"</f>
        <v>.1</v>
      </c>
      <c r="P51" s="1038"/>
      <c r="Q51" s="1196">
        <v>1</v>
      </c>
      <c r="R51" s="845"/>
      <c r="S51" s="636"/>
      <c r="T51" s="881"/>
      <c r="U51" s="861"/>
      <c r="V51" s="1224"/>
      <c r="W51" s="1224"/>
      <c r="X51" s="1224"/>
      <c r="Y51" s="1224"/>
      <c r="Z51" s="1224"/>
      <c r="AA51" s="1224"/>
      <c r="AB51" s="1224"/>
      <c r="AC51" s="1225"/>
      <c r="AD51" s="1223"/>
      <c r="AE51" s="1224"/>
      <c r="AF51" s="1224"/>
      <c r="AG51" s="1224"/>
      <c r="AH51" s="1224"/>
      <c r="AI51" s="1224"/>
      <c r="AJ51" s="1224"/>
      <c r="AK51" s="1224"/>
      <c r="AL51" s="1224"/>
      <c r="AM51" s="1224"/>
      <c r="AN51" s="1275"/>
      <c r="AO51" s="1275"/>
      <c r="AP51" s="1224"/>
      <c r="AQ51" s="1224"/>
      <c r="AR51" s="1224"/>
      <c r="AS51" s="1224"/>
      <c r="AT51" s="1224"/>
      <c r="AU51" s="1224"/>
      <c r="AV51" s="1224"/>
      <c r="AW51" s="1224"/>
      <c r="AX51" s="1224"/>
      <c r="AY51" s="1224"/>
      <c r="AZ51" s="1224"/>
      <c r="BA51" s="1224"/>
      <c r="BB51" s="1225"/>
      <c r="BC51" s="863"/>
      <c r="BF51" s="583" t="str">
        <f t="shared" si="3"/>
        <v/>
      </c>
      <c r="BI51" s="578">
        <v>0</v>
      </c>
    </row>
    <row r="52" spans="1:61" ht="11.45" customHeight="1">
      <c r="A52" s="858" t="s">
        <v>269</v>
      </c>
      <c r="B52" s="858" t="s">
        <v>270</v>
      </c>
      <c r="C52" s="858" t="s">
        <v>271</v>
      </c>
      <c r="D52" s="858" t="s">
        <v>552</v>
      </c>
      <c r="E52" s="1193"/>
      <c r="F52" s="1193"/>
      <c r="G52" s="1193"/>
      <c r="H52" s="1193"/>
      <c r="I52" s="1195"/>
      <c r="J52" s="1195"/>
      <c r="K52" s="1194" t="str">
        <f>S48&amp;".1"</f>
        <v>...1</v>
      </c>
      <c r="P52" s="1038"/>
      <c r="Q52" s="1038"/>
      <c r="R52" s="845">
        <v>1</v>
      </c>
      <c r="S52" s="1249" t="str">
        <f>$K52</f>
        <v>...1</v>
      </c>
      <c r="T52" s="1269"/>
      <c r="U52" s="834"/>
      <c r="V52" s="312"/>
      <c r="W52" s="314"/>
      <c r="X52" s="312"/>
      <c r="Y52" s="314"/>
      <c r="Z52" s="203"/>
      <c r="AA52" s="56" t="s">
        <v>61</v>
      </c>
      <c r="AB52" s="203"/>
      <c r="AC52" s="56" t="s">
        <v>61</v>
      </c>
      <c r="AD52" s="1141" t="s">
        <v>61</v>
      </c>
      <c r="AE52" s="1245"/>
      <c r="AF52" s="1151">
        <v>1</v>
      </c>
      <c r="AG52" s="1268"/>
      <c r="AH52" s="1079" t="s">
        <v>61</v>
      </c>
      <c r="AI52" s="1245"/>
      <c r="AJ52" s="1151">
        <v>1</v>
      </c>
      <c r="AK52" s="1259" t="s">
        <v>22</v>
      </c>
      <c r="AL52" s="1079" t="s">
        <v>61</v>
      </c>
      <c r="AM52" s="1129"/>
      <c r="AN52" s="1151">
        <v>1</v>
      </c>
      <c r="AO52" s="1272"/>
      <c r="AP52" s="1273" t="s">
        <v>61</v>
      </c>
      <c r="AQ52" s="883"/>
      <c r="AR52" s="92">
        <v>1</v>
      </c>
      <c r="AS52" s="14" t="s">
        <v>22</v>
      </c>
      <c r="AT52" s="312"/>
      <c r="AU52" s="314"/>
      <c r="AV52" s="312"/>
      <c r="AW52" s="314"/>
      <c r="AX52" s="203"/>
      <c r="AY52" s="56" t="s">
        <v>61</v>
      </c>
      <c r="AZ52" s="203"/>
      <c r="BA52" s="56" t="s">
        <v>61</v>
      </c>
      <c r="BB52" s="332"/>
      <c r="BC52" s="1215" t="s">
        <v>509</v>
      </c>
      <c r="BF52" s="583" t="str">
        <f t="shared" si="3"/>
        <v/>
      </c>
      <c r="BI52" s="539">
        <v>11</v>
      </c>
    </row>
    <row r="53" spans="1:61" ht="11.45" customHeight="1">
      <c r="E53" s="1193"/>
      <c r="F53" s="1193"/>
      <c r="G53" s="1193"/>
      <c r="H53" s="1193"/>
      <c r="I53" s="1195"/>
      <c r="J53" s="1195"/>
      <c r="K53" s="1194"/>
      <c r="P53" s="1038"/>
      <c r="Q53" s="1038"/>
      <c r="R53" s="845"/>
      <c r="S53" s="1250"/>
      <c r="T53" s="1270"/>
      <c r="U53" s="834"/>
      <c r="V53" s="345"/>
      <c r="W53" s="352"/>
      <c r="X53" s="345"/>
      <c r="Y53" s="352"/>
      <c r="Z53" s="345"/>
      <c r="AA53" s="345"/>
      <c r="AB53" s="345"/>
      <c r="AC53" s="345"/>
      <c r="AD53" s="1142"/>
      <c r="AE53" s="1245"/>
      <c r="AF53" s="1151"/>
      <c r="AG53" s="1268"/>
      <c r="AH53" s="1079"/>
      <c r="AI53" s="1245"/>
      <c r="AJ53" s="1151"/>
      <c r="AK53" s="1259"/>
      <c r="AL53" s="1079"/>
      <c r="AM53" s="1134"/>
      <c r="AN53" s="1151"/>
      <c r="AO53" s="1272"/>
      <c r="AP53" s="1274"/>
      <c r="AQ53" s="265"/>
      <c r="AR53" s="49"/>
      <c r="AS53" s="49" t="s">
        <v>510</v>
      </c>
      <c r="AT53" s="345"/>
      <c r="AU53" s="352"/>
      <c r="AV53" s="345"/>
      <c r="AW53" s="352"/>
      <c r="AX53" s="345"/>
      <c r="AY53" s="345"/>
      <c r="AZ53" s="345"/>
      <c r="BA53" s="345"/>
      <c r="BB53" s="351"/>
      <c r="BC53" s="1216"/>
      <c r="BI53" s="539">
        <v>11</v>
      </c>
    </row>
    <row r="54" spans="1:61" ht="11.45" customHeight="1">
      <c r="A54" s="858" t="s">
        <v>269</v>
      </c>
      <c r="E54" s="1193"/>
      <c r="F54" s="1193"/>
      <c r="G54" s="1193"/>
      <c r="H54" s="1193"/>
      <c r="I54" s="1195"/>
      <c r="J54" s="1195"/>
      <c r="K54" s="1194"/>
      <c r="P54" s="1038"/>
      <c r="Q54" s="1038"/>
      <c r="R54" s="845"/>
      <c r="S54" s="1250"/>
      <c r="T54" s="1270"/>
      <c r="U54" s="834"/>
      <c r="V54" s="345"/>
      <c r="W54" s="352"/>
      <c r="X54" s="345"/>
      <c r="Y54" s="352"/>
      <c r="Z54" s="345"/>
      <c r="AA54" s="345"/>
      <c r="AB54" s="345"/>
      <c r="AC54" s="345"/>
      <c r="AD54" s="1142"/>
      <c r="AE54" s="1245"/>
      <c r="AF54" s="1151"/>
      <c r="AG54" s="1268"/>
      <c r="AH54" s="1079"/>
      <c r="AI54" s="1245"/>
      <c r="AJ54" s="1151"/>
      <c r="AK54" s="1259"/>
      <c r="AL54" s="1079"/>
      <c r="AM54" s="265"/>
      <c r="AN54" s="304"/>
      <c r="AO54" s="304" t="s">
        <v>511</v>
      </c>
      <c r="AP54" s="49"/>
      <c r="AQ54" s="49"/>
      <c r="AR54" s="49"/>
      <c r="AS54" s="345"/>
      <c r="AT54" s="345"/>
      <c r="AU54" s="352"/>
      <c r="AV54" s="345"/>
      <c r="AW54" s="352"/>
      <c r="AX54" s="345"/>
      <c r="AY54" s="345"/>
      <c r="AZ54" s="345"/>
      <c r="BA54" s="345"/>
      <c r="BB54" s="351"/>
      <c r="BC54" s="1216"/>
      <c r="BI54" s="539">
        <v>11</v>
      </c>
    </row>
    <row r="55" spans="1:61" ht="11.45" customHeight="1">
      <c r="A55" s="858" t="s">
        <v>269</v>
      </c>
      <c r="E55" s="1193"/>
      <c r="F55" s="1193"/>
      <c r="G55" s="1193"/>
      <c r="H55" s="1193"/>
      <c r="I55" s="1195"/>
      <c r="J55" s="1195"/>
      <c r="K55" s="1194"/>
      <c r="P55" s="1038"/>
      <c r="Q55" s="1038"/>
      <c r="R55" s="845"/>
      <c r="S55" s="1250"/>
      <c r="T55" s="1270"/>
      <c r="U55" s="834"/>
      <c r="V55" s="345"/>
      <c r="W55" s="352"/>
      <c r="X55" s="345"/>
      <c r="Y55" s="352"/>
      <c r="Z55" s="345"/>
      <c r="AA55" s="345"/>
      <c r="AB55" s="345"/>
      <c r="AC55" s="345"/>
      <c r="AD55" s="1142"/>
      <c r="AE55" s="1245"/>
      <c r="AF55" s="1151"/>
      <c r="AG55" s="1268"/>
      <c r="AH55" s="1079"/>
      <c r="AI55" s="354"/>
      <c r="AJ55" s="44"/>
      <c r="AK55" s="120" t="s">
        <v>512</v>
      </c>
      <c r="AL55" s="345"/>
      <c r="AM55" s="345"/>
      <c r="AN55" s="345"/>
      <c r="AO55" s="345"/>
      <c r="AP55" s="345"/>
      <c r="AQ55" s="345"/>
      <c r="AR55" s="345"/>
      <c r="AS55" s="345"/>
      <c r="AT55" s="345"/>
      <c r="AU55" s="352"/>
      <c r="AV55" s="345"/>
      <c r="AW55" s="352"/>
      <c r="AX55" s="345"/>
      <c r="AY55" s="345"/>
      <c r="AZ55" s="345"/>
      <c r="BA55" s="345"/>
      <c r="BB55" s="351"/>
      <c r="BC55" s="1216"/>
      <c r="BI55" s="539">
        <v>11</v>
      </c>
    </row>
    <row r="56" spans="1:61" ht="11.45" customHeight="1">
      <c r="A56" s="858" t="s">
        <v>269</v>
      </c>
      <c r="B56" s="858" t="s">
        <v>270</v>
      </c>
      <c r="C56" s="858" t="s">
        <v>271</v>
      </c>
      <c r="D56" s="858" t="s">
        <v>552</v>
      </c>
      <c r="E56" s="1193"/>
      <c r="F56" s="1193"/>
      <c r="G56" s="1193"/>
      <c r="H56" s="1193"/>
      <c r="I56" s="1195"/>
      <c r="J56" s="1195"/>
      <c r="K56" s="1194"/>
      <c r="P56" s="1038"/>
      <c r="Q56" s="1038"/>
      <c r="R56" s="845"/>
      <c r="S56" s="1251"/>
      <c r="T56" s="1271"/>
      <c r="U56" s="834"/>
      <c r="V56" s="345"/>
      <c r="W56" s="346" t="str">
        <f>Z52&amp;"-"&amp;AB52</f>
        <v>-</v>
      </c>
      <c r="X56" s="345"/>
      <c r="Y56" s="346" t="str">
        <f>AB52&amp;"-"&amp;AD52</f>
        <v>-да</v>
      </c>
      <c r="Z56" s="345"/>
      <c r="AA56" s="345"/>
      <c r="AB56" s="345"/>
      <c r="AC56" s="345"/>
      <c r="AD56" s="1085"/>
      <c r="AE56" s="356"/>
      <c r="AF56" s="357"/>
      <c r="AG56" s="49" t="s">
        <v>513</v>
      </c>
      <c r="AH56" s="345"/>
      <c r="AI56" s="345"/>
      <c r="AJ56" s="345"/>
      <c r="AK56" s="345"/>
      <c r="AL56" s="345"/>
      <c r="AM56" s="345"/>
      <c r="AN56" s="345"/>
      <c r="AO56" s="345"/>
      <c r="AP56" s="345"/>
      <c r="AQ56" s="345"/>
      <c r="AR56" s="345"/>
      <c r="AS56" s="345"/>
      <c r="AT56" s="345"/>
      <c r="AU56" s="346" t="str">
        <f>AX52&amp;"-"&amp;AZ52</f>
        <v>-</v>
      </c>
      <c r="AV56" s="345"/>
      <c r="AW56" s="346" t="str">
        <f>AZ52&amp;"-"&amp;BB52</f>
        <v>-</v>
      </c>
      <c r="AX56" s="345"/>
      <c r="AY56" s="345"/>
      <c r="AZ56" s="345"/>
      <c r="BA56" s="345"/>
      <c r="BB56" s="355" t="str">
        <f>BE52&amp;"-"&amp;BG52</f>
        <v>-</v>
      </c>
      <c r="BC56" s="1216"/>
      <c r="BF56" s="583" t="str">
        <f t="shared" ref="BF56:BF63" si="4">IF(T56="","",T56)</f>
        <v/>
      </c>
      <c r="BI56" s="539">
        <v>11</v>
      </c>
    </row>
    <row r="57" spans="1:61" ht="11.45" customHeight="1">
      <c r="A57" s="858" t="s">
        <v>269</v>
      </c>
      <c r="B57" s="858" t="s">
        <v>270</v>
      </c>
      <c r="C57" s="858" t="s">
        <v>271</v>
      </c>
      <c r="D57" s="858" t="s">
        <v>552</v>
      </c>
      <c r="E57" s="1193"/>
      <c r="F57" s="1193"/>
      <c r="G57" s="1193"/>
      <c r="H57" s="1193"/>
      <c r="I57" s="1195"/>
      <c r="J57" s="1194"/>
      <c r="P57" s="1038"/>
      <c r="Q57" s="1038"/>
      <c r="R57" s="843"/>
      <c r="S57" s="316"/>
      <c r="T57" s="319" t="s">
        <v>476</v>
      </c>
      <c r="U57" s="52"/>
      <c r="V57" s="52"/>
      <c r="W57" s="52"/>
      <c r="X57" s="52"/>
      <c r="Y57" s="52"/>
      <c r="Z57" s="52"/>
      <c r="AA57" s="52"/>
      <c r="AB57" s="52"/>
      <c r="AC57" s="318"/>
      <c r="AD57" s="36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318"/>
      <c r="BC57" s="1217"/>
      <c r="BF57" s="583" t="str">
        <f t="shared" si="4"/>
        <v>Добавить строку</v>
      </c>
      <c r="BI57" s="539">
        <v>11</v>
      </c>
    </row>
    <row r="58" spans="1:61" ht="0" hidden="1" customHeight="1">
      <c r="A58" s="575" t="s">
        <v>269</v>
      </c>
      <c r="B58" s="575" t="s">
        <v>270</v>
      </c>
      <c r="C58" s="575" t="s">
        <v>271</v>
      </c>
      <c r="D58" s="575" t="s">
        <v>552</v>
      </c>
      <c r="E58" s="1193"/>
      <c r="F58" s="1193"/>
      <c r="G58" s="1193"/>
      <c r="H58" s="1193"/>
      <c r="I58" s="1194"/>
      <c r="P58" s="1038"/>
      <c r="R58" s="843"/>
      <c r="S58" s="335"/>
      <c r="T58" s="336"/>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c r="BC58" s="338"/>
      <c r="BF58" s="583" t="str">
        <f t="shared" si="4"/>
        <v/>
      </c>
      <c r="BI58" s="578">
        <v>0</v>
      </c>
    </row>
    <row r="59" spans="1:61" ht="0" hidden="1" customHeight="1">
      <c r="A59" s="575" t="s">
        <v>269</v>
      </c>
      <c r="B59" s="575" t="s">
        <v>270</v>
      </c>
      <c r="C59" s="575" t="s">
        <v>271</v>
      </c>
      <c r="D59" s="575" t="s">
        <v>552</v>
      </c>
      <c r="E59" s="1193"/>
      <c r="F59" s="1193"/>
      <c r="G59" s="1193"/>
      <c r="H59" s="1192"/>
      <c r="R59" s="358"/>
      <c r="S59" s="335"/>
      <c r="T59" s="336"/>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c r="BC59" s="338"/>
      <c r="BF59" s="583" t="str">
        <f t="shared" si="4"/>
        <v/>
      </c>
      <c r="BI59" s="578">
        <v>0</v>
      </c>
    </row>
    <row r="60" spans="1:61" ht="0" hidden="1" customHeight="1">
      <c r="A60" s="575" t="s">
        <v>269</v>
      </c>
      <c r="B60" s="575" t="s">
        <v>270</v>
      </c>
      <c r="C60" s="575" t="s">
        <v>271</v>
      </c>
      <c r="E60" s="1193"/>
      <c r="F60" s="1193"/>
      <c r="G60" s="1192"/>
      <c r="BF60" s="583" t="str">
        <f t="shared" si="4"/>
        <v/>
      </c>
      <c r="BI60" s="578">
        <v>0</v>
      </c>
    </row>
    <row r="61" spans="1:61" ht="0" hidden="1" customHeight="1">
      <c r="A61" s="575" t="s">
        <v>269</v>
      </c>
      <c r="B61" s="575" t="s">
        <v>270</v>
      </c>
      <c r="E61" s="1193"/>
      <c r="F61" s="1192"/>
      <c r="T61" s="327" t="s">
        <v>423</v>
      </c>
      <c r="BF61" s="583" t="str">
        <f t="shared" si="4"/>
        <v>Добавить централизованную систему для дифференциации</v>
      </c>
      <c r="BI61" s="578">
        <v>0</v>
      </c>
    </row>
    <row r="62" spans="1:61" ht="0" hidden="1" customHeight="1">
      <c r="A62" s="575" t="s">
        <v>269</v>
      </c>
      <c r="E62" s="1192"/>
      <c r="T62" s="327" t="s">
        <v>424</v>
      </c>
      <c r="BF62" s="583" t="str">
        <f t="shared" si="4"/>
        <v>Добавить территорию для дифференциации</v>
      </c>
      <c r="BI62" s="578">
        <v>0</v>
      </c>
    </row>
    <row r="63" spans="1:61" ht="0" hidden="1" customHeight="1">
      <c r="T63" s="327" t="s">
        <v>456</v>
      </c>
      <c r="BF63" s="583" t="str">
        <f t="shared" si="4"/>
        <v>Добавить наименование тарифа</v>
      </c>
      <c r="BI63" s="578">
        <v>0</v>
      </c>
    </row>
    <row r="64" spans="1:61" ht="11.45" customHeight="1">
      <c r="BI64" s="539">
        <v>11</v>
      </c>
    </row>
    <row r="65" spans="1:61" ht="19.899999999999999" customHeight="1">
      <c r="T65" s="1038"/>
      <c r="U65" s="1038"/>
      <c r="V65" s="1038"/>
      <c r="W65" s="1038"/>
      <c r="X65" s="1038"/>
      <c r="Y65" s="1038"/>
      <c r="Z65" s="1038"/>
      <c r="AA65" s="1038"/>
      <c r="AB65" s="1038"/>
      <c r="AC65" s="1038"/>
      <c r="AD65" s="1038"/>
      <c r="AE65" s="1038"/>
      <c r="AF65" s="1038"/>
      <c r="AG65" s="1038"/>
      <c r="AH65" s="1038"/>
      <c r="AI65" s="1038"/>
      <c r="AJ65" s="1038"/>
      <c r="AK65" s="1038"/>
      <c r="AL65" s="1038"/>
      <c r="AM65" s="1038"/>
      <c r="AN65" s="1038"/>
      <c r="AO65" s="1038"/>
      <c r="AP65" s="1038"/>
      <c r="AQ65" s="1038"/>
      <c r="AR65" s="1038"/>
      <c r="AS65" s="1038"/>
      <c r="AT65" s="1038"/>
      <c r="AU65" s="1038"/>
      <c r="AV65" s="1038"/>
      <c r="AW65" s="1038"/>
      <c r="AX65" s="1038"/>
      <c r="AY65" s="1038"/>
      <c r="AZ65" s="1038"/>
      <c r="BA65" s="1038"/>
      <c r="BB65" s="1038"/>
      <c r="BC65" s="1038"/>
      <c r="BI65" s="539">
        <v>19</v>
      </c>
    </row>
    <row r="66" spans="1:61" ht="14.65" customHeight="1">
      <c r="BI66" s="539">
        <v>14</v>
      </c>
    </row>
    <row r="67" spans="1:61" ht="19.899999999999999" customHeight="1">
      <c r="T67" s="1038"/>
      <c r="U67" s="1038"/>
      <c r="V67" s="1038"/>
      <c r="W67" s="1038"/>
      <c r="X67" s="1038"/>
      <c r="Y67" s="1038"/>
      <c r="Z67" s="1038"/>
      <c r="AA67" s="1038"/>
      <c r="AB67" s="1038"/>
      <c r="AC67" s="1038"/>
      <c r="AD67" s="1038"/>
      <c r="AE67" s="1038"/>
      <c r="AF67" s="1038"/>
      <c r="AG67" s="1038"/>
      <c r="AH67" s="1038"/>
      <c r="AI67" s="1038"/>
      <c r="AJ67" s="1038"/>
      <c r="AK67" s="1038"/>
      <c r="AL67" s="1038"/>
      <c r="AM67" s="1038"/>
      <c r="AN67" s="1038"/>
      <c r="AO67" s="1038"/>
      <c r="AP67" s="1038"/>
      <c r="AQ67" s="1038"/>
      <c r="AR67" s="1038"/>
      <c r="AS67" s="1038"/>
      <c r="AT67" s="1038"/>
      <c r="AU67" s="1038"/>
      <c r="AV67" s="1038"/>
      <c r="AW67" s="1038"/>
      <c r="AX67" s="1038"/>
      <c r="AY67" s="1038"/>
      <c r="AZ67" s="1038"/>
      <c r="BA67" s="1038"/>
      <c r="BB67" s="1038"/>
      <c r="BC67" s="1038"/>
      <c r="BI67" s="539">
        <v>19</v>
      </c>
    </row>
    <row r="68" spans="1:61" ht="14.65" customHeight="1">
      <c r="BI68" s="539">
        <v>14</v>
      </c>
    </row>
    <row r="69" spans="1:61" ht="14.25" hidden="1" customHeight="1">
      <c r="A69" s="556" t="s">
        <v>81</v>
      </c>
      <c r="B69" s="556">
        <v>0</v>
      </c>
      <c r="C69" s="556">
        <v>0</v>
      </c>
      <c r="D69" s="556">
        <v>0</v>
      </c>
      <c r="E69" s="556">
        <v>0</v>
      </c>
      <c r="F69" s="556">
        <v>0</v>
      </c>
      <c r="G69" s="556">
        <v>0</v>
      </c>
      <c r="H69" s="556">
        <v>0</v>
      </c>
      <c r="I69" s="556">
        <v>0</v>
      </c>
      <c r="J69" s="556">
        <v>0</v>
      </c>
      <c r="K69" s="556">
        <v>0</v>
      </c>
      <c r="L69" s="668">
        <v>0</v>
      </c>
      <c r="M69" s="12">
        <v>0</v>
      </c>
      <c r="N69" s="12">
        <v>0</v>
      </c>
      <c r="O69" s="12">
        <v>0</v>
      </c>
      <c r="P69" s="12">
        <v>0</v>
      </c>
      <c r="Q69" s="890">
        <v>0</v>
      </c>
      <c r="R69" s="822">
        <v>3</v>
      </c>
      <c r="S69" s="554">
        <v>12</v>
      </c>
      <c r="T69" s="539">
        <v>31</v>
      </c>
      <c r="U69" s="539">
        <v>0</v>
      </c>
      <c r="V69" s="539">
        <v>0</v>
      </c>
      <c r="W69" s="539">
        <v>0</v>
      </c>
      <c r="X69" s="539">
        <v>0</v>
      </c>
      <c r="Y69" s="539">
        <v>0</v>
      </c>
      <c r="Z69" s="539">
        <v>0</v>
      </c>
      <c r="AA69" s="539">
        <v>0</v>
      </c>
      <c r="AB69" s="539">
        <v>0</v>
      </c>
      <c r="AC69" s="539">
        <v>0</v>
      </c>
      <c r="AD69" s="539">
        <v>3</v>
      </c>
      <c r="AE69" s="539">
        <v>3</v>
      </c>
      <c r="AF69" s="539">
        <v>3</v>
      </c>
      <c r="AG69" s="539">
        <v>24</v>
      </c>
      <c r="AH69" s="539">
        <v>3</v>
      </c>
      <c r="AI69" s="539">
        <v>3</v>
      </c>
      <c r="AJ69" s="539">
        <v>3</v>
      </c>
      <c r="AK69" s="539">
        <v>24</v>
      </c>
      <c r="AL69" s="539">
        <v>3</v>
      </c>
      <c r="AM69" s="539">
        <v>3</v>
      </c>
      <c r="AN69" s="539">
        <v>3</v>
      </c>
      <c r="AO69" s="539">
        <v>18</v>
      </c>
      <c r="AP69" s="539">
        <v>3</v>
      </c>
      <c r="AQ69" s="539">
        <v>3</v>
      </c>
      <c r="AR69" s="539">
        <v>3</v>
      </c>
      <c r="AS69" s="539">
        <v>18</v>
      </c>
      <c r="AT69" s="539">
        <v>21</v>
      </c>
      <c r="AU69" s="539">
        <v>21</v>
      </c>
      <c r="AV69" s="539">
        <v>21</v>
      </c>
      <c r="AW69" s="539">
        <v>21</v>
      </c>
      <c r="AX69" s="539">
        <v>11</v>
      </c>
      <c r="AY69" s="539">
        <v>3</v>
      </c>
      <c r="AZ69" s="539">
        <v>11</v>
      </c>
      <c r="BA69" s="539">
        <v>0</v>
      </c>
      <c r="BB69" s="539">
        <v>4</v>
      </c>
      <c r="BC69" s="539">
        <v>115</v>
      </c>
      <c r="BD69" s="578">
        <v>10</v>
      </c>
      <c r="BE69" s="578">
        <v>10</v>
      </c>
      <c r="BF69" s="578">
        <v>10</v>
      </c>
      <c r="BG69" s="578">
        <v>10</v>
      </c>
      <c r="BH69" s="578">
        <v>10</v>
      </c>
      <c r="BI69" s="53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9"/>
  <sheetViews>
    <sheetView showGridLines="0" zoomScale="90" workbookViewId="0">
      <pane xSplit="8" ySplit="29" topLeftCell="I75" activePane="bottomRight" state="frozen"/>
      <selection pane="topRight" activeCell="I1" sqref="I1"/>
      <selection pane="bottomLeft" activeCell="A30" sqref="A30"/>
      <selection pane="bottomRight" activeCell="K86" sqref="K86"/>
    </sheetView>
  </sheetViews>
  <sheetFormatPr defaultColWidth="9.140625" defaultRowHeight="11.25" customHeight="1"/>
  <cols>
    <col min="1" max="1" width="10.7109375" style="1030" hidden="1" customWidth="1"/>
    <col min="2" max="2" width="16.85546875" style="1030" hidden="1" customWidth="1"/>
    <col min="3" max="3" width="5.5703125" style="1030" hidden="1" customWidth="1"/>
    <col min="4" max="4" width="3" style="1030" customWidth="1"/>
    <col min="5" max="5" width="7" style="1030" customWidth="1"/>
    <col min="6" max="6" width="54" style="1030" customWidth="1"/>
    <col min="7" max="7" width="10" style="1030" customWidth="1"/>
    <col min="8" max="8" width="40.7109375" style="1030" hidden="1" customWidth="1"/>
    <col min="9" max="11" width="40.7109375" style="1030" customWidth="1"/>
    <col min="12" max="12" width="102" style="1030" customWidth="1"/>
    <col min="13" max="13" width="9" style="1030" customWidth="1"/>
    <col min="14" max="14" width="5" style="1030" customWidth="1"/>
    <col min="15" max="19" width="3" style="1030" customWidth="1"/>
    <col min="20" max="20" width="10" style="1030" customWidth="1"/>
    <col min="21" max="21" width="34" style="1030" customWidth="1"/>
    <col min="22" max="22" width="9" style="1030" customWidth="1"/>
    <col min="23" max="33" width="8" style="1030" customWidth="1"/>
    <col min="34" max="34" width="9.140625" style="1030" hidden="1"/>
  </cols>
  <sheetData>
    <row r="1" spans="2:34" ht="22.5" hidden="1" customHeight="1">
      <c r="J1"/>
      <c r="K1"/>
      <c r="AH1" s="539" t="s">
        <v>14</v>
      </c>
    </row>
    <row r="2" spans="2:34" ht="23.25" hidden="1" customHeight="1">
      <c r="B2" s="1038"/>
      <c r="C2" s="359" t="s">
        <v>553</v>
      </c>
      <c r="E2" s="911">
        <f>B2</f>
        <v>0</v>
      </c>
      <c r="F2" s="912"/>
      <c r="G2" s="584" t="s">
        <v>554</v>
      </c>
      <c r="H2" s="584" t="s">
        <v>554</v>
      </c>
      <c r="I2" s="584" t="s">
        <v>554</v>
      </c>
      <c r="J2" s="35" t="s">
        <v>554</v>
      </c>
      <c r="K2" s="35" t="s">
        <v>554</v>
      </c>
      <c r="L2" s="796" t="s">
        <v>555</v>
      </c>
      <c r="AH2" s="539">
        <v>0</v>
      </c>
    </row>
    <row r="3" spans="2:34" ht="0.75" hidden="1" customHeight="1">
      <c r="B3" s="1038"/>
      <c r="E3" s="913"/>
      <c r="F3" s="914" t="s">
        <v>556</v>
      </c>
      <c r="G3" s="585"/>
      <c r="H3" s="585">
        <f>H4*H5+H6</f>
        <v>0</v>
      </c>
      <c r="I3" s="585">
        <f>I4*I5+I6</f>
        <v>0</v>
      </c>
      <c r="J3" s="36">
        <f>J4*J5+J6</f>
        <v>0</v>
      </c>
      <c r="K3" s="36">
        <f>K4*K5+K6</f>
        <v>0</v>
      </c>
      <c r="L3" s="635"/>
      <c r="AH3" s="578">
        <v>0</v>
      </c>
    </row>
    <row r="4" spans="2:34" ht="23.25" hidden="1" customHeight="1">
      <c r="B4" s="1038"/>
      <c r="E4" s="911" t="str">
        <f>B2&amp;".1"</f>
        <v>.1</v>
      </c>
      <c r="F4" s="915" t="s">
        <v>557</v>
      </c>
      <c r="G4" s="401"/>
      <c r="H4" s="312"/>
      <c r="I4" s="312"/>
      <c r="J4" s="312"/>
      <c r="K4" s="312"/>
      <c r="L4" s="796" t="s">
        <v>558</v>
      </c>
      <c r="AH4" s="539">
        <v>0</v>
      </c>
    </row>
    <row r="5" spans="2:34" ht="18.75" hidden="1" customHeight="1">
      <c r="B5" s="1038"/>
      <c r="E5" s="911" t="str">
        <f>B2&amp;".2"</f>
        <v>.2</v>
      </c>
      <c r="F5" s="915" t="s">
        <v>559</v>
      </c>
      <c r="G5" s="584" t="s">
        <v>560</v>
      </c>
      <c r="H5" s="312"/>
      <c r="I5" s="312"/>
      <c r="J5" s="312"/>
      <c r="K5" s="312"/>
      <c r="L5" s="796"/>
      <c r="AH5" s="539">
        <v>0</v>
      </c>
    </row>
    <row r="6" spans="2:34" ht="18.75" hidden="1" customHeight="1">
      <c r="B6" s="1038"/>
      <c r="E6" s="911" t="str">
        <f>B2&amp;".3"</f>
        <v>.3</v>
      </c>
      <c r="F6" s="915" t="s">
        <v>561</v>
      </c>
      <c r="G6" s="584" t="s">
        <v>560</v>
      </c>
      <c r="H6" s="312"/>
      <c r="I6" s="312"/>
      <c r="J6" s="312"/>
      <c r="K6" s="312"/>
      <c r="L6" s="796"/>
      <c r="AH6" s="539">
        <v>0</v>
      </c>
    </row>
    <row r="7" spans="2:34" ht="18.75" hidden="1" customHeight="1">
      <c r="B7" s="1038"/>
      <c r="E7" s="911" t="str">
        <f>B2&amp;".4"</f>
        <v>.4</v>
      </c>
      <c r="F7" s="915" t="s">
        <v>562</v>
      </c>
      <c r="G7" s="584" t="s">
        <v>554</v>
      </c>
      <c r="H7" s="916"/>
      <c r="I7" s="916"/>
      <c r="J7" s="402"/>
      <c r="K7" s="402"/>
      <c r="L7" s="796"/>
      <c r="AH7" s="539">
        <v>0</v>
      </c>
    </row>
    <row r="8" spans="2:34" ht="11.25" hidden="1" customHeight="1">
      <c r="H8" s="556">
        <v>4</v>
      </c>
      <c r="I8" s="556">
        <v>4</v>
      </c>
      <c r="J8" s="9">
        <v>4</v>
      </c>
      <c r="K8" s="9">
        <v>4</v>
      </c>
      <c r="AH8" s="556">
        <v>0</v>
      </c>
    </row>
    <row r="9" spans="2:34" ht="22.5" hidden="1" customHeight="1">
      <c r="E9" s="584"/>
      <c r="F9" s="37"/>
      <c r="G9" s="584" t="s">
        <v>560</v>
      </c>
      <c r="H9" s="312"/>
      <c r="I9" s="312"/>
      <c r="J9" s="312"/>
      <c r="K9" s="312"/>
      <c r="L9" s="917" t="s">
        <v>563</v>
      </c>
      <c r="AH9" s="556">
        <v>0</v>
      </c>
    </row>
    <row r="10" spans="2:34" ht="11.25" hidden="1" customHeight="1">
      <c r="J10"/>
      <c r="K10"/>
      <c r="AH10" s="539">
        <v>0</v>
      </c>
    </row>
    <row r="11" spans="2:34" ht="18.75" hidden="1" customHeight="1">
      <c r="E11" s="911"/>
      <c r="F11" s="37"/>
      <c r="G11" s="584" t="s">
        <v>564</v>
      </c>
      <c r="H11" s="312"/>
      <c r="I11" s="312"/>
      <c r="J11" s="312"/>
      <c r="K11" s="312"/>
      <c r="L11" s="796" t="s">
        <v>565</v>
      </c>
      <c r="AH11" s="539">
        <v>0</v>
      </c>
    </row>
    <row r="12" spans="2:34" ht="11.25" hidden="1" customHeight="1">
      <c r="J12"/>
      <c r="K12"/>
      <c r="AH12" s="539">
        <v>0</v>
      </c>
    </row>
    <row r="13" spans="2:34" ht="22.5" hidden="1" customHeight="1">
      <c r="E13" s="911"/>
      <c r="F13" s="37"/>
      <c r="G13" s="543" t="s">
        <v>566</v>
      </c>
      <c r="H13" s="404"/>
      <c r="I13" s="404"/>
      <c r="J13" s="404"/>
      <c r="K13" s="404"/>
      <c r="L13" s="918" t="s">
        <v>567</v>
      </c>
      <c r="AH13" s="539">
        <v>0</v>
      </c>
    </row>
    <row r="14" spans="2:34" ht="11.25" hidden="1" customHeight="1">
      <c r="J14"/>
      <c r="K14"/>
      <c r="AH14" s="539">
        <v>0</v>
      </c>
    </row>
    <row r="15" spans="2:34" ht="22.5" hidden="1" customHeight="1">
      <c r="E15" s="911"/>
      <c r="F15" s="37"/>
      <c r="G15" s="584" t="s">
        <v>568</v>
      </c>
      <c r="H15" s="404"/>
      <c r="I15" s="404"/>
      <c r="J15" s="404"/>
      <c r="K15" s="404"/>
      <c r="L15" s="796" t="s">
        <v>569</v>
      </c>
      <c r="AH15" s="539">
        <v>0</v>
      </c>
    </row>
    <row r="16" spans="2:34" ht="11.25" hidden="1" customHeight="1">
      <c r="J16"/>
      <c r="K16"/>
      <c r="AH16" s="539">
        <v>0</v>
      </c>
    </row>
    <row r="17" spans="5:34" ht="22.5" hidden="1" customHeight="1">
      <c r="E17" s="911"/>
      <c r="F17" s="37"/>
      <c r="G17" s="584" t="s">
        <v>570</v>
      </c>
      <c r="H17" s="404"/>
      <c r="I17" s="404"/>
      <c r="J17" s="404"/>
      <c r="K17" s="404"/>
      <c r="L17" s="796" t="s">
        <v>571</v>
      </c>
      <c r="AH17" s="539">
        <v>0</v>
      </c>
    </row>
    <row r="18" spans="5:34" ht="11.25" hidden="1" customHeight="1">
      <c r="J18"/>
      <c r="K18"/>
      <c r="AH18" s="539">
        <v>0</v>
      </c>
    </row>
    <row r="19" spans="5:34" ht="11.25" hidden="1" customHeight="1">
      <c r="J19"/>
      <c r="K19"/>
      <c r="L19" s="537">
        <v>4</v>
      </c>
      <c r="AH19" s="537">
        <v>0</v>
      </c>
    </row>
    <row r="20" spans="5:34" ht="11.45" customHeight="1">
      <c r="J20"/>
      <c r="K20"/>
      <c r="AH20" s="539">
        <v>11</v>
      </c>
    </row>
    <row r="21" spans="5:34" ht="25.15" customHeight="1">
      <c r="E21" s="117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174"/>
      <c r="G21" s="1174"/>
      <c r="H21" s="1174"/>
      <c r="I21" s="1174"/>
      <c r="J21" s="125"/>
      <c r="K21" s="125"/>
      <c r="AH21" s="539">
        <v>24</v>
      </c>
    </row>
    <row r="22" spans="5:34" ht="25.15" customHeight="1">
      <c r="E22" s="1148" t="str">
        <f>IF(org=0,"Не определено",org)</f>
        <v>АО "НИЖЕГОРОДСКИЙ ВОДОКАНАЛ"</v>
      </c>
      <c r="F22" s="1148"/>
      <c r="G22" s="1148"/>
      <c r="H22" s="1148"/>
      <c r="I22" s="1148"/>
      <c r="J22" s="77"/>
      <c r="K22" s="77"/>
      <c r="AH22" s="539">
        <v>24</v>
      </c>
    </row>
    <row r="23" spans="5:34" ht="11.45" customHeight="1">
      <c r="J23" t="s">
        <v>22</v>
      </c>
      <c r="K23" t="s">
        <v>22</v>
      </c>
      <c r="AH23" s="539">
        <v>11</v>
      </c>
    </row>
    <row r="24" spans="5:34" ht="1.1499999999999999" customHeight="1">
      <c r="H24" s="919"/>
      <c r="I24" s="919" t="s">
        <v>122</v>
      </c>
      <c r="J24" s="405" t="s">
        <v>127</v>
      </c>
      <c r="K24" s="405" t="s">
        <v>129</v>
      </c>
      <c r="AH24" s="578">
        <v>1</v>
      </c>
    </row>
    <row r="25" spans="5:34" ht="11.45" customHeight="1">
      <c r="E25" s="898"/>
      <c r="F25" s="1278" t="s">
        <v>110</v>
      </c>
      <c r="G25" s="1279"/>
      <c r="H25" s="920" t="str">
        <f>IF(H24="","",INDEX(DIFFERENTIATION_UNMERGE_VD,MATCH(H24,DIFFERENTIATION_ID_DIFF,0)))</f>
        <v/>
      </c>
      <c r="I25" s="920" t="str">
        <f>IF(I24="","",INDEX(DIFFERENTIATION_UNMERGE_VD,MATCH(I24,DIFFERENTIATION_ID_DIFF,0)))</f>
        <v>Водоотведение</v>
      </c>
      <c r="J25" s="406" t="str">
        <f>IF(J24="","",INDEX(DIFFERENTIATION_UNMERGE_VD,MATCH(J24,DIFFERENTIATION_ID_DIFF,0)))</f>
        <v>Водоотведение</v>
      </c>
      <c r="K25" s="406" t="str">
        <f>IF(K24="","",INDEX(DIFFERENTIATION_UNMERGE_VD,MATCH(K24,DIFFERENTIATION_ID_DIFF,0)))</f>
        <v>Подключение (технологическое присоединение) к централизованной системе водоотведения</v>
      </c>
      <c r="L25" s="1070"/>
      <c r="AH25" s="539">
        <v>11</v>
      </c>
    </row>
    <row r="26" spans="5:34" ht="11.45" customHeight="1">
      <c r="E26" s="898"/>
      <c r="F26" s="1278" t="s">
        <v>572</v>
      </c>
      <c r="G26" s="1279"/>
      <c r="H26" s="920" t="str">
        <f>IF(H24="","",INDEX(DIFFERENTIATION_UNMERGE_AREA,MATCH(H24,DIFFERENTIATION_ID_DIFF,0)))</f>
        <v/>
      </c>
      <c r="I26" s="920" t="str">
        <f>IF(I24="","",INDEX(DIFFERENTIATION_UNMERGE_AREA,MATCH(I24,DIFFERENTIATION_ID_DIFF,0)))</f>
        <v>Территория 1</v>
      </c>
      <c r="J26" s="406" t="str">
        <f>IF(J24="","",INDEX(DIFFERENTIATION_UNMERGE_AREA,MATCH(J24,DIFFERENTIATION_ID_DIFF,0)))</f>
        <v>Территория 2</v>
      </c>
      <c r="K26" s="406" t="str">
        <f>IF(K24="","",INDEX(DIFFERENTIATION_UNMERGE_AREA,MATCH(K24,DIFFERENTIATION_ID_DIFF,0)))</f>
        <v>без дифференциации</v>
      </c>
      <c r="L26" s="1070"/>
      <c r="AH26" s="539">
        <v>11</v>
      </c>
    </row>
    <row r="27" spans="5:34" ht="11.45" customHeight="1">
      <c r="E27" s="898"/>
      <c r="F27" s="1278" t="s">
        <v>573</v>
      </c>
      <c r="G27" s="1279"/>
      <c r="H27" s="920" t="str">
        <f>IF(H24="","",INDEX(DIFFERENTIATION_UNMERGE_SYSTEM,MATCH(H24,DIFFERENTIATION_ID_DIFF,0)))</f>
        <v/>
      </c>
      <c r="I27" s="920" t="str">
        <f>IF(I24="","",INDEX(DIFFERENTIATION_UNMERGE_SYSTEM,MATCH(I24,DIFFERENTIATION_ID_DIFF,0)))</f>
        <v>Централизованная система водоотведения города Нижнего Новгорода</v>
      </c>
      <c r="J27" s="406" t="str">
        <f>IF(J24="","",INDEX(DIFFERENTIATION_UNMERGE_SYSTEM,MATCH(J24,DIFFERENTIATION_ID_DIFF,0)))</f>
        <v>Централизованная система водоотведения Кстовского муниципального района</v>
      </c>
      <c r="K27" s="406" t="str">
        <f>IF(K24="","",INDEX(DIFFERENTIATION_UNMERGE_SYSTEM,MATCH(K24,DIFFERENTIATION_ID_DIFF,0)))</f>
        <v>без дифференциации</v>
      </c>
      <c r="L27" s="1070"/>
      <c r="AH27" s="539">
        <v>11</v>
      </c>
    </row>
    <row r="28" spans="5:34" ht="11.45" customHeight="1">
      <c r="E28" s="1280" t="s">
        <v>308</v>
      </c>
      <c r="F28" s="1281"/>
      <c r="G28" s="1281"/>
      <c r="H28" s="899"/>
      <c r="I28" s="899"/>
      <c r="J28" s="381"/>
      <c r="K28" s="381"/>
      <c r="L28" s="1070"/>
      <c r="AH28" s="539">
        <v>11</v>
      </c>
    </row>
    <row r="29" spans="5:34" ht="24" customHeight="1">
      <c r="E29" s="584" t="s">
        <v>87</v>
      </c>
      <c r="F29" s="584" t="s">
        <v>310</v>
      </c>
      <c r="G29" s="584" t="s">
        <v>574</v>
      </c>
      <c r="H29" s="584" t="s">
        <v>311</v>
      </c>
      <c r="I29" s="584" t="s">
        <v>311</v>
      </c>
      <c r="J29" s="35" t="s">
        <v>311</v>
      </c>
      <c r="K29" s="35" t="s">
        <v>311</v>
      </c>
      <c r="L29" s="1070"/>
      <c r="AH29" s="539">
        <v>23</v>
      </c>
    </row>
    <row r="30" spans="5:34" ht="20.25" customHeight="1">
      <c r="E30" s="911">
        <f>FHD_NUM_P_1</f>
        <v>1</v>
      </c>
      <c r="F30" s="620" t="str">
        <f>FHD_P_1</f>
        <v>Выручка от регулируемых видов деятельности в сфере водоотведения</v>
      </c>
      <c r="G30" s="584" t="s">
        <v>560</v>
      </c>
      <c r="H30" s="407"/>
      <c r="I30" s="407">
        <v>2675449.9898799998</v>
      </c>
      <c r="J30" s="407">
        <v>59364.327570000001</v>
      </c>
      <c r="K30" s="407">
        <v>16210.460880000001</v>
      </c>
      <c r="L30" s="796" t="str">
        <f>FHD_NOTE_P_1</f>
        <v>Указывается выручка с распределением по видам деятельности.</v>
      </c>
      <c r="AH30" s="539">
        <v>19</v>
      </c>
    </row>
    <row r="31" spans="5:34" ht="11.45" customHeight="1">
      <c r="E31" s="911">
        <f>FHD_NUM_P_2</f>
        <v>2</v>
      </c>
      <c r="F31" s="620" t="str">
        <f>FHD_P_2</f>
        <v>Себестоимость производимых товаров (оказываемых услуг) по регулируемым видам деятельности в сфере водоотведения, включая:</v>
      </c>
      <c r="G31" s="584" t="s">
        <v>560</v>
      </c>
      <c r="H31" s="263">
        <f>SUMIF($M32:$M77,$M31,H32:H77)</f>
        <v>0</v>
      </c>
      <c r="I31" s="263">
        <f>SUMIF($M32:$M77,$M31,I32:I77)</f>
        <v>2401635.0408788146</v>
      </c>
      <c r="J31" s="263">
        <f>SUMIF($M32:$M77,$M31,J32:J77)</f>
        <v>84999.14503</v>
      </c>
      <c r="K31" s="263">
        <f>SUMIF($M32:$M77,$M31,K32:K77)</f>
        <v>7641.1732599999996</v>
      </c>
      <c r="L31" s="796" t="str">
        <f>FHD_NOTE_P_2</f>
        <v>Указывается суммарная себестоимость производимых товаров.</v>
      </c>
      <c r="M31" s="578" t="s">
        <v>575</v>
      </c>
      <c r="AH31" s="539">
        <v>11</v>
      </c>
    </row>
    <row r="32" spans="5:34" ht="28.5" customHeight="1">
      <c r="E32" s="911" t="str">
        <f>FHD_NUM_P_3</f>
        <v>2.1</v>
      </c>
      <c r="F32" s="889" t="str">
        <f>FHD_P_3</f>
        <v>Расходы на оплату услуг по приему, транспортировке и очистке сточных вод другими организациями</v>
      </c>
      <c r="G32" s="584" t="s">
        <v>560</v>
      </c>
      <c r="H32" s="407"/>
      <c r="I32" s="407">
        <v>43859.443480000002</v>
      </c>
      <c r="J32" s="407">
        <v>19171.073179999999</v>
      </c>
      <c r="K32" s="407">
        <v>0</v>
      </c>
      <c r="L32" s="796" t="str">
        <f>FHD_NOTE_P_3</f>
        <v/>
      </c>
      <c r="M32" s="578" t="str">
        <f t="shared" ref="M32:M70" si="0">IF((LEN(E32)-LEN(SUBSTITUTE(E32,".","")))/LEN(".")=1,"p","")</f>
        <v>p</v>
      </c>
      <c r="AH32" s="539">
        <v>11</v>
      </c>
    </row>
    <row r="33" spans="1:34" ht="11.25" hidden="1" customHeight="1">
      <c r="A33" s="1276" t="s">
        <v>576</v>
      </c>
      <c r="E33" s="911" t="str">
        <f>FHD_NUM_P_4</f>
        <v/>
      </c>
      <c r="F33" s="889" t="str">
        <f>FHD_P_4</f>
        <v/>
      </c>
      <c r="G33" s="584" t="s">
        <v>560</v>
      </c>
      <c r="H33" s="263">
        <f>SUMIF($F34:$F40,$F3,H34:H40)</f>
        <v>0</v>
      </c>
      <c r="I33" s="263">
        <f>SUMIF($F34:$F40,$F3,I34:I40)</f>
        <v>0</v>
      </c>
      <c r="J33" s="263">
        <f>SUMIF($F34:$F40,$F3,J34:J40)</f>
        <v>0</v>
      </c>
      <c r="K33" s="263">
        <f>SUMIF($F34:$F40,$F3,K34:K40)</f>
        <v>0</v>
      </c>
      <c r="L33" s="796" t="str">
        <f>FHD_NOTE_P_4</f>
        <v/>
      </c>
      <c r="M33" s="578" t="str">
        <f t="shared" si="0"/>
        <v/>
      </c>
      <c r="AH33" s="539">
        <v>0</v>
      </c>
    </row>
    <row r="34" spans="1:34" ht="0.75" hidden="1" customHeight="1">
      <c r="A34" s="1276"/>
      <c r="B34" s="1277" t="str">
        <f>E33&amp;".0"</f>
        <v>.0</v>
      </c>
      <c r="E34" s="408"/>
      <c r="F34" s="921"/>
      <c r="G34" s="922"/>
      <c r="H34" s="111"/>
      <c r="I34" s="111"/>
      <c r="J34" s="111"/>
      <c r="K34" s="111"/>
      <c r="L34" s="923"/>
      <c r="M34" s="578" t="str">
        <f t="shared" si="0"/>
        <v/>
      </c>
      <c r="AH34" s="682">
        <v>0</v>
      </c>
    </row>
    <row r="35" spans="1:34" ht="0.75" hidden="1" customHeight="1">
      <c r="A35" s="1276"/>
      <c r="B35" s="1038"/>
      <c r="E35" s="924"/>
      <c r="F35" s="925"/>
      <c r="G35" s="922"/>
      <c r="H35" s="409"/>
      <c r="I35" s="409"/>
      <c r="J35" s="409"/>
      <c r="K35" s="409"/>
      <c r="L35" s="923"/>
      <c r="M35" s="578" t="str">
        <f t="shared" si="0"/>
        <v/>
      </c>
      <c r="AH35" s="682">
        <v>0</v>
      </c>
    </row>
    <row r="36" spans="1:34" ht="0.75" hidden="1" customHeight="1">
      <c r="A36" s="1276"/>
      <c r="B36" s="1038"/>
      <c r="E36" s="924"/>
      <c r="F36" s="925"/>
      <c r="G36" s="922"/>
      <c r="H36" s="409"/>
      <c r="I36" s="409"/>
      <c r="J36" s="409"/>
      <c r="K36" s="409"/>
      <c r="L36" s="923"/>
      <c r="M36" s="578" t="str">
        <f t="shared" si="0"/>
        <v/>
      </c>
      <c r="AH36" s="682">
        <v>0</v>
      </c>
    </row>
    <row r="37" spans="1:34" ht="0.75" hidden="1" customHeight="1">
      <c r="A37" s="1276"/>
      <c r="B37" s="1038"/>
      <c r="E37" s="924"/>
      <c r="F37" s="925"/>
      <c r="G37" s="922"/>
      <c r="H37" s="409"/>
      <c r="I37" s="409"/>
      <c r="J37" s="409"/>
      <c r="K37" s="409"/>
      <c r="L37" s="923"/>
      <c r="M37" s="578" t="str">
        <f t="shared" si="0"/>
        <v/>
      </c>
      <c r="AH37" s="682">
        <v>0</v>
      </c>
    </row>
    <row r="38" spans="1:34" ht="0.75" hidden="1" customHeight="1">
      <c r="A38" s="1276"/>
      <c r="B38" s="1038"/>
      <c r="E38" s="924"/>
      <c r="F38" s="925"/>
      <c r="G38" s="922"/>
      <c r="H38" s="409"/>
      <c r="I38" s="409"/>
      <c r="J38" s="409"/>
      <c r="K38" s="409"/>
      <c r="L38" s="923"/>
      <c r="M38" s="578" t="str">
        <f t="shared" si="0"/>
        <v/>
      </c>
      <c r="AH38" s="682">
        <v>0</v>
      </c>
    </row>
    <row r="39" spans="1:34" ht="0.75" hidden="1" customHeight="1">
      <c r="A39" s="1276"/>
      <c r="B39" s="1038"/>
      <c r="E39" s="924"/>
      <c r="F39" s="925"/>
      <c r="G39" s="922"/>
      <c r="H39" s="111"/>
      <c r="I39" s="111"/>
      <c r="J39" s="111"/>
      <c r="K39" s="111"/>
      <c r="L39" s="923"/>
      <c r="M39" s="578" t="str">
        <f t="shared" si="0"/>
        <v/>
      </c>
      <c r="AH39" s="682">
        <v>0</v>
      </c>
    </row>
    <row r="40" spans="1:34" ht="15" hidden="1" customHeight="1">
      <c r="A40" s="1276"/>
      <c r="E40" s="410"/>
      <c r="F40" s="63" t="s">
        <v>577</v>
      </c>
      <c r="G40" s="762"/>
      <c r="H40" s="906"/>
      <c r="I40" s="906"/>
      <c r="J40" s="395"/>
      <c r="K40" s="395"/>
      <c r="L40" s="818"/>
      <c r="M40" s="578" t="str">
        <f t="shared" si="0"/>
        <v/>
      </c>
      <c r="AH40" s="556">
        <v>0</v>
      </c>
    </row>
    <row r="41" spans="1:34" ht="11.25" hidden="1" customHeight="1">
      <c r="A41" s="1276" t="s">
        <v>578</v>
      </c>
      <c r="E41" s="911" t="str">
        <f>FHD_NUM_P_5</f>
        <v/>
      </c>
      <c r="F41" s="889" t="str">
        <f>FHD_P_5</f>
        <v/>
      </c>
      <c r="G41" s="584" t="s">
        <v>560</v>
      </c>
      <c r="H41" s="407"/>
      <c r="I41" s="407"/>
      <c r="J41" s="407"/>
      <c r="K41" s="407"/>
      <c r="L41" s="796" t="str">
        <f>FHD_NOTE_P_5</f>
        <v/>
      </c>
      <c r="M41" s="578" t="str">
        <f t="shared" si="0"/>
        <v/>
      </c>
      <c r="AH41" s="539">
        <v>0</v>
      </c>
    </row>
    <row r="42" spans="1:34" ht="11.25" hidden="1" customHeight="1">
      <c r="A42" s="1276"/>
      <c r="E42" s="911" t="str">
        <f>FHD_NUM_P_6</f>
        <v/>
      </c>
      <c r="F42" s="889" t="str">
        <f>FHD_P_6</f>
        <v/>
      </c>
      <c r="G42" s="584" t="s">
        <v>560</v>
      </c>
      <c r="H42" s="407"/>
      <c r="I42" s="407"/>
      <c r="J42" s="407"/>
      <c r="K42" s="407"/>
      <c r="L42" s="796" t="str">
        <f>FHD_NOTE_P_6</f>
        <v/>
      </c>
      <c r="M42" s="578" t="str">
        <f t="shared" si="0"/>
        <v/>
      </c>
      <c r="AH42" s="539">
        <v>0</v>
      </c>
    </row>
    <row r="43" spans="1:34" ht="11.25" hidden="1" customHeight="1">
      <c r="A43" s="1276"/>
      <c r="E43" s="911" t="str">
        <f>FHD_NUM_P_7</f>
        <v/>
      </c>
      <c r="F43" s="889" t="str">
        <f>FHD_P_7</f>
        <v/>
      </c>
      <c r="G43" s="584" t="s">
        <v>560</v>
      </c>
      <c r="H43" s="407"/>
      <c r="I43" s="407"/>
      <c r="J43" s="407"/>
      <c r="K43" s="407"/>
      <c r="L43" s="796" t="str">
        <f>FHD_NOTE_P_7</f>
        <v/>
      </c>
      <c r="M43" s="578" t="str">
        <f t="shared" si="0"/>
        <v/>
      </c>
      <c r="AH43" s="539">
        <v>0</v>
      </c>
    </row>
    <row r="44" spans="1:34" ht="30" customHeight="1">
      <c r="E44" s="911" t="str">
        <f>FHD_NUM_P_8</f>
        <v>2.2</v>
      </c>
      <c r="F44" s="889" t="str">
        <f>FHD_P_8</f>
        <v>Расходы на приобретаемую электрическую энергию (мощность), используемую в технологическом процессе</v>
      </c>
      <c r="G44" s="584" t="s">
        <v>560</v>
      </c>
      <c r="H44" s="407"/>
      <c r="I44" s="407">
        <v>308931.90159999998</v>
      </c>
      <c r="J44" s="407">
        <v>7807.7757600000004</v>
      </c>
      <c r="K44" s="407">
        <v>0</v>
      </c>
      <c r="L44" s="796" t="str">
        <f>FHD_NOTE_P_8</f>
        <v/>
      </c>
      <c r="M44" s="578" t="str">
        <f t="shared" si="0"/>
        <v>p</v>
      </c>
      <c r="AH44" s="539">
        <v>11</v>
      </c>
    </row>
    <row r="45" spans="1:34" ht="11.45" customHeight="1">
      <c r="E45" s="911" t="str">
        <f>FHD_NUM_P_9</f>
        <v>2.2.1</v>
      </c>
      <c r="F45" s="926" t="str">
        <f>FHD_P_9</f>
        <v>Средневзвешенная стоимость 1 кВт.ч (с учетом мощности)</v>
      </c>
      <c r="G45" s="584" t="s">
        <v>579</v>
      </c>
      <c r="H45" s="407"/>
      <c r="I45" s="407">
        <v>51934.863799999999</v>
      </c>
      <c r="J45" s="407">
        <v>1006.479</v>
      </c>
      <c r="K45" s="407">
        <v>0</v>
      </c>
      <c r="L45" s="796" t="str">
        <f>FHD_NOTE_P_9</f>
        <v/>
      </c>
      <c r="M45" s="578" t="str">
        <f t="shared" si="0"/>
        <v/>
      </c>
      <c r="AH45" s="539">
        <v>11</v>
      </c>
    </row>
    <row r="46" spans="1:34" ht="11.45" customHeight="1">
      <c r="E46" s="911" t="str">
        <f>FHD_NUM_P_10</f>
        <v>2.2.2</v>
      </c>
      <c r="F46" s="926" t="str">
        <f>FHD_P_10</f>
        <v>Объём приобретения электрической энергии</v>
      </c>
      <c r="G46" s="584" t="s">
        <v>580</v>
      </c>
      <c r="H46" s="407"/>
      <c r="I46" s="407">
        <f>I44/I45</f>
        <v>5.9484492496156305</v>
      </c>
      <c r="J46" s="407">
        <f>J44/J45</f>
        <v>7.7575148214716849</v>
      </c>
      <c r="K46" s="407">
        <v>0</v>
      </c>
      <c r="L46" s="796" t="str">
        <f>FHD_NOTE_P_10</f>
        <v/>
      </c>
      <c r="M46" s="578" t="str">
        <f t="shared" si="0"/>
        <v/>
      </c>
      <c r="AH46" s="556">
        <v>11</v>
      </c>
    </row>
    <row r="47" spans="1:34" ht="11.25" hidden="1" customHeight="1">
      <c r="A47" s="411" t="s">
        <v>581</v>
      </c>
      <c r="E47" s="911" t="str">
        <f>FHD_NUM_P_11</f>
        <v/>
      </c>
      <c r="F47" s="889" t="str">
        <f>FHD_P_11</f>
        <v/>
      </c>
      <c r="G47" s="584" t="s">
        <v>560</v>
      </c>
      <c r="H47" s="407"/>
      <c r="I47" s="407"/>
      <c r="J47" s="407"/>
      <c r="K47" s="407"/>
      <c r="L47" s="796" t="str">
        <f>FHD_NOTE_P_11</f>
        <v/>
      </c>
      <c r="M47" s="578" t="str">
        <f t="shared" si="0"/>
        <v/>
      </c>
      <c r="AH47" s="556">
        <v>0</v>
      </c>
    </row>
    <row r="48" spans="1:34" ht="18.75" customHeight="1">
      <c r="A48" s="411" t="s">
        <v>582</v>
      </c>
      <c r="E48" s="911" t="str">
        <f>FHD_NUM_P_12</f>
        <v>2.3</v>
      </c>
      <c r="F48" s="889" t="str">
        <f>FHD_P_12</f>
        <v>Расходы на химические реагенты, используемые в технологическом процессе</v>
      </c>
      <c r="G48" s="584" t="s">
        <v>560</v>
      </c>
      <c r="H48" s="412"/>
      <c r="I48" s="412">
        <v>20024.062709999998</v>
      </c>
      <c r="J48" s="412">
        <v>0</v>
      </c>
      <c r="K48" s="412">
        <v>0</v>
      </c>
      <c r="L48" s="796" t="str">
        <f>FHD_NOTE_P_12</f>
        <v/>
      </c>
      <c r="M48" s="578" t="str">
        <f t="shared" si="0"/>
        <v>p</v>
      </c>
      <c r="AH48" s="556">
        <v>18</v>
      </c>
    </row>
    <row r="49" spans="5:34" ht="11.45" customHeight="1">
      <c r="E49" s="911" t="str">
        <f>FHD_NUM_P_13</f>
        <v>2.4</v>
      </c>
      <c r="F49" s="88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584" t="s">
        <v>560</v>
      </c>
      <c r="H49" s="407"/>
      <c r="I49" s="407">
        <v>823935.22803999996</v>
      </c>
      <c r="J49" s="407">
        <v>38860.997909999998</v>
      </c>
      <c r="K49" s="407">
        <v>4098.4943899999998</v>
      </c>
      <c r="L49" s="796" t="str">
        <f>FHD_NOTE_P_13</f>
        <v>Указывается общая сумма расходов на оплату труда и отчислений на социальные нужды основного производственного персонала.</v>
      </c>
      <c r="M49" s="578" t="str">
        <f t="shared" si="0"/>
        <v>p</v>
      </c>
      <c r="AH49" s="927">
        <v>11</v>
      </c>
    </row>
    <row r="50" spans="5:34" ht="23.25" customHeight="1">
      <c r="E50" s="911" t="str">
        <f>FHD_NUM_P_14</f>
        <v>2.4.1</v>
      </c>
      <c r="F50" s="926" t="str">
        <f>FHD_P_14</f>
        <v>Расходы на оплату труда основного производственного персонала</v>
      </c>
      <c r="G50" s="584" t="s">
        <v>560</v>
      </c>
      <c r="H50" s="407"/>
      <c r="I50" s="407">
        <v>632907.18504000001</v>
      </c>
      <c r="J50" s="407">
        <v>29817.857550000001</v>
      </c>
      <c r="K50" s="407">
        <v>3158.5540500000002</v>
      </c>
      <c r="L50" s="796" t="str">
        <f>FHD_NOTE_P_14</f>
        <v/>
      </c>
      <c r="M50" s="578" t="str">
        <f t="shared" si="0"/>
        <v/>
      </c>
      <c r="AH50" s="927">
        <v>11</v>
      </c>
    </row>
    <row r="51" spans="5:34" ht="11.45" customHeight="1">
      <c r="E51" s="911" t="str">
        <f>FHD_NUM_P_15</f>
        <v>2.4.2</v>
      </c>
      <c r="F51" s="926" t="str">
        <f>FHD_P_15</f>
        <v>Страховые взносы на обязательное социальное страхование, выплачиваемые из фонда оплаты труда основного производственного персонала</v>
      </c>
      <c r="G51" s="584" t="s">
        <v>560</v>
      </c>
      <c r="H51" s="407"/>
      <c r="I51" s="407">
        <v>191028.04300000001</v>
      </c>
      <c r="J51" s="407">
        <v>9043.1403599999994</v>
      </c>
      <c r="K51" s="407">
        <v>939.94033999999999</v>
      </c>
      <c r="L51" s="796" t="str">
        <f>FHD_NOTE_P_15</f>
        <v/>
      </c>
      <c r="M51" s="578" t="str">
        <f t="shared" si="0"/>
        <v/>
      </c>
      <c r="AH51" s="927">
        <v>11</v>
      </c>
    </row>
    <row r="52" spans="5:34" ht="33" customHeight="1">
      <c r="E52" s="911" t="str">
        <f>FHD_NUM_P_16</f>
        <v>2.5</v>
      </c>
      <c r="F52" s="88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584" t="s">
        <v>560</v>
      </c>
      <c r="H52" s="407"/>
      <c r="I52" s="407">
        <v>154124.94644</v>
      </c>
      <c r="J52" s="407">
        <v>2436.0051899999999</v>
      </c>
      <c r="K52" s="407">
        <v>3542.6788700000002</v>
      </c>
      <c r="L52" s="796" t="str">
        <f>FHD_NOTE_P_16</f>
        <v>Указывается общая сумма расходов на оплату труда и отчислений на социальные нужды административно-управленческого персонала.</v>
      </c>
      <c r="M52" s="578" t="str">
        <f t="shared" si="0"/>
        <v>p</v>
      </c>
      <c r="AH52" s="556">
        <v>11</v>
      </c>
    </row>
    <row r="53" spans="5:34" ht="35.25" customHeight="1">
      <c r="E53" s="911" t="str">
        <f>FHD_NUM_P_17</f>
        <v>2.5.1</v>
      </c>
      <c r="F53" s="926" t="str">
        <f>FHD_P_17</f>
        <v>Расходы на оплату труда административно-управленческого персонала, в том числе:</v>
      </c>
      <c r="G53" s="584" t="s">
        <v>560</v>
      </c>
      <c r="H53" s="407"/>
      <c r="I53" s="407">
        <v>120084.25556000001</v>
      </c>
      <c r="J53" s="407">
        <v>1889.2460100000001</v>
      </c>
      <c r="K53" s="407">
        <v>2720.2790300000001</v>
      </c>
      <c r="L53" s="796" t="str">
        <f>FHD_NOTE_P_17</f>
        <v/>
      </c>
      <c r="M53" s="578" t="str">
        <f t="shared" si="0"/>
        <v/>
      </c>
      <c r="AH53" s="556">
        <v>11</v>
      </c>
    </row>
    <row r="54" spans="5:34" ht="42" customHeight="1">
      <c r="E54" s="911" t="str">
        <f>FHD_NUM_P_18</f>
        <v>2.5.2</v>
      </c>
      <c r="F54" s="92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584" t="s">
        <v>560</v>
      </c>
      <c r="H54" s="407"/>
      <c r="I54" s="407">
        <v>34040.690880000002</v>
      </c>
      <c r="J54" s="407">
        <v>546.75918000000001</v>
      </c>
      <c r="K54" s="407">
        <v>822.39984000000004</v>
      </c>
      <c r="L54" s="796" t="str">
        <f>FHD_NOTE_P_18</f>
        <v/>
      </c>
      <c r="M54" s="578" t="str">
        <f t="shared" si="0"/>
        <v/>
      </c>
      <c r="AH54" s="556">
        <v>11</v>
      </c>
    </row>
    <row r="55" spans="5:34" ht="36" customHeight="1">
      <c r="E55" s="911" t="str">
        <f>FHD_NUM_P_19</f>
        <v>2.6</v>
      </c>
      <c r="F55" s="889" t="str">
        <f>FHD_P_19</f>
        <v>Расходы на амортизацию основных средств и нематериальных активов</v>
      </c>
      <c r="G55" s="584" t="s">
        <v>560</v>
      </c>
      <c r="H55" s="407"/>
      <c r="I55" s="407">
        <v>211280.03718000001</v>
      </c>
      <c r="J55" s="407">
        <v>4395.3035200000004</v>
      </c>
      <c r="K55" s="407">
        <v>0</v>
      </c>
      <c r="L55" s="796" t="str">
        <f>FHD_NOTE_P_19</f>
        <v/>
      </c>
      <c r="M55" s="578" t="str">
        <f t="shared" si="0"/>
        <v>p</v>
      </c>
      <c r="AH55" s="556">
        <v>11</v>
      </c>
    </row>
    <row r="56" spans="5:34" ht="11.45" customHeight="1">
      <c r="E56" s="911" t="str">
        <f>FHD_NUM_P_20</f>
        <v>2.6.1</v>
      </c>
      <c r="F56" s="926" t="str">
        <f>FHD_P_20</f>
        <v>Расходы на амортизацию основных средств</v>
      </c>
      <c r="G56" s="584" t="s">
        <v>560</v>
      </c>
      <c r="H56" s="407"/>
      <c r="I56" s="407">
        <v>211280.03718000001</v>
      </c>
      <c r="J56" s="407">
        <v>4395.3035200000004</v>
      </c>
      <c r="K56" s="407">
        <v>0</v>
      </c>
      <c r="L56" s="796" t="str">
        <f>FHD_NOTE_P_20</f>
        <v/>
      </c>
      <c r="M56" s="578" t="str">
        <f t="shared" si="0"/>
        <v/>
      </c>
      <c r="AH56" s="556">
        <v>11</v>
      </c>
    </row>
    <row r="57" spans="5:34" ht="11.45" customHeight="1">
      <c r="E57" s="911" t="str">
        <f>FHD_NUM_P_21</f>
        <v>2.6.2</v>
      </c>
      <c r="F57" s="926" t="str">
        <f>FHD_P_21</f>
        <v>Расходы на амортизацию нематериальных активов</v>
      </c>
      <c r="G57" s="584" t="s">
        <v>560</v>
      </c>
      <c r="H57" s="407"/>
      <c r="I57" s="407">
        <v>0</v>
      </c>
      <c r="J57" s="407">
        <v>0</v>
      </c>
      <c r="K57" s="407">
        <v>0</v>
      </c>
      <c r="L57" s="796" t="str">
        <f>FHD_NOTE_P_21</f>
        <v/>
      </c>
      <c r="M57" s="578" t="str">
        <f t="shared" si="0"/>
        <v/>
      </c>
      <c r="AH57" s="556">
        <v>11</v>
      </c>
    </row>
    <row r="58" spans="5:34" ht="36.75" customHeight="1">
      <c r="E58" s="911" t="str">
        <f>FHD_NUM_P_22</f>
        <v>2.7</v>
      </c>
      <c r="F58" s="889" t="str">
        <f>FHD_P_22</f>
        <v>Расходы на аренду имущества, используемого для осуществления регулируемых видов деятельности в сфере водоотведения</v>
      </c>
      <c r="G58" s="584" t="s">
        <v>560</v>
      </c>
      <c r="H58" s="407"/>
      <c r="I58" s="407">
        <v>20898.78357</v>
      </c>
      <c r="J58" s="407">
        <v>1174.69219</v>
      </c>
      <c r="K58" s="407">
        <v>0</v>
      </c>
      <c r="L58" s="796" t="str">
        <f>FHD_NOTE_P_22</f>
        <v/>
      </c>
      <c r="M58" s="578" t="str">
        <f t="shared" si="0"/>
        <v>p</v>
      </c>
      <c r="AH58" s="556">
        <v>11</v>
      </c>
    </row>
    <row r="59" spans="5:34" ht="11.45" customHeight="1">
      <c r="E59" s="911" t="str">
        <f>FHD_NUM_P_23</f>
        <v>2.8</v>
      </c>
      <c r="F59" s="889" t="str">
        <f>FHD_P_23</f>
        <v>Общепроизводственные расходы, в том числе:</v>
      </c>
      <c r="G59" s="584" t="s">
        <v>560</v>
      </c>
      <c r="H59" s="407"/>
      <c r="I59" s="407">
        <v>156391.98626999999</v>
      </c>
      <c r="J59" s="407">
        <v>2279.53773</v>
      </c>
      <c r="K59" s="407">
        <v>0</v>
      </c>
      <c r="L59" s="796" t="str">
        <f>FHD_NOTE_P_23</f>
        <v>Указывается общая сумма общепроизводственных расходов.</v>
      </c>
      <c r="M59" s="578" t="str">
        <f t="shared" si="0"/>
        <v>p</v>
      </c>
      <c r="AH59" s="556">
        <v>11</v>
      </c>
    </row>
    <row r="60" spans="5:34" ht="11.45" customHeight="1">
      <c r="E60" s="911" t="str">
        <f>FHD_NUM_P_24</f>
        <v>2.8.1</v>
      </c>
      <c r="F60" s="926" t="str">
        <f>FHD_P_24</f>
        <v>Расходы на текущий ремонт</v>
      </c>
      <c r="G60" s="584" t="s">
        <v>560</v>
      </c>
      <c r="H60" s="407"/>
      <c r="I60" s="407">
        <v>1940.6679300000001</v>
      </c>
      <c r="J60" s="407">
        <v>0</v>
      </c>
      <c r="K60" s="407">
        <v>0</v>
      </c>
      <c r="L60" s="796" t="str">
        <f>FHD_NOTE_P_24</f>
        <v>Указываются расходы на текущий ремонт, отнесенные к общепроизводственным расходам.</v>
      </c>
      <c r="M60" s="578" t="str">
        <f t="shared" si="0"/>
        <v/>
      </c>
      <c r="AH60" s="556">
        <v>11</v>
      </c>
    </row>
    <row r="61" spans="5:34" ht="11.45" customHeight="1">
      <c r="E61" s="911" t="str">
        <f>FHD_NUM_P_25</f>
        <v>2.8.2</v>
      </c>
      <c r="F61" s="926" t="str">
        <f>FHD_P_25</f>
        <v>Расходы на капитальный ремонт</v>
      </c>
      <c r="G61" s="584" t="s">
        <v>560</v>
      </c>
      <c r="H61" s="407"/>
      <c r="I61" s="407">
        <v>1528.9768300000001</v>
      </c>
      <c r="J61" s="407">
        <v>0</v>
      </c>
      <c r="K61" s="407">
        <v>0</v>
      </c>
      <c r="L61" s="796" t="str">
        <f>FHD_NOTE_P_25</f>
        <v>Указываются расходы на капитальный ремонт, отнесенные к общепроизводственным расходам.</v>
      </c>
      <c r="M61" s="578" t="str">
        <f t="shared" si="0"/>
        <v/>
      </c>
      <c r="AH61" s="556">
        <v>11</v>
      </c>
    </row>
    <row r="62" spans="5:34" ht="11.45" customHeight="1">
      <c r="E62" s="911" t="str">
        <f>FHD_NUM_P_26</f>
        <v>2.9</v>
      </c>
      <c r="F62" s="889" t="str">
        <f>FHD_P_26</f>
        <v>Общехозяйственные расходы, в том числе:</v>
      </c>
      <c r="G62" s="584" t="s">
        <v>560</v>
      </c>
      <c r="H62" s="407"/>
      <c r="I62" s="407">
        <v>123136.59249</v>
      </c>
      <c r="J62" s="407">
        <v>4694.8984300000002</v>
      </c>
      <c r="K62" s="407">
        <v>0</v>
      </c>
      <c r="L62" s="796" t="str">
        <f>FHD_NOTE_P_26</f>
        <v>Указывается общая сумма общехозяйственных расходов.</v>
      </c>
      <c r="M62" s="578" t="str">
        <f t="shared" si="0"/>
        <v>p</v>
      </c>
      <c r="AH62" s="556">
        <v>11</v>
      </c>
    </row>
    <row r="63" spans="5:34" ht="11.45" customHeight="1">
      <c r="E63" s="911" t="str">
        <f>FHD_NUM_P_27</f>
        <v>2.9.1</v>
      </c>
      <c r="F63" s="926" t="str">
        <f>FHD_P_27</f>
        <v>Расходы на текущий ремонт</v>
      </c>
      <c r="G63" s="584" t="s">
        <v>560</v>
      </c>
      <c r="H63" s="407"/>
      <c r="I63" s="407">
        <v>79.171710000000004</v>
      </c>
      <c r="J63" s="407">
        <v>0.53622999999999998</v>
      </c>
      <c r="K63" s="407">
        <v>0</v>
      </c>
      <c r="L63" s="796" t="str">
        <f>FHD_NOTE_P_27</f>
        <v>Указываются расходы на текущий ремонт, отнесенные к общехозяйственным расходам.</v>
      </c>
      <c r="M63" s="578" t="str">
        <f t="shared" si="0"/>
        <v/>
      </c>
      <c r="AH63" s="556">
        <v>11</v>
      </c>
    </row>
    <row r="64" spans="5:34" ht="11.45" customHeight="1">
      <c r="E64" s="911" t="str">
        <f>FHD_NUM_P_28</f>
        <v>2.9.2</v>
      </c>
      <c r="F64" s="926" t="str">
        <f>FHD_P_28</f>
        <v>Расходы на капитальный ремонт</v>
      </c>
      <c r="G64" s="584" t="s">
        <v>560</v>
      </c>
      <c r="H64" s="407"/>
      <c r="I64" s="407">
        <v>103.02828</v>
      </c>
      <c r="J64" s="407">
        <v>0</v>
      </c>
      <c r="K64" s="407">
        <v>0</v>
      </c>
      <c r="L64" s="796" t="str">
        <f>FHD_NOTE_P_28</f>
        <v>Указываются расходы на капитальный ремонт, отнесенные к общехозяйственным расходам.</v>
      </c>
      <c r="M64" s="578" t="str">
        <f t="shared" si="0"/>
        <v/>
      </c>
      <c r="AH64" s="556">
        <v>11</v>
      </c>
    </row>
    <row r="65" spans="1:34" ht="11.45" customHeight="1">
      <c r="E65" s="911" t="str">
        <f>FHD_NUM_P_29</f>
        <v>2.10</v>
      </c>
      <c r="F65" s="889" t="str">
        <f>FHD_P_29</f>
        <v>Расходы на капитальный и текущий ремонт основных средств</v>
      </c>
      <c r="G65" s="584" t="s">
        <v>560</v>
      </c>
      <c r="H65" s="407"/>
      <c r="I65" s="407">
        <v>75940.149279999998</v>
      </c>
      <c r="J65" s="407">
        <v>2632.1639300000002</v>
      </c>
      <c r="K65" s="407">
        <v>0</v>
      </c>
      <c r="L65" s="79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578" t="str">
        <f t="shared" si="0"/>
        <v>p</v>
      </c>
      <c r="AH65" s="556">
        <v>11</v>
      </c>
    </row>
    <row r="66" spans="1:34" ht="47.25" customHeight="1">
      <c r="E66" s="911" t="str">
        <f>FHD_NUM_P_30</f>
        <v>2.10.1</v>
      </c>
      <c r="F66" s="92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584" t="s">
        <v>314</v>
      </c>
      <c r="H66" s="107" t="s">
        <v>583</v>
      </c>
      <c r="I66" s="107" t="s">
        <v>583</v>
      </c>
      <c r="J66" s="107" t="s">
        <v>583</v>
      </c>
      <c r="K66" s="107" t="s">
        <v>583</v>
      </c>
      <c r="L66" s="796" t="str">
        <f>FHD_NOTE_P_30</f>
        <v/>
      </c>
      <c r="M66" s="578" t="str">
        <f t="shared" si="0"/>
        <v/>
      </c>
      <c r="N66" s="578">
        <f>IFERROR(MATCH("есть",B_FHD_FLAG_INDEX_1,0),0)</f>
        <v>0</v>
      </c>
      <c r="AH66" s="556">
        <v>11</v>
      </c>
    </row>
    <row r="67" spans="1:34" ht="39" customHeight="1">
      <c r="A67" s="1276" t="s">
        <v>584</v>
      </c>
      <c r="E67" s="911" t="str">
        <f>FHD_NUM_P_31</f>
        <v>2.11</v>
      </c>
      <c r="F67" s="889"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584" t="s">
        <v>560</v>
      </c>
      <c r="H67" s="407"/>
      <c r="I67" s="407">
        <v>69776.453399999999</v>
      </c>
      <c r="J67" s="407">
        <v>761.07308</v>
      </c>
      <c r="K67" s="407">
        <v>0</v>
      </c>
      <c r="L67" s="79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578" t="str">
        <f t="shared" si="0"/>
        <v>p</v>
      </c>
      <c r="AH67" s="556">
        <v>22</v>
      </c>
    </row>
    <row r="68" spans="1:34" ht="47.25" customHeight="1">
      <c r="A68" s="1276"/>
      <c r="E68" s="911" t="str">
        <f>FHD_NUM_P_32</f>
        <v>2.11.1</v>
      </c>
      <c r="F68" s="92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584" t="s">
        <v>314</v>
      </c>
      <c r="H68" s="107" t="s">
        <v>583</v>
      </c>
      <c r="I68" s="107" t="s">
        <v>583</v>
      </c>
      <c r="J68" s="107" t="s">
        <v>583</v>
      </c>
      <c r="K68" s="107" t="s">
        <v>583</v>
      </c>
      <c r="L68" s="796" t="str">
        <f>FHD_NOTE_P_32</f>
        <v/>
      </c>
      <c r="M68" s="578" t="str">
        <f t="shared" si="0"/>
        <v/>
      </c>
      <c r="N68" s="578">
        <f>IFERROR(MATCH("есть",B_FHD_FLAG_INDEX_2,0),0)</f>
        <v>0</v>
      </c>
      <c r="AH68" s="556">
        <v>45</v>
      </c>
    </row>
    <row r="69" spans="1:34" ht="51" customHeight="1">
      <c r="E69" s="911" t="str">
        <f>FHD_NUM_P_33</f>
        <v>2.12</v>
      </c>
      <c r="F69" s="889"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618" t="s">
        <v>560</v>
      </c>
      <c r="H69" s="413">
        <f>SUM(H70:H77)</f>
        <v>0</v>
      </c>
      <c r="I69" s="413">
        <f>SUM(I70:I77)</f>
        <v>393335.45641881484</v>
      </c>
      <c r="J69" s="413">
        <f>SUM(J70:J77)</f>
        <v>785.62410999999997</v>
      </c>
      <c r="K69" s="413">
        <f>SUM(K70:K77)</f>
        <v>0</v>
      </c>
      <c r="L69" s="79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578" t="str">
        <f t="shared" si="0"/>
        <v>p</v>
      </c>
      <c r="AH69" s="556">
        <v>11</v>
      </c>
    </row>
    <row r="70" spans="1:34" ht="1.1499999999999999" customHeight="1">
      <c r="E70" s="585" t="str">
        <f>E69&amp;".0"</f>
        <v>2.12.0</v>
      </c>
      <c r="F70" s="928"/>
      <c r="G70" s="585"/>
      <c r="H70" s="414"/>
      <c r="I70" s="414"/>
      <c r="J70" s="414"/>
      <c r="K70" s="414"/>
      <c r="L70" s="929"/>
      <c r="M70" s="578" t="str">
        <f t="shared" si="0"/>
        <v/>
      </c>
      <c r="AH70" s="578">
        <v>1</v>
      </c>
    </row>
    <row r="71" spans="1:34" s="1030" customFormat="1" ht="22.5" customHeight="1">
      <c r="A71"/>
      <c r="B71"/>
      <c r="C71"/>
      <c r="D71" s="181" t="s">
        <v>103</v>
      </c>
      <c r="E71" s="35" t="str">
        <f>E69&amp;".1"</f>
        <v>2.12.1</v>
      </c>
      <c r="F71" s="37" t="s">
        <v>585</v>
      </c>
      <c r="G71" s="35" t="s">
        <v>560</v>
      </c>
      <c r="H71" s="312"/>
      <c r="I71" s="312">
        <v>11936.83683</v>
      </c>
      <c r="J71" s="312">
        <v>0</v>
      </c>
      <c r="K71" s="312">
        <v>0</v>
      </c>
      <c r="L71" s="403" t="s">
        <v>563</v>
      </c>
      <c r="M71"/>
      <c r="N71"/>
      <c r="O71"/>
      <c r="P71"/>
      <c r="Q71"/>
      <c r="R71"/>
      <c r="S71"/>
      <c r="T71"/>
      <c r="U71"/>
      <c r="V71"/>
      <c r="W71"/>
      <c r="X71"/>
      <c r="Y71"/>
      <c r="Z71"/>
      <c r="AA71"/>
      <c r="AB71"/>
      <c r="AC71"/>
      <c r="AD71"/>
      <c r="AE71"/>
      <c r="AF71"/>
      <c r="AG71"/>
      <c r="AH71" s="9">
        <v>0</v>
      </c>
    </row>
    <row r="72" spans="1:34" s="1030" customFormat="1" ht="22.5" customHeight="1">
      <c r="A72"/>
      <c r="B72"/>
      <c r="C72"/>
      <c r="D72" s="181" t="s">
        <v>103</v>
      </c>
      <c r="E72" s="35" t="str">
        <f>E69&amp;".2"</f>
        <v>2.12.2</v>
      </c>
      <c r="F72" s="37" t="s">
        <v>586</v>
      </c>
      <c r="G72" s="35" t="s">
        <v>560</v>
      </c>
      <c r="H72" s="312"/>
      <c r="I72" s="312">
        <v>1495.4401</v>
      </c>
      <c r="J72" s="312">
        <v>0</v>
      </c>
      <c r="K72" s="312">
        <v>0</v>
      </c>
      <c r="L72" s="403" t="s">
        <v>563</v>
      </c>
      <c r="M72"/>
      <c r="N72"/>
      <c r="O72"/>
      <c r="P72"/>
      <c r="Q72"/>
      <c r="R72"/>
      <c r="S72"/>
      <c r="T72"/>
      <c r="U72"/>
      <c r="V72"/>
      <c r="W72"/>
      <c r="X72"/>
      <c r="Y72"/>
      <c r="Z72"/>
      <c r="AA72"/>
      <c r="AB72"/>
      <c r="AC72"/>
      <c r="AD72"/>
      <c r="AE72"/>
      <c r="AF72"/>
      <c r="AG72"/>
      <c r="AH72" s="9">
        <v>0</v>
      </c>
    </row>
    <row r="73" spans="1:34" s="1030" customFormat="1" ht="22.5" customHeight="1">
      <c r="A73"/>
      <c r="B73"/>
      <c r="C73"/>
      <c r="D73" s="181" t="s">
        <v>103</v>
      </c>
      <c r="E73" s="35" t="str">
        <f>E69&amp;".3"</f>
        <v>2.12.3</v>
      </c>
      <c r="F73" s="37" t="s">
        <v>587</v>
      </c>
      <c r="G73" s="35" t="s">
        <v>560</v>
      </c>
      <c r="H73" s="312"/>
      <c r="I73" s="312">
        <v>16944.075769999999</v>
      </c>
      <c r="J73" s="312">
        <v>785.62410999999997</v>
      </c>
      <c r="K73" s="312">
        <v>0</v>
      </c>
      <c r="L73" s="403" t="s">
        <v>563</v>
      </c>
      <c r="M73"/>
      <c r="N73"/>
      <c r="O73"/>
      <c r="P73"/>
      <c r="Q73"/>
      <c r="R73"/>
      <c r="S73"/>
      <c r="T73"/>
      <c r="U73"/>
      <c r="V73"/>
      <c r="W73"/>
      <c r="X73"/>
      <c r="Y73"/>
      <c r="Z73"/>
      <c r="AA73"/>
      <c r="AB73"/>
      <c r="AC73"/>
      <c r="AD73"/>
      <c r="AE73"/>
      <c r="AF73"/>
      <c r="AG73"/>
      <c r="AH73" s="9">
        <v>0</v>
      </c>
    </row>
    <row r="74" spans="1:34" s="1030" customFormat="1" ht="22.5" customHeight="1">
      <c r="A74"/>
      <c r="B74"/>
      <c r="C74"/>
      <c r="D74" s="181" t="s">
        <v>103</v>
      </c>
      <c r="E74" s="35" t="str">
        <f>E69&amp;".4"</f>
        <v>2.12.4</v>
      </c>
      <c r="F74" s="37" t="s">
        <v>588</v>
      </c>
      <c r="G74" s="35" t="s">
        <v>560</v>
      </c>
      <c r="H74" s="312"/>
      <c r="I74" s="312">
        <v>4.8618300000000003</v>
      </c>
      <c r="J74" s="312">
        <v>0</v>
      </c>
      <c r="K74" s="312">
        <v>0</v>
      </c>
      <c r="L74" s="403" t="s">
        <v>563</v>
      </c>
      <c r="M74"/>
      <c r="N74"/>
      <c r="O74"/>
      <c r="P74"/>
      <c r="Q74"/>
      <c r="R74"/>
      <c r="S74"/>
      <c r="T74"/>
      <c r="U74"/>
      <c r="V74"/>
      <c r="W74"/>
      <c r="X74"/>
      <c r="Y74"/>
      <c r="Z74"/>
      <c r="AA74"/>
      <c r="AB74"/>
      <c r="AC74"/>
      <c r="AD74"/>
      <c r="AE74"/>
      <c r="AF74"/>
      <c r="AG74"/>
      <c r="AH74" s="9">
        <v>0</v>
      </c>
    </row>
    <row r="75" spans="1:34" s="1031" customFormat="1" ht="22.5" customHeight="1">
      <c r="A75" s="1030"/>
      <c r="B75" s="1030"/>
      <c r="C75" s="1030"/>
      <c r="D75" s="181" t="s">
        <v>103</v>
      </c>
      <c r="E75" s="35" t="str">
        <f>E69&amp;".5"</f>
        <v>2.12.5</v>
      </c>
      <c r="F75" s="37" t="s">
        <v>589</v>
      </c>
      <c r="G75" s="35" t="s">
        <v>560</v>
      </c>
      <c r="H75" s="312"/>
      <c r="I75" s="312">
        <v>354362.27076047199</v>
      </c>
      <c r="J75" s="312">
        <v>0</v>
      </c>
      <c r="K75" s="312">
        <v>0</v>
      </c>
      <c r="L75" s="403" t="s">
        <v>563</v>
      </c>
      <c r="M75" s="1030"/>
      <c r="N75" s="1030"/>
      <c r="O75" s="1030"/>
      <c r="P75" s="1030"/>
      <c r="Q75" s="1030"/>
      <c r="R75" s="1030"/>
      <c r="S75" s="1030"/>
      <c r="T75" s="1030"/>
      <c r="U75" s="1030"/>
      <c r="V75" s="1030"/>
      <c r="W75" s="1030"/>
      <c r="X75" s="1030"/>
      <c r="Y75" s="1030"/>
      <c r="Z75" s="1030"/>
      <c r="AA75" s="1030"/>
      <c r="AB75" s="1030"/>
      <c r="AC75" s="1030"/>
      <c r="AD75" s="1030"/>
      <c r="AE75" s="1030"/>
      <c r="AF75" s="1030"/>
      <c r="AG75" s="1030"/>
      <c r="AH75" s="9">
        <v>0</v>
      </c>
    </row>
    <row r="76" spans="1:34" s="1032" customFormat="1" ht="22.5" customHeight="1">
      <c r="A76" s="1030"/>
      <c r="B76" s="1030"/>
      <c r="C76" s="1030"/>
      <c r="D76" s="181" t="s">
        <v>103</v>
      </c>
      <c r="E76" s="35" t="str">
        <f>E69&amp;".6"</f>
        <v>2.12.6</v>
      </c>
      <c r="F76" s="37" t="s">
        <v>590</v>
      </c>
      <c r="G76" s="35" t="s">
        <v>560</v>
      </c>
      <c r="H76" s="312"/>
      <c r="I76" s="312">
        <v>8591.9711283428696</v>
      </c>
      <c r="J76" s="312">
        <v>0</v>
      </c>
      <c r="K76" s="312">
        <v>0</v>
      </c>
      <c r="L76" s="403" t="s">
        <v>563</v>
      </c>
      <c r="M76" s="1030"/>
      <c r="N76" s="1030"/>
      <c r="O76" s="1030"/>
      <c r="P76" s="1030"/>
      <c r="Q76" s="1030"/>
      <c r="R76" s="1030"/>
      <c r="S76" s="1030"/>
      <c r="T76" s="1030"/>
      <c r="U76" s="1030"/>
      <c r="V76" s="1030"/>
      <c r="W76" s="1030"/>
      <c r="X76" s="1030"/>
      <c r="Y76" s="1030"/>
      <c r="Z76" s="1030"/>
      <c r="AA76" s="1030"/>
      <c r="AB76" s="1030"/>
      <c r="AC76" s="1030"/>
      <c r="AD76" s="1030"/>
      <c r="AE76" s="1030"/>
      <c r="AF76" s="1030"/>
      <c r="AG76" s="1030"/>
      <c r="AH76" s="9">
        <v>0</v>
      </c>
    </row>
    <row r="77" spans="1:34" ht="14.65" customHeight="1">
      <c r="E77" s="410"/>
      <c r="F77" s="63" t="s">
        <v>591</v>
      </c>
      <c r="G77" s="762"/>
      <c r="H77" s="906"/>
      <c r="I77" s="906"/>
      <c r="J77" s="395"/>
      <c r="K77" s="395"/>
      <c r="L77" s="818"/>
      <c r="AH77" s="556">
        <v>14</v>
      </c>
    </row>
    <row r="78" spans="1:34" ht="18.75" hidden="1" customHeight="1">
      <c r="A78" s="411" t="s">
        <v>592</v>
      </c>
      <c r="E78" s="911" t="str">
        <f>FHD_NUM_P_34</f>
        <v/>
      </c>
      <c r="F78" s="620" t="str">
        <f>FHD_P_34</f>
        <v/>
      </c>
      <c r="G78" s="584" t="s">
        <v>560</v>
      </c>
      <c r="H78" s="407"/>
      <c r="I78" s="407"/>
      <c r="J78" s="407"/>
      <c r="K78" s="407"/>
      <c r="L78" s="796" t="str">
        <f>FHD_NOTE_P_34</f>
        <v/>
      </c>
      <c r="AH78" s="556">
        <v>0</v>
      </c>
    </row>
    <row r="79" spans="1:34" ht="20.25" customHeight="1">
      <c r="E79" s="911" t="str">
        <f>FHD_NUM_P_35</f>
        <v>3</v>
      </c>
      <c r="F79" s="620" t="str">
        <f>FHD_P_35</f>
        <v>Чистая прибыль, полученная от регулируемого вида деятельности в сфере водоотведения, в том числе:</v>
      </c>
      <c r="G79" s="584" t="s">
        <v>560</v>
      </c>
      <c r="H79" s="407"/>
      <c r="I79" s="407">
        <v>211054.199001186</v>
      </c>
      <c r="J79" s="407">
        <v>-16162.4729679339</v>
      </c>
      <c r="K79" s="407">
        <v>6397.0949425136396</v>
      </c>
      <c r="L79" s="796" t="str">
        <f>FHD_NOTE_P_35</f>
        <v>Указывается общая сумма чистой прибыли, полученной от регулируемого вида деятельности.</v>
      </c>
      <c r="AH79" s="556">
        <v>19</v>
      </c>
    </row>
    <row r="80" spans="1:34" ht="46.5" customHeight="1">
      <c r="E80" s="911" t="str">
        <f>FHD_NUM_P_36</f>
        <v>3.1</v>
      </c>
      <c r="F80" s="889" t="str">
        <f>FHD_P_36</f>
        <v>Размер расходования чистой прибыли на финансирование мероприятий, предусмотренных инвестиционной программой регулируемой организации</v>
      </c>
      <c r="G80" s="584" t="s">
        <v>560</v>
      </c>
      <c r="H80" s="407"/>
      <c r="I80" s="407">
        <v>251043</v>
      </c>
      <c r="J80" s="407">
        <v>0</v>
      </c>
      <c r="K80" s="407">
        <v>0</v>
      </c>
      <c r="L80" s="796" t="str">
        <f>FHD_NOTE_P_36</f>
        <v/>
      </c>
      <c r="AH80" s="556">
        <v>19</v>
      </c>
    </row>
    <row r="81" spans="1:34" ht="20.25" customHeight="1">
      <c r="E81" s="911" t="str">
        <f>FHD_NUM_P_37</f>
        <v>4</v>
      </c>
      <c r="F81" s="620" t="str">
        <f>FHD_P_37</f>
        <v>Изменение стоимости основных фондов, в том числе:</v>
      </c>
      <c r="G81" s="584" t="s">
        <v>560</v>
      </c>
      <c r="H81" s="407"/>
      <c r="I81" s="407">
        <v>218730.11</v>
      </c>
      <c r="J81" s="407">
        <v>0</v>
      </c>
      <c r="K81" s="407">
        <v>0</v>
      </c>
      <c r="L81" s="796" t="str">
        <f>FHD_NOTE_P_37</f>
        <v>Указывается общее изменение стоимости основных фондов.</v>
      </c>
      <c r="AH81" s="556">
        <v>19</v>
      </c>
    </row>
    <row r="82" spans="1:34" ht="20.25" customHeight="1">
      <c r="E82" s="911" t="str">
        <f>FHD_NUM_P_38</f>
        <v>4.1</v>
      </c>
      <c r="F82" s="889" t="str">
        <f>FHD_P_38</f>
        <v>Изменение стоимости основных фондов за счет их ввода в эксплуатацию (вывода из эксплуатации)</v>
      </c>
      <c r="G82" s="584" t="s">
        <v>560</v>
      </c>
      <c r="H82" s="407"/>
      <c r="I82" s="407">
        <v>218730.11</v>
      </c>
      <c r="J82" s="407">
        <v>0</v>
      </c>
      <c r="K82" s="407">
        <v>0</v>
      </c>
      <c r="L82" s="796" t="str">
        <f>FHD_NOTE_P_38</f>
        <v>Указываются общее изменение стоимости основных фондов за счет их ввода в эксплуатацию и вывода из эксплуатации.</v>
      </c>
      <c r="AH82" s="556">
        <v>19</v>
      </c>
    </row>
    <row r="83" spans="1:34" ht="20.25" customHeight="1">
      <c r="E83" s="911" t="str">
        <f>FHD_NUM_P_39</f>
        <v>4.1.1</v>
      </c>
      <c r="F83" s="926" t="str">
        <f>FHD_P_39</f>
        <v>Изменение стоимости основных фондов за счет их ввода в эксплуатацию</v>
      </c>
      <c r="G83" s="618" t="s">
        <v>560</v>
      </c>
      <c r="H83" s="407"/>
      <c r="I83" s="407">
        <v>222169.05</v>
      </c>
      <c r="J83" s="407">
        <v>0</v>
      </c>
      <c r="K83" s="407">
        <v>0</v>
      </c>
      <c r="L83" s="796" t="str">
        <f>FHD_NOTE_P_39</f>
        <v>Указываются изменение стоимости основных фондов за счет их ввода в эксплуатацию.</v>
      </c>
      <c r="AH83" s="556">
        <v>19</v>
      </c>
    </row>
    <row r="84" spans="1:34" ht="20.25" customHeight="1">
      <c r="E84" s="911" t="str">
        <f>FHD_NUM_P_40</f>
        <v>4.1.2</v>
      </c>
      <c r="F84" s="930" t="str">
        <f>FHD_P_40</f>
        <v>Изменение стоимости основных фондов за счет их вывода в эксплуатацию</v>
      </c>
      <c r="G84" s="584" t="s">
        <v>560</v>
      </c>
      <c r="H84" s="415"/>
      <c r="I84" s="407">
        <v>3438.94</v>
      </c>
      <c r="J84" s="415">
        <v>0</v>
      </c>
      <c r="K84" s="415">
        <v>0</v>
      </c>
      <c r="L84" s="796" t="str">
        <f>FHD_NOTE_P_40</f>
        <v>Указываются изменение стоимости основных фондов за счет их вывода из эксплуатации.</v>
      </c>
      <c r="AH84" s="556">
        <v>19</v>
      </c>
    </row>
    <row r="85" spans="1:34" ht="19.899999999999999" customHeight="1">
      <c r="E85" s="911" t="str">
        <f>FHD_NUM_P_41</f>
        <v>4.2</v>
      </c>
      <c r="F85" s="931" t="str">
        <f>FHD_P_41</f>
        <v>Изменение стоимости основных фондов за счет их переоценки</v>
      </c>
      <c r="G85" s="584" t="s">
        <v>560</v>
      </c>
      <c r="H85" s="415"/>
      <c r="I85" s="407">
        <v>0</v>
      </c>
      <c r="J85" s="415">
        <v>0</v>
      </c>
      <c r="K85" s="415">
        <v>0</v>
      </c>
      <c r="L85" s="796" t="str">
        <f>FHD_NOTE_P_41</f>
        <v/>
      </c>
      <c r="AH85" s="556">
        <v>19</v>
      </c>
    </row>
    <row r="86" spans="1:34" ht="20.25" customHeight="1">
      <c r="A86" s="411" t="s">
        <v>593</v>
      </c>
      <c r="E86" s="911" t="str">
        <f>FHD_NUM_P_42</f>
        <v>5</v>
      </c>
      <c r="F86" s="624" t="str">
        <f>FHD_P_42</f>
        <v>Валовая прибыль (убытки) от продажи товаров и услуг по регулируемым видам деятельности в сфере водоотведения</v>
      </c>
      <c r="G86" s="584" t="s">
        <v>560</v>
      </c>
      <c r="H86" s="415"/>
      <c r="I86" s="407">
        <f>I30-I31</f>
        <v>273814.94900118513</v>
      </c>
      <c r="J86" s="415">
        <f>J30-J31</f>
        <v>-25634.817459999998</v>
      </c>
      <c r="K86" s="415">
        <f>K30-K31</f>
        <v>8569.287620000001</v>
      </c>
      <c r="L86" s="796" t="str">
        <f>FHD_NOTE_P_42</f>
        <v/>
      </c>
      <c r="AH86" s="556">
        <v>19</v>
      </c>
    </row>
    <row r="87" spans="1:34" ht="42" customHeight="1">
      <c r="E87" s="911" t="str">
        <f>FHD_NUM_P_43</f>
        <v>6</v>
      </c>
      <c r="F87" s="620" t="str">
        <f>FHD_P_43</f>
        <v>Годовая бухгалтерская (финансовая) отчетность, включая бухгалтерский баланс и приложения к нему</v>
      </c>
      <c r="G87" s="587" t="s">
        <v>314</v>
      </c>
      <c r="H87" s="997"/>
      <c r="I87" s="1002" t="s">
        <v>594</v>
      </c>
      <c r="J87" s="1003" t="s">
        <v>594</v>
      </c>
      <c r="K87" s="1003" t="s">
        <v>594</v>
      </c>
      <c r="L87" s="79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H87" s="556">
        <v>19</v>
      </c>
    </row>
    <row r="88" spans="1:34" ht="18.75" hidden="1" customHeight="1">
      <c r="A88" s="1276" t="s">
        <v>595</v>
      </c>
      <c r="E88" s="911" t="str">
        <f>FHD_NUM_P_44</f>
        <v/>
      </c>
      <c r="F88" s="620" t="str">
        <f>FHD_P_44</f>
        <v/>
      </c>
      <c r="G88" s="584" t="s">
        <v>596</v>
      </c>
      <c r="H88" s="416"/>
      <c r="I88" s="412"/>
      <c r="J88" s="416"/>
      <c r="K88" s="416"/>
      <c r="L88" s="796" t="str">
        <f>FHD_NOTE_P_44</f>
        <v/>
      </c>
      <c r="AH88" s="556">
        <v>0</v>
      </c>
    </row>
    <row r="89" spans="1:34" ht="18.75" hidden="1" customHeight="1">
      <c r="A89" s="1276"/>
      <c r="E89" s="911" t="str">
        <f>FHD_NUM_P_45</f>
        <v/>
      </c>
      <c r="F89" s="620" t="str">
        <f>FHD_P_45</f>
        <v/>
      </c>
      <c r="G89" s="584" t="s">
        <v>596</v>
      </c>
      <c r="H89" s="416"/>
      <c r="I89" s="412"/>
      <c r="J89" s="416"/>
      <c r="K89" s="416"/>
      <c r="L89" s="796" t="str">
        <f>FHD_NOTE_P_45</f>
        <v/>
      </c>
      <c r="AH89" s="556">
        <v>0</v>
      </c>
    </row>
    <row r="90" spans="1:34" ht="18.75" hidden="1" customHeight="1">
      <c r="A90" s="1276"/>
      <c r="E90" s="911" t="str">
        <f>FHD_NUM_P_46</f>
        <v/>
      </c>
      <c r="F90" s="620" t="str">
        <f>FHD_P_46</f>
        <v/>
      </c>
      <c r="G90" s="584" t="s">
        <v>596</v>
      </c>
      <c r="H90" s="416"/>
      <c r="I90" s="412"/>
      <c r="J90" s="416"/>
      <c r="K90" s="416"/>
      <c r="L90" s="796" t="str">
        <f>FHD_NOTE_P_46</f>
        <v/>
      </c>
      <c r="AH90" s="556">
        <v>0</v>
      </c>
    </row>
    <row r="91" spans="1:34" ht="18.75" hidden="1" customHeight="1">
      <c r="A91" s="1276"/>
      <c r="E91" s="911" t="str">
        <f>FHD_NUM_P_47</f>
        <v/>
      </c>
      <c r="F91" s="620" t="str">
        <f>FHD_P_47</f>
        <v/>
      </c>
      <c r="G91" s="584" t="s">
        <v>596</v>
      </c>
      <c r="H91" s="416"/>
      <c r="I91" s="412"/>
      <c r="J91" s="416"/>
      <c r="K91" s="416"/>
      <c r="L91" s="796" t="str">
        <f>FHD_NOTE_P_47</f>
        <v/>
      </c>
      <c r="AH91" s="556">
        <v>0</v>
      </c>
    </row>
    <row r="92" spans="1:34" ht="18.75" hidden="1" customHeight="1">
      <c r="A92" s="1276"/>
      <c r="E92" s="911" t="str">
        <f>FHD_NUM_P_48</f>
        <v/>
      </c>
      <c r="F92" s="620" t="str">
        <f>FHD_P_48</f>
        <v/>
      </c>
      <c r="G92" s="584" t="s">
        <v>596</v>
      </c>
      <c r="H92" s="416"/>
      <c r="I92" s="412"/>
      <c r="J92" s="416"/>
      <c r="K92" s="416"/>
      <c r="L92" s="796" t="str">
        <f>FHD_NOTE_P_48</f>
        <v/>
      </c>
      <c r="AH92" s="539">
        <v>0</v>
      </c>
    </row>
    <row r="93" spans="1:34" ht="18.75" hidden="1" customHeight="1">
      <c r="A93" s="1276"/>
      <c r="E93" s="911" t="str">
        <f>FHD_NUM_P_49</f>
        <v/>
      </c>
      <c r="F93" s="620" t="str">
        <f>FHD_P_49</f>
        <v/>
      </c>
      <c r="G93" s="584" t="s">
        <v>596</v>
      </c>
      <c r="H93" s="417">
        <f>SUM(H94:H95)</f>
        <v>0</v>
      </c>
      <c r="I93" s="418">
        <f>SUM(I94:I95)</f>
        <v>0</v>
      </c>
      <c r="J93" s="417">
        <f>SUM(J94:J95)</f>
        <v>0</v>
      </c>
      <c r="K93" s="417">
        <f>SUM(K94:K95)</f>
        <v>0</v>
      </c>
      <c r="L93" s="796" t="str">
        <f>FHD_NOTE_P_49</f>
        <v/>
      </c>
      <c r="AH93" s="539">
        <v>0</v>
      </c>
    </row>
    <row r="94" spans="1:34" ht="18.75" hidden="1" customHeight="1">
      <c r="A94" s="1276"/>
      <c r="E94" s="911" t="str">
        <f>FHD_NUM_P_50</f>
        <v/>
      </c>
      <c r="F94" s="620" t="str">
        <f>FHD_P_50</f>
        <v/>
      </c>
      <c r="G94" s="584" t="s">
        <v>596</v>
      </c>
      <c r="H94" s="416"/>
      <c r="I94" s="412"/>
      <c r="J94" s="416"/>
      <c r="K94" s="416"/>
      <c r="L94" s="796" t="str">
        <f>FHD_NOTE_P_50</f>
        <v/>
      </c>
      <c r="AH94" s="539">
        <v>0</v>
      </c>
    </row>
    <row r="95" spans="1:34" ht="18.75" hidden="1" customHeight="1">
      <c r="A95" s="1276"/>
      <c r="E95" s="911" t="str">
        <f>FHD_NUM_P_51</f>
        <v/>
      </c>
      <c r="F95" s="620" t="str">
        <f>FHD_P_51</f>
        <v/>
      </c>
      <c r="G95" s="584" t="s">
        <v>596</v>
      </c>
      <c r="H95" s="416"/>
      <c r="I95" s="412"/>
      <c r="J95" s="416"/>
      <c r="K95" s="416"/>
      <c r="L95" s="796" t="str">
        <f>FHD_NOTE_P_51</f>
        <v/>
      </c>
      <c r="AH95" s="539">
        <v>0</v>
      </c>
    </row>
    <row r="96" spans="1:34" ht="18.75" hidden="1" customHeight="1">
      <c r="A96" s="1276"/>
      <c r="E96" s="911" t="str">
        <f>FHD_NUM_P_52</f>
        <v/>
      </c>
      <c r="F96" s="620" t="str">
        <f>FHD_P_52</f>
        <v/>
      </c>
      <c r="G96" s="584" t="s">
        <v>566</v>
      </c>
      <c r="H96" s="415"/>
      <c r="I96" s="407"/>
      <c r="J96" s="415"/>
      <c r="K96" s="415"/>
      <c r="L96" s="796" t="str">
        <f>FHD_NOTE_P_52</f>
        <v/>
      </c>
      <c r="AH96" s="539">
        <v>0</v>
      </c>
    </row>
    <row r="97" spans="1:34" ht="18.75" hidden="1" customHeight="1">
      <c r="A97" s="1276" t="s">
        <v>597</v>
      </c>
      <c r="E97" s="911" t="str">
        <f>FHD_NUM_P_53</f>
        <v/>
      </c>
      <c r="F97" s="620" t="str">
        <f>FHD_P_53</f>
        <v/>
      </c>
      <c r="G97" s="584" t="s">
        <v>596</v>
      </c>
      <c r="H97" s="416"/>
      <c r="I97" s="412"/>
      <c r="J97" s="416"/>
      <c r="K97" s="416"/>
      <c r="L97" s="796" t="str">
        <f>FHD_NOTE_P_53</f>
        <v/>
      </c>
      <c r="AH97" s="556">
        <v>0</v>
      </c>
    </row>
    <row r="98" spans="1:34" ht="18.75" hidden="1" customHeight="1">
      <c r="A98" s="1276"/>
      <c r="E98" s="911" t="str">
        <f>FHD_NUM_P_54</f>
        <v/>
      </c>
      <c r="F98" s="620" t="str">
        <f>FHD_P_54</f>
        <v/>
      </c>
      <c r="G98" s="584" t="s">
        <v>596</v>
      </c>
      <c r="H98" s="416"/>
      <c r="I98" s="412"/>
      <c r="J98" s="416"/>
      <c r="K98" s="416"/>
      <c r="L98" s="796" t="str">
        <f>FHD_NOTE_P_54</f>
        <v/>
      </c>
      <c r="AH98" s="556">
        <v>0</v>
      </c>
    </row>
    <row r="99" spans="1:34" ht="18.75" hidden="1" customHeight="1">
      <c r="A99" s="1276"/>
      <c r="E99" s="911" t="str">
        <f>FHD_NUM_P_55</f>
        <v/>
      </c>
      <c r="F99" s="620" t="str">
        <f>FHD_P_55</f>
        <v/>
      </c>
      <c r="G99" s="888"/>
      <c r="H99" s="416"/>
      <c r="I99" s="412"/>
      <c r="J99" s="416"/>
      <c r="K99" s="416"/>
      <c r="L99" s="796" t="str">
        <f>FHD_NOTE_P_55</f>
        <v/>
      </c>
      <c r="AH99" s="556">
        <v>0</v>
      </c>
    </row>
    <row r="100" spans="1:34" ht="18.75" hidden="1" customHeight="1">
      <c r="A100" s="1276"/>
      <c r="E100" s="911" t="str">
        <f>FHD_NUM_P_56</f>
        <v/>
      </c>
      <c r="F100" s="620" t="str">
        <f>FHD_P_56</f>
        <v/>
      </c>
      <c r="G100" s="584" t="s">
        <v>598</v>
      </c>
      <c r="H100" s="416"/>
      <c r="I100" s="412"/>
      <c r="J100" s="416"/>
      <c r="K100" s="416"/>
      <c r="L100" s="796" t="str">
        <f>FHD_NOTE_P_56</f>
        <v/>
      </c>
      <c r="AH100" s="556">
        <v>0</v>
      </c>
    </row>
    <row r="101" spans="1:34" ht="18.75" hidden="1" customHeight="1">
      <c r="A101" s="1276"/>
      <c r="E101" s="911" t="str">
        <f>FHD_NUM_P_57</f>
        <v/>
      </c>
      <c r="F101" s="620" t="str">
        <f>FHD_P_57</f>
        <v/>
      </c>
      <c r="G101" s="584" t="s">
        <v>566</v>
      </c>
      <c r="H101" s="415"/>
      <c r="I101" s="407"/>
      <c r="J101" s="415"/>
      <c r="K101" s="415"/>
      <c r="L101" s="796" t="str">
        <f>FHD_NOTE_P_57</f>
        <v/>
      </c>
      <c r="AH101" s="539">
        <v>0</v>
      </c>
    </row>
    <row r="102" spans="1:34" ht="18.75" customHeight="1">
      <c r="A102" s="1276" t="s">
        <v>599</v>
      </c>
      <c r="E102" s="911" t="str">
        <f>FHD_NUM_P_58</f>
        <v>7</v>
      </c>
      <c r="F102" s="620" t="str">
        <f>FHD_P_58</f>
        <v>Объём сточных вод, принятых от потребителей</v>
      </c>
      <c r="G102" s="584" t="s">
        <v>596</v>
      </c>
      <c r="H102" s="416"/>
      <c r="I102" s="412">
        <v>120282.769063763</v>
      </c>
      <c r="J102" s="416">
        <v>1543.2553173589499</v>
      </c>
      <c r="K102" s="416">
        <v>0</v>
      </c>
      <c r="L102" s="796" t="str">
        <f>FHD_NOTE_P_58</f>
        <v/>
      </c>
      <c r="AH102" s="539">
        <v>0</v>
      </c>
    </row>
    <row r="103" spans="1:34" ht="40.5" customHeight="1">
      <c r="A103" s="1276"/>
      <c r="E103" s="911" t="str">
        <f>FHD_NUM_P_59</f>
        <v>8</v>
      </c>
      <c r="F103" s="620" t="str">
        <f>FHD_P_59</f>
        <v>Объём сточных вод, принятых от других регулируемых организаций, осуществляющих водоотведение и (или) очистку сточных вод</v>
      </c>
      <c r="G103" s="584" t="s">
        <v>596</v>
      </c>
      <c r="H103" s="416"/>
      <c r="I103" s="412">
        <v>2478.167164</v>
      </c>
      <c r="J103" s="416">
        <v>0</v>
      </c>
      <c r="K103" s="416">
        <v>0</v>
      </c>
      <c r="L103" s="796" t="str">
        <f>FHD_NOTE_P_59</f>
        <v/>
      </c>
      <c r="AH103" s="539">
        <v>0</v>
      </c>
    </row>
    <row r="104" spans="1:34" ht="18.75" customHeight="1">
      <c r="A104" s="1276"/>
      <c r="E104" s="911" t="str">
        <f>FHD_NUM_P_60</f>
        <v>9</v>
      </c>
      <c r="F104" s="620" t="str">
        <f>FHD_P_60</f>
        <v>Объём сточных вод, пропущенных через очистные сооружения</v>
      </c>
      <c r="G104" s="584" t="s">
        <v>596</v>
      </c>
      <c r="H104" s="416"/>
      <c r="I104" s="412">
        <v>231885.26019999999</v>
      </c>
      <c r="J104" s="416">
        <v>1714.1063799999999</v>
      </c>
      <c r="K104" s="416">
        <v>0</v>
      </c>
      <c r="L104" s="796" t="str">
        <f>FHD_NOTE_P_60</f>
        <v/>
      </c>
      <c r="AH104" s="539">
        <v>0</v>
      </c>
    </row>
    <row r="105" spans="1:34" ht="18.75" hidden="1" customHeight="1">
      <c r="A105" s="1276" t="s">
        <v>600</v>
      </c>
      <c r="E105" s="911" t="str">
        <f>FHD_NUM_P_61</f>
        <v/>
      </c>
      <c r="F105" s="620" t="str">
        <f>FHD_P_61</f>
        <v/>
      </c>
      <c r="G105" s="584" t="s">
        <v>564</v>
      </c>
      <c r="H105" s="419"/>
      <c r="I105" s="420"/>
      <c r="J105" s="419"/>
      <c r="K105" s="419"/>
      <c r="L105" s="796" t="str">
        <f>FHD_NOTE_P_61</f>
        <v/>
      </c>
      <c r="AH105" s="556">
        <v>0</v>
      </c>
    </row>
    <row r="106" spans="1:34" ht="0.75" hidden="1" customHeight="1">
      <c r="A106" s="1276"/>
      <c r="E106" s="585" t="str">
        <f>E105&amp;".0"</f>
        <v>.0</v>
      </c>
      <c r="F106" s="932"/>
      <c r="G106" s="933"/>
      <c r="H106" s="414"/>
      <c r="I106" s="414"/>
      <c r="J106" s="414"/>
      <c r="K106" s="414"/>
      <c r="L106" s="934"/>
      <c r="AH106" s="578">
        <v>0</v>
      </c>
    </row>
    <row r="107" spans="1:34" ht="15" hidden="1" customHeight="1">
      <c r="A107" s="1276"/>
      <c r="E107" s="421"/>
      <c r="F107" s="422" t="s">
        <v>601</v>
      </c>
      <c r="G107" s="762"/>
      <c r="H107" s="906"/>
      <c r="I107" s="906"/>
      <c r="J107" s="395"/>
      <c r="K107" s="395"/>
      <c r="L107" s="821" t="s">
        <v>602</v>
      </c>
      <c r="AH107" s="539">
        <v>0</v>
      </c>
    </row>
    <row r="108" spans="1:34" ht="18.75" hidden="1" customHeight="1">
      <c r="A108" s="1276"/>
      <c r="E108" s="911" t="str">
        <f>FHD_NUM_P_62</f>
        <v/>
      </c>
      <c r="F108" s="620" t="str">
        <f>FHD_P_62</f>
        <v/>
      </c>
      <c r="G108" s="543" t="s">
        <v>564</v>
      </c>
      <c r="H108" s="407"/>
      <c r="I108" s="407"/>
      <c r="J108" s="407"/>
      <c r="K108" s="407"/>
      <c r="L108" s="796" t="str">
        <f>FHD_NOTE_P_62</f>
        <v/>
      </c>
      <c r="AH108" s="556">
        <v>0</v>
      </c>
    </row>
    <row r="109" spans="1:34" ht="18.75" hidden="1" customHeight="1">
      <c r="A109" s="1276"/>
      <c r="E109" s="911" t="str">
        <f>FHD_NUM_P_63</f>
        <v/>
      </c>
      <c r="F109" s="620" t="str">
        <f>FHD_P_63</f>
        <v/>
      </c>
      <c r="G109" s="543" t="s">
        <v>598</v>
      </c>
      <c r="H109" s="412"/>
      <c r="I109" s="412"/>
      <c r="J109" s="412"/>
      <c r="K109" s="412"/>
      <c r="L109" s="796" t="str">
        <f>FHD_NOTE_P_63</f>
        <v/>
      </c>
      <c r="AH109" s="556">
        <v>0</v>
      </c>
    </row>
    <row r="110" spans="1:34" ht="18.75" hidden="1" customHeight="1">
      <c r="A110" s="1276"/>
      <c r="C110" s="578" t="s">
        <v>603</v>
      </c>
      <c r="E110" s="911" t="str">
        <f>FHD_NUM_P_64</f>
        <v/>
      </c>
      <c r="F110" s="620" t="str">
        <f>FHD_P_64</f>
        <v/>
      </c>
      <c r="G110" s="543" t="s">
        <v>598</v>
      </c>
      <c r="H110" s="404"/>
      <c r="I110" s="404"/>
      <c r="J110" s="404"/>
      <c r="K110" s="404"/>
      <c r="L110" s="796" t="str">
        <f>FHD_NOTE_P_64</f>
        <v/>
      </c>
      <c r="AH110" s="556">
        <v>0</v>
      </c>
    </row>
    <row r="111" spans="1:34" ht="18.75" hidden="1" customHeight="1">
      <c r="A111" s="1276"/>
      <c r="E111" s="911" t="str">
        <f>FHD_NUM_P_65</f>
        <v/>
      </c>
      <c r="F111" s="620" t="str">
        <f>FHD_P_65</f>
        <v/>
      </c>
      <c r="G111" s="543" t="s">
        <v>598</v>
      </c>
      <c r="H111" s="412"/>
      <c r="I111" s="412"/>
      <c r="J111" s="412"/>
      <c r="K111" s="412"/>
      <c r="L111" s="796" t="str">
        <f>FHD_NOTE_P_65</f>
        <v/>
      </c>
      <c r="AH111" s="556">
        <v>0</v>
      </c>
    </row>
    <row r="112" spans="1:34" ht="18.75" hidden="1" customHeight="1">
      <c r="A112" s="1276"/>
      <c r="E112" s="911" t="str">
        <f>FHD_NUM_P_66</f>
        <v/>
      </c>
      <c r="F112" s="889" t="str">
        <f>FHD_P_66</f>
        <v/>
      </c>
      <c r="G112" s="543" t="s">
        <v>598</v>
      </c>
      <c r="H112" s="412"/>
      <c r="I112" s="412"/>
      <c r="J112" s="412"/>
      <c r="K112" s="412"/>
      <c r="L112" s="796" t="str">
        <f>FHD_NOTE_P_66</f>
        <v/>
      </c>
      <c r="AH112" s="556">
        <v>0</v>
      </c>
    </row>
    <row r="113" spans="1:34" ht="18.75" hidden="1" customHeight="1">
      <c r="A113" s="1276"/>
      <c r="E113" s="911" t="str">
        <f>FHD_NUM_P_67</f>
        <v/>
      </c>
      <c r="F113" s="926" t="str">
        <f>FHD_P_67</f>
        <v/>
      </c>
      <c r="G113" s="543" t="s">
        <v>598</v>
      </c>
      <c r="H113" s="412"/>
      <c r="I113" s="412"/>
      <c r="J113" s="412"/>
      <c r="K113" s="412"/>
      <c r="L113" s="796" t="str">
        <f>FHD_NOTE_P_67</f>
        <v/>
      </c>
      <c r="AH113" s="556">
        <v>0</v>
      </c>
    </row>
    <row r="114" spans="1:34" ht="18.75" hidden="1" customHeight="1">
      <c r="A114" s="1276"/>
      <c r="E114" s="911" t="str">
        <f>FHD_NUM_P_68</f>
        <v/>
      </c>
      <c r="F114" s="889" t="str">
        <f>FHD_P_68</f>
        <v/>
      </c>
      <c r="G114" s="543" t="s">
        <v>598</v>
      </c>
      <c r="H114" s="412"/>
      <c r="I114" s="412"/>
      <c r="J114" s="412"/>
      <c r="K114" s="412"/>
      <c r="L114" s="796" t="str">
        <f>FHD_NOTE_P_68</f>
        <v/>
      </c>
      <c r="AH114" s="556">
        <v>0</v>
      </c>
    </row>
    <row r="115" spans="1:34" ht="18.75" hidden="1" customHeight="1">
      <c r="A115" s="1276"/>
      <c r="E115" s="911" t="str">
        <f>FHD_NUM_P_69</f>
        <v/>
      </c>
      <c r="F115" s="889" t="str">
        <f>FHD_P_69</f>
        <v/>
      </c>
      <c r="G115" s="543" t="s">
        <v>598</v>
      </c>
      <c r="H115" s="412"/>
      <c r="I115" s="412"/>
      <c r="J115" s="412"/>
      <c r="K115" s="412"/>
      <c r="L115" s="796" t="str">
        <f>FHD_NOTE_P_69</f>
        <v/>
      </c>
      <c r="AH115" s="556">
        <v>0</v>
      </c>
    </row>
    <row r="116" spans="1:34" ht="22.5" hidden="1" customHeight="1">
      <c r="A116" s="1276"/>
      <c r="E116" s="911" t="str">
        <f>FHD_NUM_P_70</f>
        <v/>
      </c>
      <c r="F116" s="620" t="str">
        <f>FHD_P_70</f>
        <v/>
      </c>
      <c r="G116" s="543" t="s">
        <v>604</v>
      </c>
      <c r="H116" s="407"/>
      <c r="I116" s="407"/>
      <c r="J116" s="407"/>
      <c r="K116" s="407"/>
      <c r="L116" s="796" t="str">
        <f>FHD_NOTE_P_70</f>
        <v/>
      </c>
      <c r="AH116" s="556">
        <v>0</v>
      </c>
    </row>
    <row r="117" spans="1:34" ht="22.5" hidden="1" customHeight="1">
      <c r="A117" s="1276"/>
      <c r="E117" s="911" t="str">
        <f>FHD_NUM_P_71</f>
        <v/>
      </c>
      <c r="F117" s="620" t="str">
        <f>FHD_P_71</f>
        <v/>
      </c>
      <c r="G117" s="543" t="s">
        <v>604</v>
      </c>
      <c r="H117" s="407"/>
      <c r="I117" s="407"/>
      <c r="J117" s="407"/>
      <c r="K117" s="407"/>
      <c r="L117" s="796" t="str">
        <f>FHD_NOTE_P_71</f>
        <v/>
      </c>
      <c r="AH117" s="556">
        <v>0</v>
      </c>
    </row>
    <row r="118" spans="1:34" ht="20.25" customHeight="1">
      <c r="E118" s="911" t="str">
        <f>FHD_NUM_P_72</f>
        <v>10</v>
      </c>
      <c r="F118" s="620" t="str">
        <f>FHD_P_72</f>
        <v>Среднесписочная численность основного производственного персонала</v>
      </c>
      <c r="G118" s="543" t="s">
        <v>605</v>
      </c>
      <c r="H118" s="412"/>
      <c r="I118" s="412">
        <v>483</v>
      </c>
      <c r="J118" s="412">
        <v>35</v>
      </c>
      <c r="K118" s="412">
        <v>5</v>
      </c>
      <c r="L118" s="796" t="str">
        <f>FHD_NOTE_P_72</f>
        <v/>
      </c>
      <c r="AH118" s="539">
        <v>19</v>
      </c>
    </row>
    <row r="119" spans="1:34" ht="18.75" hidden="1" customHeight="1">
      <c r="A119" s="411" t="s">
        <v>606</v>
      </c>
      <c r="E119" s="911" t="str">
        <f>FHD_NUM_P_73</f>
        <v/>
      </c>
      <c r="F119" s="620" t="str">
        <f>FHD_P_73</f>
        <v/>
      </c>
      <c r="G119" s="616" t="s">
        <v>605</v>
      </c>
      <c r="H119" s="423"/>
      <c r="I119" s="423"/>
      <c r="J119" s="423"/>
      <c r="K119" s="423"/>
      <c r="L119" s="796" t="str">
        <f>FHD_NOTE_P_73</f>
        <v/>
      </c>
      <c r="AH119" s="539">
        <v>0</v>
      </c>
    </row>
    <row r="120" spans="1:34" ht="33.75" hidden="1" customHeight="1">
      <c r="A120" s="411" t="s">
        <v>607</v>
      </c>
      <c r="E120" s="911" t="str">
        <f>FHD_NUM_P_74</f>
        <v/>
      </c>
      <c r="F120" s="620" t="str">
        <f>FHD_P_74</f>
        <v/>
      </c>
      <c r="G120" s="543" t="s">
        <v>608</v>
      </c>
      <c r="H120" s="412"/>
      <c r="I120" s="412"/>
      <c r="J120" s="412"/>
      <c r="K120" s="412"/>
      <c r="L120" s="796" t="str">
        <f>FHD_NOTE_P_74</f>
        <v/>
      </c>
      <c r="AH120" s="539">
        <v>0</v>
      </c>
    </row>
    <row r="121" spans="1:34" ht="18.75" hidden="1" customHeight="1">
      <c r="A121" s="1276" t="s">
        <v>609</v>
      </c>
      <c r="E121" s="911" t="str">
        <f>FHD_NUM_P_75</f>
        <v/>
      </c>
      <c r="F121" s="620" t="str">
        <f>FHD_P_75</f>
        <v/>
      </c>
      <c r="G121" s="543" t="s">
        <v>566</v>
      </c>
      <c r="H121" s="407"/>
      <c r="I121" s="407"/>
      <c r="J121" s="407"/>
      <c r="K121" s="407"/>
      <c r="L121" s="796" t="str">
        <f>FHD_NOTE_P_75</f>
        <v/>
      </c>
      <c r="AH121" s="539">
        <v>0</v>
      </c>
    </row>
    <row r="122" spans="1:34" ht="18.75" hidden="1" customHeight="1">
      <c r="A122" s="1276"/>
      <c r="E122" s="911" t="str">
        <f>FHD_NUM_P_76</f>
        <v/>
      </c>
      <c r="F122" s="620" t="str">
        <f>FHD_P_76</f>
        <v/>
      </c>
      <c r="G122" s="543" t="s">
        <v>566</v>
      </c>
      <c r="H122" s="407"/>
      <c r="I122" s="407"/>
      <c r="J122" s="407"/>
      <c r="K122" s="407"/>
      <c r="L122" s="796" t="str">
        <f>FHD_NOTE_P_76</f>
        <v/>
      </c>
      <c r="AH122" s="539">
        <v>0</v>
      </c>
    </row>
    <row r="123" spans="1:34" ht="18.75" hidden="1" customHeight="1">
      <c r="A123" s="1276"/>
      <c r="E123" s="911" t="str">
        <f>FHD_NUM_P_77</f>
        <v/>
      </c>
      <c r="F123" s="620" t="str">
        <f>FHD_P_77</f>
        <v/>
      </c>
      <c r="G123" s="543" t="s">
        <v>566</v>
      </c>
      <c r="H123" s="407"/>
      <c r="I123" s="407"/>
      <c r="J123" s="407"/>
      <c r="K123" s="407"/>
      <c r="L123" s="796" t="str">
        <f>FHD_NOTE_P_77</f>
        <v/>
      </c>
      <c r="AH123" s="539">
        <v>0</v>
      </c>
    </row>
    <row r="124" spans="1:34" ht="0.75" hidden="1" customHeight="1">
      <c r="A124" s="1276"/>
      <c r="E124" s="585" t="str">
        <f>E123&amp;".0"</f>
        <v>.0</v>
      </c>
      <c r="F124" s="935"/>
      <c r="G124" s="859"/>
      <c r="H124" s="414"/>
      <c r="I124" s="414"/>
      <c r="J124" s="414"/>
      <c r="K124" s="414"/>
      <c r="L124" s="934"/>
      <c r="AH124" s="578">
        <v>0</v>
      </c>
    </row>
    <row r="125" spans="1:34" ht="15" hidden="1" customHeight="1">
      <c r="A125" s="1276"/>
      <c r="E125" s="421"/>
      <c r="F125" s="422" t="s">
        <v>610</v>
      </c>
      <c r="G125" s="762"/>
      <c r="H125" s="906"/>
      <c r="I125" s="906"/>
      <c r="J125" s="395"/>
      <c r="K125" s="395"/>
      <c r="L125" s="821" t="s">
        <v>611</v>
      </c>
      <c r="AH125" s="539">
        <v>0</v>
      </c>
    </row>
    <row r="126" spans="1:34" ht="22.5" hidden="1" customHeight="1">
      <c r="A126" s="1276" t="s">
        <v>612</v>
      </c>
      <c r="E126" s="911" t="str">
        <f>FHD_NUM_P_78</f>
        <v/>
      </c>
      <c r="F126" s="620" t="str">
        <f>FHD_P_78</f>
        <v/>
      </c>
      <c r="G126" s="543" t="s">
        <v>568</v>
      </c>
      <c r="H126" s="412"/>
      <c r="I126" s="412"/>
      <c r="J126" s="412"/>
      <c r="K126" s="412"/>
      <c r="L126" s="796" t="str">
        <f>FHD_NOTE_P_78</f>
        <v/>
      </c>
      <c r="AH126" s="539">
        <v>0</v>
      </c>
    </row>
    <row r="127" spans="1:34" ht="0.75" hidden="1" customHeight="1">
      <c r="A127" s="1276"/>
      <c r="E127" s="585" t="str">
        <f>E126&amp;".0"</f>
        <v>.0</v>
      </c>
      <c r="F127" s="935"/>
      <c r="G127" s="859"/>
      <c r="H127" s="414"/>
      <c r="I127" s="414"/>
      <c r="J127" s="414"/>
      <c r="K127" s="414"/>
      <c r="L127" s="934"/>
      <c r="AH127" s="578">
        <v>0</v>
      </c>
    </row>
    <row r="128" spans="1:34" ht="15" hidden="1" customHeight="1">
      <c r="A128" s="1276"/>
      <c r="E128" s="410"/>
      <c r="F128" s="44" t="s">
        <v>601</v>
      </c>
      <c r="G128" s="762"/>
      <c r="H128" s="906"/>
      <c r="I128" s="906"/>
      <c r="J128" s="395"/>
      <c r="K128" s="395"/>
      <c r="L128" s="821" t="s">
        <v>613</v>
      </c>
      <c r="AH128" s="539">
        <v>0</v>
      </c>
    </row>
    <row r="129" spans="1:34" ht="22.5" hidden="1" customHeight="1">
      <c r="A129" s="1276"/>
      <c r="E129" s="911" t="str">
        <f>FHD_NUM_P_79</f>
        <v/>
      </c>
      <c r="F129" s="620" t="str">
        <f>FHD_P_79</f>
        <v/>
      </c>
      <c r="G129" s="584" t="s">
        <v>570</v>
      </c>
      <c r="H129" s="412"/>
      <c r="I129" s="412"/>
      <c r="J129" s="412"/>
      <c r="K129" s="412"/>
      <c r="L129" s="796" t="str">
        <f>FHD_NOTE_P_79</f>
        <v/>
      </c>
      <c r="AH129" s="539">
        <v>0</v>
      </c>
    </row>
    <row r="130" spans="1:34" ht="0.75" hidden="1" customHeight="1">
      <c r="A130" s="1276"/>
      <c r="E130" s="585" t="str">
        <f>E129&amp;".0"</f>
        <v>.0</v>
      </c>
      <c r="F130" s="936"/>
      <c r="G130" s="859"/>
      <c r="H130" s="414"/>
      <c r="I130" s="414"/>
      <c r="J130" s="414"/>
      <c r="K130" s="414"/>
      <c r="L130" s="934"/>
      <c r="AH130" s="578">
        <v>0</v>
      </c>
    </row>
    <row r="131" spans="1:34" ht="15" hidden="1" customHeight="1">
      <c r="A131" s="1276"/>
      <c r="E131" s="410"/>
      <c r="F131" s="44" t="s">
        <v>601</v>
      </c>
      <c r="G131" s="762"/>
      <c r="H131" s="906"/>
      <c r="I131" s="906"/>
      <c r="J131" s="395"/>
      <c r="K131" s="395"/>
      <c r="L131" s="821" t="s">
        <v>614</v>
      </c>
      <c r="AH131" s="539">
        <v>0</v>
      </c>
    </row>
    <row r="132" spans="1:34" ht="22.5" hidden="1" customHeight="1">
      <c r="A132" s="1276"/>
      <c r="E132" s="911" t="str">
        <f>FHD_NUM_P_80</f>
        <v/>
      </c>
      <c r="F132" s="620" t="str">
        <f>FHD_P_80</f>
        <v/>
      </c>
      <c r="G132" s="584" t="s">
        <v>615</v>
      </c>
      <c r="H132" s="407"/>
      <c r="I132" s="407"/>
      <c r="J132" s="407"/>
      <c r="K132" s="407"/>
      <c r="L132" s="796" t="str">
        <f>FHD_NOTE_P_80</f>
        <v/>
      </c>
      <c r="AH132" s="539">
        <v>0</v>
      </c>
    </row>
    <row r="133" spans="1:34" ht="18.75" hidden="1" customHeight="1">
      <c r="A133" s="1276"/>
      <c r="E133" s="911" t="str">
        <f>FHD_NUM_P_81</f>
        <v/>
      </c>
      <c r="F133" s="620" t="str">
        <f>FHD_P_81</f>
        <v/>
      </c>
      <c r="G133" s="584" t="s">
        <v>616</v>
      </c>
      <c r="H133" s="407"/>
      <c r="I133" s="407"/>
      <c r="J133" s="407"/>
      <c r="K133" s="407"/>
      <c r="L133" s="796" t="str">
        <f>FHD_NOTE_P_81</f>
        <v/>
      </c>
      <c r="AH133" s="539">
        <v>0</v>
      </c>
    </row>
    <row r="134" spans="1:34" ht="18.75" hidden="1" customHeight="1">
      <c r="A134" s="1276"/>
      <c r="C134" s="578" t="s">
        <v>603</v>
      </c>
      <c r="E134" s="911" t="str">
        <f>FHD_NUM_P_82</f>
        <v/>
      </c>
      <c r="F134" s="620" t="str">
        <f>FHD_P_82</f>
        <v/>
      </c>
      <c r="G134" s="584" t="s">
        <v>314</v>
      </c>
      <c r="H134" s="308"/>
      <c r="I134" s="308"/>
      <c r="J134" s="308"/>
      <c r="K134" s="308"/>
      <c r="L134" s="796" t="str">
        <f>FHD_NOTE_P_82</f>
        <v/>
      </c>
      <c r="AH134" s="539">
        <v>0</v>
      </c>
    </row>
    <row r="135" spans="1:34" ht="18.75" hidden="1" customHeight="1">
      <c r="A135" s="1276"/>
      <c r="C135" s="578" t="s">
        <v>603</v>
      </c>
      <c r="E135" s="911" t="str">
        <f>FHD_NUM_P_83</f>
        <v/>
      </c>
      <c r="F135" s="889" t="str">
        <f>FHD_P_83</f>
        <v/>
      </c>
      <c r="G135" s="584" t="s">
        <v>314</v>
      </c>
      <c r="H135" s="308"/>
      <c r="I135" s="308"/>
      <c r="J135" s="308"/>
      <c r="K135" s="308"/>
      <c r="L135" s="796" t="str">
        <f>FHD_NOTE_P_83</f>
        <v/>
      </c>
      <c r="AH135" s="539">
        <v>0</v>
      </c>
    </row>
    <row r="136" spans="1:34" ht="18.75" hidden="1" customHeight="1">
      <c r="A136" s="1276"/>
      <c r="C136" s="578" t="s">
        <v>603</v>
      </c>
      <c r="E136" s="911" t="str">
        <f>FHD_NUM_P_84</f>
        <v/>
      </c>
      <c r="F136" s="889" t="str">
        <f>FHD_P_84</f>
        <v/>
      </c>
      <c r="G136" s="584" t="s">
        <v>314</v>
      </c>
      <c r="H136" s="308"/>
      <c r="I136" s="308"/>
      <c r="J136" s="308"/>
      <c r="K136" s="308"/>
      <c r="L136" s="796" t="str">
        <f>FHD_NOTE_P_84</f>
        <v/>
      </c>
      <c r="AH136" s="539">
        <v>0</v>
      </c>
    </row>
    <row r="137" spans="1:34" ht="11.45" customHeight="1">
      <c r="AH137" s="539">
        <v>11</v>
      </c>
    </row>
    <row r="138" spans="1:34" ht="13.5" customHeight="1">
      <c r="AH138" s="539">
        <v>13</v>
      </c>
    </row>
    <row r="139" spans="1:34" ht="11.45" customHeight="1">
      <c r="AH139" s="682">
        <v>11</v>
      </c>
    </row>
    <row r="140" spans="1:34" ht="11.45" customHeight="1">
      <c r="AH140" s="682">
        <v>11</v>
      </c>
    </row>
    <row r="141" spans="1:34" ht="11.45" customHeight="1">
      <c r="AH141" s="682">
        <v>11</v>
      </c>
    </row>
    <row r="142" spans="1:34" ht="11.45" customHeight="1">
      <c r="H142" s="535" t="str">
        <f>IF(H30-H31&lt;&gt;H78,"WARNING","")</f>
        <v/>
      </c>
      <c r="I142" s="535" t="str">
        <f>IF(I30-I31&lt;&gt;I78,"WARNING","")</f>
        <v>WARNING</v>
      </c>
      <c r="J142" s="2" t="str">
        <f>IF(J30-J31&lt;&gt;J78,"WARNING","")</f>
        <v>WARNING</v>
      </c>
      <c r="K142" s="2" t="str">
        <f>IF(K30-K31&lt;&gt;K78,"WARNING","")</f>
        <v>WARNING</v>
      </c>
      <c r="AH142" s="682">
        <v>11</v>
      </c>
    </row>
    <row r="143" spans="1:34" ht="11.45" customHeight="1">
      <c r="AH143" s="682">
        <v>11</v>
      </c>
    </row>
    <row r="144" spans="1:34" ht="11.45" customHeight="1">
      <c r="AH144" s="682">
        <v>11</v>
      </c>
    </row>
    <row r="145" spans="34:34" ht="11.45" customHeight="1">
      <c r="AH145" s="682">
        <v>11</v>
      </c>
    </row>
    <row r="146" spans="34:34" ht="11.45" customHeight="1">
      <c r="AH146" s="682">
        <v>11</v>
      </c>
    </row>
    <row r="147" spans="34:34" ht="11.45" customHeight="1">
      <c r="AH147" s="682">
        <v>11</v>
      </c>
    </row>
    <row r="148" spans="34:34" ht="11.45" customHeight="1">
      <c r="AH148" s="682">
        <v>11</v>
      </c>
    </row>
    <row r="149" spans="34:34" ht="11.45" customHeight="1">
      <c r="AH149" s="682">
        <v>11</v>
      </c>
    </row>
    <row r="150" spans="34:34" ht="11.45" customHeight="1">
      <c r="AH150" s="682">
        <v>11</v>
      </c>
    </row>
    <row r="151" spans="34:34" ht="11.45" customHeight="1">
      <c r="AH151" s="682">
        <v>11</v>
      </c>
    </row>
    <row r="152" spans="34:34" ht="11.45" customHeight="1">
      <c r="AH152" s="682">
        <v>11</v>
      </c>
    </row>
    <row r="153" spans="34:34" ht="11.45" customHeight="1">
      <c r="AH153" s="682">
        <v>11</v>
      </c>
    </row>
    <row r="154" spans="34:34" ht="11.45" customHeight="1">
      <c r="AH154" s="682">
        <v>11</v>
      </c>
    </row>
    <row r="155" spans="34:34" ht="11.45" customHeight="1">
      <c r="AH155" s="682">
        <v>11</v>
      </c>
    </row>
    <row r="156" spans="34:34" ht="11.45" customHeight="1">
      <c r="AH156" s="682">
        <v>11</v>
      </c>
    </row>
    <row r="157" spans="34:34" ht="11.45" customHeight="1">
      <c r="AH157" s="682">
        <v>11</v>
      </c>
    </row>
    <row r="158" spans="34:34" ht="11.45" customHeight="1">
      <c r="AH158" s="682">
        <v>11</v>
      </c>
    </row>
    <row r="159" spans="34:34" ht="11.45" customHeight="1">
      <c r="AH159" s="682">
        <v>11</v>
      </c>
    </row>
    <row r="160" spans="34:34" ht="11.45" customHeight="1">
      <c r="AH160" s="682">
        <v>11</v>
      </c>
    </row>
    <row r="161" spans="34:34" ht="11.45" customHeight="1">
      <c r="AH161" s="682">
        <v>11</v>
      </c>
    </row>
    <row r="162" spans="34:34" ht="11.45" customHeight="1">
      <c r="AH162" s="682">
        <v>11</v>
      </c>
    </row>
    <row r="163" spans="34:34" ht="11.45" customHeight="1">
      <c r="AH163" s="682">
        <v>11</v>
      </c>
    </row>
    <row r="164" spans="34:34" ht="11.45" customHeight="1">
      <c r="AH164" s="682">
        <v>11</v>
      </c>
    </row>
    <row r="165" spans="34:34" ht="11.45" customHeight="1">
      <c r="AH165" s="682">
        <v>11</v>
      </c>
    </row>
    <row r="166" spans="34:34" ht="11.45" customHeight="1">
      <c r="AH166" s="682">
        <v>11</v>
      </c>
    </row>
    <row r="167" spans="34:34" ht="11.45" customHeight="1">
      <c r="AH167" s="682">
        <v>11</v>
      </c>
    </row>
    <row r="168" spans="34:34" ht="11.45" customHeight="1">
      <c r="AH168" s="682">
        <v>11</v>
      </c>
    </row>
    <row r="169" spans="34:34" ht="11.45" customHeight="1">
      <c r="AH169" s="682">
        <v>11</v>
      </c>
    </row>
    <row r="170" spans="34:34" ht="11.45" customHeight="1">
      <c r="AH170" s="682">
        <v>11</v>
      </c>
    </row>
    <row r="171" spans="34:34" ht="11.45" customHeight="1">
      <c r="AH171" s="682">
        <v>11</v>
      </c>
    </row>
    <row r="172" spans="34:34" ht="11.45" customHeight="1">
      <c r="AH172" s="682">
        <v>11</v>
      </c>
    </row>
    <row r="173" spans="34:34" ht="11.45" customHeight="1">
      <c r="AH173" s="682">
        <v>11</v>
      </c>
    </row>
    <row r="174" spans="34:34" ht="11.45" customHeight="1">
      <c r="AH174" s="682">
        <v>11</v>
      </c>
    </row>
    <row r="175" spans="34:34" ht="11.45" customHeight="1">
      <c r="AH175" s="682">
        <v>11</v>
      </c>
    </row>
    <row r="176" spans="34:34" ht="11.45" customHeight="1">
      <c r="AH176" s="682">
        <v>11</v>
      </c>
    </row>
    <row r="177" spans="34:34" ht="11.45" customHeight="1">
      <c r="AH177" s="682">
        <v>11</v>
      </c>
    </row>
    <row r="178" spans="34:34" ht="11.45" customHeight="1">
      <c r="AH178" s="682">
        <v>11</v>
      </c>
    </row>
    <row r="179" spans="34:34" ht="11.45" customHeight="1">
      <c r="AH179" s="682">
        <v>11</v>
      </c>
    </row>
    <row r="180" spans="34:34" ht="11.45" customHeight="1">
      <c r="AH180" s="682">
        <v>11</v>
      </c>
    </row>
    <row r="181" spans="34:34" ht="11.45" customHeight="1">
      <c r="AH181" s="682">
        <v>11</v>
      </c>
    </row>
    <row r="182" spans="34:34" ht="11.45" customHeight="1">
      <c r="AH182" s="682">
        <v>11</v>
      </c>
    </row>
    <row r="183" spans="34:34" ht="11.45" customHeight="1">
      <c r="AH183" s="682">
        <v>11</v>
      </c>
    </row>
    <row r="184" spans="34:34" ht="11.45" customHeight="1">
      <c r="AH184" s="682">
        <v>11</v>
      </c>
    </row>
    <row r="185" spans="34:34" ht="11.45" customHeight="1">
      <c r="AH185" s="682">
        <v>11</v>
      </c>
    </row>
    <row r="186" spans="34:34" ht="11.45" customHeight="1">
      <c r="AH186" s="682">
        <v>11</v>
      </c>
    </row>
    <row r="187" spans="34:34" ht="11.45" customHeight="1">
      <c r="AH187" s="682">
        <v>11</v>
      </c>
    </row>
    <row r="188" spans="34:34" ht="11.45" customHeight="1">
      <c r="AH188" s="682">
        <v>11</v>
      </c>
    </row>
    <row r="189" spans="34:34" ht="11.45" customHeight="1">
      <c r="AH189" s="682">
        <v>11</v>
      </c>
    </row>
    <row r="190" spans="34:34" ht="11.45" customHeight="1">
      <c r="AH190" s="682">
        <v>11</v>
      </c>
    </row>
    <row r="191" spans="34:34" ht="11.45" customHeight="1">
      <c r="AH191" s="682">
        <v>11</v>
      </c>
    </row>
    <row r="192" spans="34:34" ht="11.45" customHeight="1">
      <c r="AH192" s="682">
        <v>11</v>
      </c>
    </row>
    <row r="193" spans="34:34" ht="11.45" customHeight="1">
      <c r="AH193" s="682">
        <v>11</v>
      </c>
    </row>
    <row r="194" spans="34:34" ht="11.45" customHeight="1">
      <c r="AH194" s="682">
        <v>11</v>
      </c>
    </row>
    <row r="195" spans="34:34" ht="11.45" customHeight="1">
      <c r="AH195" s="682">
        <v>11</v>
      </c>
    </row>
    <row r="196" spans="34:34" ht="11.45" customHeight="1">
      <c r="AH196" s="682">
        <v>11</v>
      </c>
    </row>
    <row r="197" spans="34:34" ht="11.45" customHeight="1">
      <c r="AH197" s="682">
        <v>11</v>
      </c>
    </row>
    <row r="198" spans="34:34" ht="11.45" customHeight="1">
      <c r="AH198" s="682">
        <v>11</v>
      </c>
    </row>
    <row r="199" spans="34:34" ht="11.45" customHeight="1">
      <c r="AH199" s="682">
        <v>11</v>
      </c>
    </row>
    <row r="200" spans="34:34" ht="11.45" customHeight="1">
      <c r="AH200" s="682">
        <v>11</v>
      </c>
    </row>
    <row r="201" spans="34:34" ht="11.45" customHeight="1">
      <c r="AH201" s="682">
        <v>11</v>
      </c>
    </row>
    <row r="202" spans="34:34" ht="11.45" customHeight="1">
      <c r="AH202" s="682">
        <v>11</v>
      </c>
    </row>
    <row r="203" spans="34:34" ht="11.45" customHeight="1">
      <c r="AH203" s="682">
        <v>11</v>
      </c>
    </row>
    <row r="204" spans="34:34" ht="11.45" customHeight="1">
      <c r="AH204" s="682">
        <v>11</v>
      </c>
    </row>
    <row r="205" spans="34:34" ht="11.45" customHeight="1">
      <c r="AH205" s="682">
        <v>11</v>
      </c>
    </row>
    <row r="206" spans="34:34" ht="11.45" customHeight="1">
      <c r="AH206" s="682">
        <v>11</v>
      </c>
    </row>
    <row r="207" spans="34:34" ht="11.45" customHeight="1">
      <c r="AH207" s="682">
        <v>11</v>
      </c>
    </row>
    <row r="208" spans="34:34" ht="11.45" customHeight="1">
      <c r="AH208" s="682">
        <v>11</v>
      </c>
    </row>
    <row r="209" spans="34:34" ht="11.45" customHeight="1">
      <c r="AH209" s="682">
        <v>11</v>
      </c>
    </row>
    <row r="210" spans="34:34" ht="11.45" customHeight="1">
      <c r="AH210" s="682">
        <v>11</v>
      </c>
    </row>
    <row r="211" spans="34:34" ht="11.45" customHeight="1">
      <c r="AH211" s="682">
        <v>11</v>
      </c>
    </row>
    <row r="212" spans="34:34" ht="11.45" customHeight="1">
      <c r="AH212" s="682">
        <v>11</v>
      </c>
    </row>
    <row r="213" spans="34:34" ht="11.45" customHeight="1">
      <c r="AH213" s="682">
        <v>11</v>
      </c>
    </row>
    <row r="214" spans="34:34" ht="11.45" customHeight="1">
      <c r="AH214" s="682">
        <v>11</v>
      </c>
    </row>
    <row r="215" spans="34:34" ht="11.45" customHeight="1">
      <c r="AH215" s="682">
        <v>11</v>
      </c>
    </row>
    <row r="216" spans="34:34" ht="11.45" customHeight="1">
      <c r="AH216" s="682">
        <v>11</v>
      </c>
    </row>
    <row r="217" spans="34:34" ht="11.45" customHeight="1">
      <c r="AH217" s="682">
        <v>11</v>
      </c>
    </row>
    <row r="218" spans="34:34" ht="11.45" customHeight="1">
      <c r="AH218" s="682">
        <v>11</v>
      </c>
    </row>
    <row r="219" spans="34:34" ht="11.45" customHeight="1">
      <c r="AH219" s="682">
        <v>11</v>
      </c>
    </row>
    <row r="220" spans="34:34" ht="11.45" customHeight="1">
      <c r="AH220" s="682">
        <v>11</v>
      </c>
    </row>
    <row r="221" spans="34:34" ht="11.45" customHeight="1">
      <c r="AH221" s="682">
        <v>11</v>
      </c>
    </row>
    <row r="222" spans="34:34" ht="11.45" customHeight="1">
      <c r="AH222" s="682">
        <v>11</v>
      </c>
    </row>
    <row r="223" spans="34:34" ht="11.45" customHeight="1">
      <c r="AH223" s="682">
        <v>11</v>
      </c>
    </row>
    <row r="224" spans="34:34" ht="11.45" customHeight="1">
      <c r="AH224" s="682">
        <v>11</v>
      </c>
    </row>
    <row r="225" spans="34:34" ht="11.45" customHeight="1">
      <c r="AH225" s="682">
        <v>11</v>
      </c>
    </row>
    <row r="226" spans="34:34" ht="11.45" customHeight="1">
      <c r="AH226" s="682">
        <v>11</v>
      </c>
    </row>
    <row r="227" spans="34:34" ht="11.45" customHeight="1">
      <c r="AH227" s="682">
        <v>11</v>
      </c>
    </row>
    <row r="228" spans="34:34" ht="11.45" customHeight="1">
      <c r="AH228" s="682">
        <v>11</v>
      </c>
    </row>
    <row r="229" spans="34:34" ht="11.45" customHeight="1">
      <c r="AH229" s="682">
        <v>11</v>
      </c>
    </row>
    <row r="230" spans="34:34" ht="11.45" customHeight="1">
      <c r="AH230" s="682">
        <v>11</v>
      </c>
    </row>
    <row r="231" spans="34:34" ht="11.45" customHeight="1">
      <c r="AH231" s="682">
        <v>11</v>
      </c>
    </row>
    <row r="232" spans="34:34" ht="11.45" customHeight="1">
      <c r="AH232" s="682">
        <v>11</v>
      </c>
    </row>
    <row r="233" spans="34:34" ht="11.45" customHeight="1">
      <c r="AH233" s="682">
        <v>11</v>
      </c>
    </row>
    <row r="234" spans="34:34" ht="11.45" customHeight="1">
      <c r="AH234" s="682">
        <v>11</v>
      </c>
    </row>
    <row r="235" spans="34:34" ht="11.45" customHeight="1">
      <c r="AH235" s="682">
        <v>11</v>
      </c>
    </row>
    <row r="236" spans="34:34" ht="11.45" customHeight="1">
      <c r="AH236" s="682">
        <v>11</v>
      </c>
    </row>
    <row r="237" spans="34:34" ht="11.45" customHeight="1">
      <c r="AH237" s="682">
        <v>11</v>
      </c>
    </row>
    <row r="238" spans="34:34" ht="11.45" customHeight="1">
      <c r="AH238" s="682">
        <v>11</v>
      </c>
    </row>
    <row r="239" spans="34:34" ht="11.45" customHeight="1">
      <c r="AH239" s="682">
        <v>11</v>
      </c>
    </row>
    <row r="240" spans="34:34" ht="11.45" customHeight="1">
      <c r="AH240" s="682">
        <v>11</v>
      </c>
    </row>
    <row r="241" spans="34:34" ht="11.45" customHeight="1">
      <c r="AH241" s="682">
        <v>11</v>
      </c>
    </row>
    <row r="242" spans="34:34" ht="11.45" customHeight="1">
      <c r="AH242" s="682">
        <v>11</v>
      </c>
    </row>
    <row r="243" spans="34:34" ht="11.45" customHeight="1">
      <c r="AH243" s="682">
        <v>11</v>
      </c>
    </row>
    <row r="244" spans="34:34" ht="11.45" customHeight="1">
      <c r="AH244" s="682">
        <v>11</v>
      </c>
    </row>
    <row r="245" spans="34:34" ht="11.45" customHeight="1">
      <c r="AH245" s="682">
        <v>11</v>
      </c>
    </row>
    <row r="246" spans="34:34" ht="11.45" customHeight="1">
      <c r="AH246" s="682">
        <v>11</v>
      </c>
    </row>
    <row r="247" spans="34:34" ht="11.45" customHeight="1">
      <c r="AH247" s="682">
        <v>11</v>
      </c>
    </row>
    <row r="248" spans="34:34" ht="11.45" customHeight="1">
      <c r="AH248" s="682">
        <v>11</v>
      </c>
    </row>
    <row r="249" spans="34:34" ht="11.45" customHeight="1">
      <c r="AH249" s="682">
        <v>11</v>
      </c>
    </row>
    <row r="250" spans="34:34" ht="11.45" customHeight="1">
      <c r="AH250" s="682">
        <v>11</v>
      </c>
    </row>
    <row r="251" spans="34:34" ht="11.45" customHeight="1">
      <c r="AH251" s="682">
        <v>11</v>
      </c>
    </row>
    <row r="252" spans="34:34" ht="11.45" customHeight="1">
      <c r="AH252" s="682">
        <v>11</v>
      </c>
    </row>
    <row r="253" spans="34:34" ht="11.45" customHeight="1">
      <c r="AH253" s="682">
        <v>11</v>
      </c>
    </row>
    <row r="254" spans="34:34" ht="11.45" customHeight="1">
      <c r="AH254" s="682">
        <v>11</v>
      </c>
    </row>
    <row r="255" spans="34:34" ht="11.45" customHeight="1">
      <c r="AH255" s="682">
        <v>11</v>
      </c>
    </row>
    <row r="256" spans="34:34" ht="11.45" customHeight="1">
      <c r="AH256" s="682">
        <v>11</v>
      </c>
    </row>
    <row r="257" spans="34:34" ht="11.45" customHeight="1">
      <c r="AH257" s="682">
        <v>11</v>
      </c>
    </row>
    <row r="258" spans="34:34" ht="11.45" customHeight="1">
      <c r="AH258" s="682">
        <v>11</v>
      </c>
    </row>
    <row r="259" spans="34:34" ht="11.45" customHeight="1">
      <c r="AH259" s="682">
        <v>11</v>
      </c>
    </row>
    <row r="260" spans="34:34" ht="11.45" customHeight="1">
      <c r="AH260" s="682">
        <v>11</v>
      </c>
    </row>
    <row r="261" spans="34:34" ht="11.45" customHeight="1">
      <c r="AH261" s="682">
        <v>11</v>
      </c>
    </row>
    <row r="262" spans="34:34" ht="11.45" customHeight="1">
      <c r="AH262" s="682">
        <v>11</v>
      </c>
    </row>
    <row r="263" spans="34:34" ht="11.45" customHeight="1">
      <c r="AH263" s="682">
        <v>11</v>
      </c>
    </row>
    <row r="264" spans="34:34" ht="11.45" customHeight="1">
      <c r="AH264" s="682">
        <v>11</v>
      </c>
    </row>
    <row r="265" spans="34:34" ht="11.45" customHeight="1">
      <c r="AH265" s="682">
        <v>11</v>
      </c>
    </row>
    <row r="266" spans="34:34" ht="11.45" customHeight="1">
      <c r="AH266" s="682">
        <v>11</v>
      </c>
    </row>
    <row r="267" spans="34:34" ht="11.45" customHeight="1">
      <c r="AH267" s="682">
        <v>11</v>
      </c>
    </row>
    <row r="268" spans="34:34" ht="11.45" customHeight="1">
      <c r="AH268" s="682">
        <v>11</v>
      </c>
    </row>
    <row r="269" spans="34:34" ht="11.45" customHeight="1">
      <c r="AH269" s="682">
        <v>11</v>
      </c>
    </row>
    <row r="270" spans="34:34" ht="11.45" customHeight="1">
      <c r="AH270" s="682">
        <v>11</v>
      </c>
    </row>
    <row r="271" spans="34:34" ht="11.45" customHeight="1">
      <c r="AH271" s="682">
        <v>11</v>
      </c>
    </row>
    <row r="272" spans="34:34" ht="11.45" customHeight="1">
      <c r="AH272" s="682">
        <v>11</v>
      </c>
    </row>
    <row r="273" spans="34:34" ht="11.45" customHeight="1">
      <c r="AH273" s="682">
        <v>11</v>
      </c>
    </row>
    <row r="274" spans="34:34" ht="11.45" customHeight="1">
      <c r="AH274" s="682">
        <v>11</v>
      </c>
    </row>
    <row r="275" spans="34:34" ht="11.45" customHeight="1">
      <c r="AH275" s="682">
        <v>11</v>
      </c>
    </row>
    <row r="276" spans="34:34" ht="11.45" customHeight="1">
      <c r="AH276" s="682">
        <v>11</v>
      </c>
    </row>
    <row r="277" spans="34:34" ht="11.45" customHeight="1">
      <c r="AH277" s="682">
        <v>11</v>
      </c>
    </row>
    <row r="278" spans="34:34" ht="11.45" customHeight="1">
      <c r="AH278" s="682">
        <v>11</v>
      </c>
    </row>
    <row r="279" spans="34:34" ht="11.45" customHeight="1">
      <c r="AH279" s="682">
        <v>11</v>
      </c>
    </row>
    <row r="280" spans="34:34" ht="11.45" customHeight="1">
      <c r="AH280" s="682">
        <v>11</v>
      </c>
    </row>
    <row r="281" spans="34:34" ht="11.45" customHeight="1">
      <c r="AH281" s="682">
        <v>11</v>
      </c>
    </row>
    <row r="282" spans="34:34" ht="11.45" customHeight="1">
      <c r="AH282" s="682">
        <v>11</v>
      </c>
    </row>
    <row r="283" spans="34:34" ht="11.45" customHeight="1">
      <c r="AH283" s="682">
        <v>11</v>
      </c>
    </row>
    <row r="284" spans="34:34" ht="11.45" customHeight="1">
      <c r="AH284" s="682">
        <v>11</v>
      </c>
    </row>
    <row r="285" spans="34:34" ht="11.45" customHeight="1">
      <c r="AH285" s="682">
        <v>11</v>
      </c>
    </row>
    <row r="286" spans="34:34" ht="11.45" customHeight="1">
      <c r="AH286" s="682">
        <v>11</v>
      </c>
    </row>
    <row r="287" spans="34:34" ht="11.45" customHeight="1">
      <c r="AH287" s="682">
        <v>11</v>
      </c>
    </row>
    <row r="288" spans="34:34" ht="11.45" customHeight="1">
      <c r="AH288" s="682">
        <v>11</v>
      </c>
    </row>
    <row r="289" spans="34:34" ht="11.45" customHeight="1">
      <c r="AH289" s="682">
        <v>11</v>
      </c>
    </row>
    <row r="290" spans="34:34" ht="11.45" customHeight="1">
      <c r="AH290" s="682">
        <v>11</v>
      </c>
    </row>
    <row r="291" spans="34:34" ht="11.45" customHeight="1">
      <c r="AH291" s="682">
        <v>11</v>
      </c>
    </row>
    <row r="292" spans="34:34" ht="11.45" customHeight="1">
      <c r="AH292" s="682">
        <v>11</v>
      </c>
    </row>
    <row r="293" spans="34:34" ht="11.45" customHeight="1">
      <c r="AH293" s="682">
        <v>11</v>
      </c>
    </row>
    <row r="294" spans="34:34" ht="11.45" customHeight="1">
      <c r="AH294" s="682">
        <v>11</v>
      </c>
    </row>
    <row r="295" spans="34:34" ht="11.45" customHeight="1">
      <c r="AH295" s="539">
        <v>11</v>
      </c>
    </row>
    <row r="296" spans="34:34" ht="11.45" customHeight="1">
      <c r="AH296" s="539">
        <v>11</v>
      </c>
    </row>
    <row r="297" spans="34:34" ht="11.45" customHeight="1">
      <c r="AH297" s="539">
        <v>11</v>
      </c>
    </row>
    <row r="298" spans="34:34" ht="11.45" customHeight="1">
      <c r="AH298" s="539">
        <v>11</v>
      </c>
    </row>
    <row r="299" spans="34:34" ht="11.45" customHeight="1">
      <c r="AH299" s="539">
        <v>11</v>
      </c>
    </row>
    <row r="300" spans="34:34" ht="11.45" customHeight="1">
      <c r="AH300" s="539">
        <v>11</v>
      </c>
    </row>
    <row r="301" spans="34:34" ht="11.45" customHeight="1">
      <c r="AH301" s="539">
        <v>11</v>
      </c>
    </row>
    <row r="302" spans="34:34" ht="11.45" customHeight="1">
      <c r="AH302" s="539">
        <v>11</v>
      </c>
    </row>
    <row r="303" spans="34:34" ht="11.45" customHeight="1">
      <c r="AH303" s="539">
        <v>11</v>
      </c>
    </row>
    <row r="304" spans="34:34" ht="11.45" customHeight="1">
      <c r="AH304" s="539">
        <v>11</v>
      </c>
    </row>
    <row r="305" spans="1:34" ht="11.45" customHeight="1">
      <c r="AH305" s="539">
        <v>11</v>
      </c>
    </row>
    <row r="306" spans="1:34" ht="11.45" customHeight="1">
      <c r="AH306" s="539">
        <v>11</v>
      </c>
    </row>
    <row r="307" spans="1:34" ht="11.45" customHeight="1">
      <c r="AH307" s="539">
        <v>11</v>
      </c>
    </row>
    <row r="308" spans="1:34" ht="11.45" customHeight="1">
      <c r="AH308" s="539">
        <v>11</v>
      </c>
    </row>
    <row r="309" spans="1:34" ht="11.25" hidden="1" customHeight="1">
      <c r="A309" s="424" t="s">
        <v>81</v>
      </c>
      <c r="B309" s="556">
        <v>0</v>
      </c>
      <c r="C309" s="578">
        <v>0</v>
      </c>
      <c r="D309" s="539">
        <v>3</v>
      </c>
      <c r="E309" s="539">
        <v>7</v>
      </c>
      <c r="F309" s="539">
        <v>54</v>
      </c>
      <c r="G309" s="539">
        <v>10</v>
      </c>
      <c r="H309" s="539">
        <v>0</v>
      </c>
      <c r="I309" s="539">
        <v>40</v>
      </c>
      <c r="J309" s="3">
        <v>0</v>
      </c>
      <c r="K309" s="3">
        <v>0</v>
      </c>
      <c r="L309" s="539">
        <v>102</v>
      </c>
      <c r="M309" s="556">
        <v>9</v>
      </c>
      <c r="N309" s="578">
        <v>5</v>
      </c>
      <c r="O309" s="578">
        <v>3</v>
      </c>
      <c r="P309" s="556">
        <v>3</v>
      </c>
      <c r="Q309" s="556">
        <v>3</v>
      </c>
      <c r="R309" s="556">
        <v>3</v>
      </c>
      <c r="S309" s="556">
        <v>3</v>
      </c>
      <c r="T309" s="578">
        <v>10</v>
      </c>
      <c r="U309" s="556">
        <v>34</v>
      </c>
      <c r="V309" s="556">
        <v>9</v>
      </c>
      <c r="W309" s="937">
        <v>8</v>
      </c>
      <c r="X309" s="556">
        <v>8</v>
      </c>
      <c r="Y309" s="556">
        <v>8</v>
      </c>
      <c r="Z309" s="556">
        <v>8</v>
      </c>
      <c r="AA309" s="556">
        <v>8</v>
      </c>
      <c r="AB309" s="556">
        <v>8</v>
      </c>
      <c r="AC309" s="537">
        <v>8</v>
      </c>
      <c r="AD309" s="537">
        <v>8</v>
      </c>
      <c r="AE309" s="537">
        <v>8</v>
      </c>
      <c r="AF309" s="537">
        <v>8</v>
      </c>
      <c r="AG309" s="537">
        <v>8</v>
      </c>
      <c r="AH309" s="539">
        <v>11</v>
      </c>
    </row>
  </sheetData>
  <sheetProtection formatColumns="0" formatRows="0" insertRows="0" deleteColumns="0" deleteRows="0" sort="0" autoFilter="0"/>
  <mergeCells count="18">
    <mergeCell ref="B2:B7"/>
    <mergeCell ref="L25:L29"/>
    <mergeCell ref="F25:G25"/>
    <mergeCell ref="F26:G26"/>
    <mergeCell ref="F27:G27"/>
    <mergeCell ref="E28:G28"/>
    <mergeCell ref="A126:A136"/>
    <mergeCell ref="E21:I21"/>
    <mergeCell ref="E22:I22"/>
    <mergeCell ref="A33:A40"/>
    <mergeCell ref="B34:B39"/>
    <mergeCell ref="A41:A43"/>
    <mergeCell ref="A67:A68"/>
    <mergeCell ref="A88:A96"/>
    <mergeCell ref="A97:A101"/>
    <mergeCell ref="A102:A104"/>
    <mergeCell ref="A105:A117"/>
    <mergeCell ref="A121:A125"/>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70 J70 I70 H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7:K100 H133:K133 H30:K30 H32:K33 H35:K38 H40:K65 H88:K92 H17:K17 H9:K13 H15:K15 H102:K125 H80:K80 H94:K95 H4:K6 H71:H76 I71:I76 J71:J76 K71:K7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9">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4:K136 H87:K87">
      <formula1>900</formula1>
    </dataValidation>
    <dataValidation type="decimal" allowBlank="1" showErrorMessage="1" errorTitle="Ошибка" error="Допускается ввод только действительных чисел!" sqref="H78:K79">
      <formula1>-9.99999999999999E+23</formula1>
      <formula2>9.99999999999999E+23</formula2>
    </dataValidation>
    <dataValidation type="decimal" allowBlank="1" showErrorMessage="1" errorTitle="Ошибка" error="Допускается ввод только действительных чисел!" sqref="H129:K129 H126:K126 H132:K132 H81:K86">
      <formula1>-9.99999999999999E+37</formula1>
      <formula2>9.99999999999999E+37</formula2>
    </dataValidation>
    <dataValidation type="decimal" allowBlank="1" showErrorMessage="1" errorTitle="Ошибка" error="Введите значение от 0 до 100%" sqref="H96:K96 H101:K101">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hyperlinks>
    <hyperlink ref="I87" r:id="rId1"/>
    <hyperlink ref="J87" r:id="rId2"/>
    <hyperlink ref="K87" r:id="rId3"/>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1030" hidden="1" customWidth="1"/>
    <col min="2" max="2" width="17" style="1030" hidden="1" customWidth="1"/>
    <col min="3" max="3" width="3" style="1030" customWidth="1"/>
    <col min="4" max="4" width="1.85546875" style="1030" hidden="1" customWidth="1"/>
    <col min="5" max="6" width="7" style="1030" customWidth="1"/>
    <col min="7" max="7" width="29" style="1030" customWidth="1"/>
    <col min="8" max="8" width="3.7109375" style="1030" customWidth="1"/>
    <col min="9" max="9" width="5" style="1030" customWidth="1"/>
    <col min="10" max="11" width="24" style="1030" customWidth="1"/>
    <col min="12" max="12" width="3" style="1030" customWidth="1"/>
    <col min="13" max="13" width="6" style="1030" customWidth="1"/>
    <col min="14" max="14" width="25" style="1030" customWidth="1"/>
    <col min="15" max="18" width="18" style="1030" customWidth="1"/>
    <col min="19" max="19" width="93" style="1030" customWidth="1"/>
    <col min="20" max="21" width="10" style="1030" customWidth="1"/>
    <col min="22" max="22" width="11" style="1030" customWidth="1"/>
    <col min="23" max="27" width="10" style="1030" customWidth="1"/>
    <col min="28" max="83" width="8" style="1030" customWidth="1"/>
    <col min="84" max="84" width="9.140625" style="1030" hidden="1"/>
  </cols>
  <sheetData>
    <row r="1" spans="1:84" ht="22.5" hidden="1" customHeight="1">
      <c r="CF1" s="539" t="s">
        <v>14</v>
      </c>
    </row>
    <row r="2" spans="1:84" ht="11.25" hidden="1" customHeight="1">
      <c r="CF2" s="539">
        <v>0</v>
      </c>
    </row>
    <row r="3" spans="1:84" ht="11.25" hidden="1" customHeight="1">
      <c r="CF3" s="539">
        <v>0</v>
      </c>
    </row>
    <row r="4" spans="1:84" ht="3" customHeight="1">
      <c r="CF4" s="539">
        <v>3</v>
      </c>
    </row>
    <row r="5" spans="1:84" ht="29.25" customHeight="1">
      <c r="D5" s="896"/>
      <c r="E5" s="11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174"/>
      <c r="G5" s="1174"/>
      <c r="H5" s="1174"/>
      <c r="I5" s="1174"/>
      <c r="J5" s="1174"/>
      <c r="K5" s="1174"/>
      <c r="CF5" s="539">
        <v>28</v>
      </c>
    </row>
    <row r="6" spans="1:84" ht="16.899999999999999" customHeight="1">
      <c r="D6" s="938"/>
      <c r="E6" s="1148" t="str">
        <f>IF(org=0,"Не определено",org)</f>
        <v>АО "НИЖЕГОРОДСКИЙ ВОДОКАНАЛ"</v>
      </c>
      <c r="F6" s="1148"/>
      <c r="G6" s="1148"/>
      <c r="H6" s="1148"/>
      <c r="I6" s="1148"/>
      <c r="J6" s="1148"/>
      <c r="K6" s="1148"/>
      <c r="CF6" s="539">
        <v>16</v>
      </c>
    </row>
    <row r="7" spans="1:84" ht="11.45" customHeight="1">
      <c r="R7" s="630"/>
      <c r="CF7" s="539">
        <v>11</v>
      </c>
    </row>
    <row r="8" spans="1:84" ht="4.1500000000000004" customHeight="1">
      <c r="R8" s="939"/>
      <c r="CF8" s="682">
        <v>4</v>
      </c>
    </row>
    <row r="9" spans="1:84" ht="19.899999999999999" customHeight="1">
      <c r="D9" s="796"/>
      <c r="E9" s="1051" t="s">
        <v>308</v>
      </c>
      <c r="F9" s="1056"/>
      <c r="G9" s="1056"/>
      <c r="H9" s="1056"/>
      <c r="I9" s="1056"/>
      <c r="J9" s="1056"/>
      <c r="K9" s="1056"/>
      <c r="L9" s="1056"/>
      <c r="M9" s="1056"/>
      <c r="N9" s="1056"/>
      <c r="O9" s="1056"/>
      <c r="P9" s="1056"/>
      <c r="Q9" s="1056"/>
      <c r="R9" s="1050"/>
      <c r="S9" s="1070" t="s">
        <v>309</v>
      </c>
      <c r="CF9" s="539">
        <v>19</v>
      </c>
    </row>
    <row r="10" spans="1:84" ht="48.2" customHeight="1">
      <c r="D10" s="585" t="s">
        <v>87</v>
      </c>
      <c r="E10" s="1070" t="s">
        <v>87</v>
      </c>
      <c r="F10" s="1070"/>
      <c r="G10" s="584" t="s">
        <v>310</v>
      </c>
      <c r="H10" s="1070" t="s">
        <v>87</v>
      </c>
      <c r="I10" s="1070"/>
      <c r="J10" s="584" t="s">
        <v>617</v>
      </c>
      <c r="K10" s="584" t="s">
        <v>618</v>
      </c>
      <c r="L10" s="1070" t="s">
        <v>87</v>
      </c>
      <c r="M10" s="1070"/>
      <c r="N10" s="584" t="s">
        <v>619</v>
      </c>
      <c r="O10" s="584" t="s">
        <v>620</v>
      </c>
      <c r="P10" s="584" t="s">
        <v>621</v>
      </c>
      <c r="Q10" s="584" t="s">
        <v>622</v>
      </c>
      <c r="R10" s="584" t="s">
        <v>623</v>
      </c>
      <c r="S10" s="1070"/>
      <c r="CF10" s="539">
        <v>46</v>
      </c>
    </row>
    <row r="11" spans="1:84" ht="15" hidden="1" customHeight="1">
      <c r="D11" s="359" t="s">
        <v>114</v>
      </c>
      <c r="F11" s="359" t="s">
        <v>102</v>
      </c>
      <c r="G11" s="359" t="s">
        <v>89</v>
      </c>
      <c r="I11" s="359" t="s">
        <v>90</v>
      </c>
      <c r="J11" s="359" t="s">
        <v>115</v>
      </c>
      <c r="K11" s="359" t="s">
        <v>91</v>
      </c>
      <c r="M11" s="359" t="s">
        <v>92</v>
      </c>
      <c r="N11" s="359" t="s">
        <v>116</v>
      </c>
      <c r="O11" s="359" t="s">
        <v>158</v>
      </c>
      <c r="P11" s="359" t="s">
        <v>159</v>
      </c>
      <c r="Q11" s="359" t="s">
        <v>160</v>
      </c>
      <c r="R11" s="359" t="s">
        <v>161</v>
      </c>
      <c r="S11" s="359" t="s">
        <v>162</v>
      </c>
      <c r="CF11" s="578">
        <v>0</v>
      </c>
    </row>
    <row r="12" spans="1:84" ht="1.1499999999999999" customHeight="1">
      <c r="CF12" s="539">
        <v>1</v>
      </c>
    </row>
    <row r="13" spans="1:84" ht="1.1499999999999999" customHeight="1">
      <c r="D13" s="359" t="s">
        <v>384</v>
      </c>
      <c r="CF13" s="682">
        <v>1</v>
      </c>
    </row>
    <row r="14" spans="1:84" ht="15" hidden="1" customHeight="1">
      <c r="A14" s="720" t="s">
        <v>122</v>
      </c>
      <c r="D14" s="1282" t="s">
        <v>114</v>
      </c>
      <c r="E14" s="1287" t="s">
        <v>110</v>
      </c>
      <c r="F14" s="1288"/>
      <c r="G14" s="1289"/>
      <c r="H14" s="1285" t="str">
        <f>IF(A14="","",INDEX(DIFFERENTIATION_UNMERGE_VD,MATCH(A14,DIFFERENTIATION_ID_DIFF,0)))</f>
        <v>Водоотведение</v>
      </c>
      <c r="I14" s="1285"/>
      <c r="J14" s="1285"/>
      <c r="K14" s="1285"/>
      <c r="L14" s="1285"/>
      <c r="M14" s="1285"/>
      <c r="N14" s="1285"/>
      <c r="O14" s="1285"/>
      <c r="P14" s="1285"/>
      <c r="Q14" s="1285"/>
      <c r="R14" s="1285"/>
      <c r="S14" s="788"/>
      <c r="T14" s="261"/>
      <c r="AC14" s="1038"/>
      <c r="AE14" t="s">
        <v>22</v>
      </c>
      <c r="AG14" s="789" t="s">
        <v>624</v>
      </c>
      <c r="AH14" s="790">
        <v>3</v>
      </c>
      <c r="CF14" s="41">
        <v>0</v>
      </c>
    </row>
    <row r="15" spans="1:84" ht="15" hidden="1" customHeight="1">
      <c r="D15" s="1283"/>
      <c r="E15" s="1287" t="s">
        <v>572</v>
      </c>
      <c r="F15" s="1288"/>
      <c r="G15" s="1289"/>
      <c r="H15" s="1285" t="str">
        <f>IF(A14="","",INDEX(DIFFERENTIATION_UNMERGE_AREA,MATCH(A14,DIFFERENTIATION_ID_DIFF,0)))</f>
        <v>Территория 1</v>
      </c>
      <c r="I15" s="1285"/>
      <c r="J15" s="1285"/>
      <c r="K15" s="1285"/>
      <c r="L15" s="1285"/>
      <c r="M15" s="1285"/>
      <c r="N15" s="1285"/>
      <c r="O15" s="1285"/>
      <c r="P15" s="1285"/>
      <c r="Q15" s="1285"/>
      <c r="R15" s="1285"/>
      <c r="S15" s="788"/>
      <c r="T15" s="261"/>
      <c r="AC15" s="1038"/>
      <c r="CF15" s="41">
        <v>0</v>
      </c>
    </row>
    <row r="16" spans="1:84" ht="15" hidden="1" customHeight="1">
      <c r="D16" s="1283"/>
      <c r="E16" s="1287" t="s">
        <v>573</v>
      </c>
      <c r="F16" s="1288"/>
      <c r="G16" s="1289"/>
      <c r="H16" s="1285" t="str">
        <f>IF(A14="","",INDEX(DIFFERENTIATION_UNMERGE_SYSTEM,MATCH(A14,DIFFERENTIATION_ID_DIFF,0)))</f>
        <v>Централизованная система водоотведения города Нижнего Новгорода</v>
      </c>
      <c r="I16" s="1285"/>
      <c r="J16" s="1285"/>
      <c r="K16" s="1285"/>
      <c r="L16" s="1285"/>
      <c r="M16" s="1285"/>
      <c r="N16" s="1285"/>
      <c r="O16" s="1285"/>
      <c r="P16" s="1285"/>
      <c r="Q16" s="1285"/>
      <c r="R16" s="1285"/>
      <c r="S16" s="788"/>
      <c r="T16" s="261"/>
      <c r="AC16" s="1038"/>
      <c r="CF16" s="41">
        <v>0</v>
      </c>
    </row>
    <row r="17" spans="1:84" ht="22.5" hidden="1" customHeight="1">
      <c r="D17" s="1283"/>
      <c r="E17" s="1286" t="s">
        <v>625</v>
      </c>
      <c r="F17" s="1286"/>
      <c r="G17" s="1286"/>
      <c r="H17" s="1286"/>
      <c r="I17" s="1286"/>
      <c r="J17" s="1286"/>
      <c r="K17" s="1286"/>
      <c r="L17" s="1286"/>
      <c r="M17" s="1286"/>
      <c r="N17" s="1286"/>
      <c r="O17" s="1286"/>
      <c r="P17" s="1286"/>
      <c r="Q17" s="263">
        <f>SUMIF(T18:T19,"i",Q18:Q19)</f>
        <v>0</v>
      </c>
      <c r="R17" s="264"/>
      <c r="S17" s="620" t="s">
        <v>626</v>
      </c>
      <c r="T17" s="261" t="s">
        <v>627</v>
      </c>
      <c r="U17" s="1196">
        <v>1</v>
      </c>
      <c r="V17" s="1196" t="str">
        <f>INDEX(B_FHD_FLAG_INDEX_1,1,MATCH(A14,B_FHD_FLAG_DIFFERENTIATION,0))</f>
        <v>отсутствует</v>
      </c>
      <c r="AC17" s="1038"/>
      <c r="CF17" s="41">
        <v>0</v>
      </c>
    </row>
    <row r="18" spans="1:84" ht="11.25" hidden="1" customHeight="1">
      <c r="D18" s="1283"/>
      <c r="E18" s="636"/>
      <c r="F18" s="636">
        <v>0</v>
      </c>
      <c r="G18" s="636"/>
      <c r="H18" s="636"/>
      <c r="I18" s="636"/>
      <c r="J18" s="636"/>
      <c r="K18" s="636"/>
      <c r="L18" s="636"/>
      <c r="M18" s="636"/>
      <c r="N18" s="636"/>
      <c r="O18" s="636"/>
      <c r="P18" s="636"/>
      <c r="Q18" s="636"/>
      <c r="R18" s="636"/>
      <c r="S18" s="635"/>
      <c r="T18" s="792"/>
      <c r="U18" s="1038"/>
      <c r="V18" s="1038"/>
      <c r="AC18" s="1038"/>
      <c r="CF18" s="41">
        <v>0</v>
      </c>
    </row>
    <row r="19" spans="1:84" ht="11.25" hidden="1" customHeight="1">
      <c r="D19" s="1283"/>
      <c r="E19" s="265" t="s">
        <v>22</v>
      </c>
      <c r="F19" s="44" t="s">
        <v>22</v>
      </c>
      <c r="G19" s="44" t="s">
        <v>22</v>
      </c>
      <c r="H19" s="49" t="s">
        <v>22</v>
      </c>
      <c r="I19" s="49"/>
      <c r="J19" s="49"/>
      <c r="K19" s="49"/>
      <c r="L19" s="49"/>
      <c r="M19" s="49"/>
      <c r="N19" s="49"/>
      <c r="O19" s="49"/>
      <c r="P19" s="49"/>
      <c r="Q19" s="49"/>
      <c r="R19" s="59"/>
      <c r="S19" s="791"/>
      <c r="T19" s="792"/>
      <c r="U19" s="1038"/>
      <c r="V19" s="1038"/>
      <c r="AC19" s="1038"/>
      <c r="CF19" s="41">
        <v>0</v>
      </c>
    </row>
    <row r="20" spans="1:84" ht="22.5" hidden="1" customHeight="1">
      <c r="D20" s="1283"/>
      <c r="E20" s="1286" t="s">
        <v>628</v>
      </c>
      <c r="F20" s="1286"/>
      <c r="G20" s="1286"/>
      <c r="H20" s="1286"/>
      <c r="I20" s="1286"/>
      <c r="J20" s="1286"/>
      <c r="K20" s="1286"/>
      <c r="L20" s="1286"/>
      <c r="M20" s="1286"/>
      <c r="N20" s="1286"/>
      <c r="O20" s="1286"/>
      <c r="P20" s="1286"/>
      <c r="Q20" s="263">
        <f>SUMIF(T21:T22,"i",Q21:Q22)</f>
        <v>0</v>
      </c>
      <c r="R20" s="264"/>
      <c r="S20" s="620" t="s">
        <v>629</v>
      </c>
      <c r="T20" s="261" t="s">
        <v>627</v>
      </c>
      <c r="U20" s="1196">
        <v>2</v>
      </c>
      <c r="V20" s="1196" t="str">
        <f>INDEX(B_FHD_FLAG_INDEX_2,1,MATCH(A14,B_FHD_FLAG_DIFFERENTIATION,0))</f>
        <v>отсутствует</v>
      </c>
      <c r="CF20" s="41">
        <v>0</v>
      </c>
    </row>
    <row r="21" spans="1:84" ht="11.25" hidden="1" customHeight="1">
      <c r="D21" s="1283"/>
      <c r="E21" s="636"/>
      <c r="F21" s="636">
        <v>0</v>
      </c>
      <c r="G21" s="636"/>
      <c r="H21" s="636"/>
      <c r="I21" s="636"/>
      <c r="J21" s="636"/>
      <c r="K21" s="636"/>
      <c r="L21" s="636"/>
      <c r="M21" s="636"/>
      <c r="N21" s="636"/>
      <c r="O21" s="636"/>
      <c r="P21" s="636"/>
      <c r="Q21" s="636"/>
      <c r="R21" s="636"/>
      <c r="S21" s="635"/>
      <c r="T21" s="792"/>
      <c r="U21" s="1038"/>
      <c r="V21" s="1038"/>
      <c r="CF21" s="41">
        <v>0</v>
      </c>
    </row>
    <row r="22" spans="1:84" ht="11.25" hidden="1" customHeight="1">
      <c r="D22" s="1284"/>
      <c r="E22" s="265" t="s">
        <v>22</v>
      </c>
      <c r="F22" s="44" t="s">
        <v>22</v>
      </c>
      <c r="G22" s="44" t="s">
        <v>22</v>
      </c>
      <c r="H22" s="49" t="s">
        <v>22</v>
      </c>
      <c r="I22" s="49"/>
      <c r="J22" s="49"/>
      <c r="K22" s="49"/>
      <c r="L22" s="49"/>
      <c r="M22" s="49"/>
      <c r="N22" s="49"/>
      <c r="O22" s="49"/>
      <c r="P22" s="49"/>
      <c r="Q22" s="49"/>
      <c r="R22" s="59"/>
      <c r="S22" s="791"/>
      <c r="T22" s="792"/>
      <c r="U22" s="1038"/>
      <c r="V22" s="1038"/>
      <c r="CF22" s="41">
        <v>0</v>
      </c>
    </row>
    <row r="23" spans="1:84" ht="15" hidden="1" customHeight="1">
      <c r="A23" t="s">
        <v>127</v>
      </c>
      <c r="B23"/>
      <c r="C23" t="s">
        <v>22</v>
      </c>
      <c r="D23" s="1290" t="s">
        <v>160</v>
      </c>
      <c r="E23" s="1287" t="s">
        <v>110</v>
      </c>
      <c r="F23" s="1288"/>
      <c r="G23" s="1289"/>
      <c r="H23" s="1285" t="str">
        <f>IF(A23="","",INDEX(DIFFERENTIATION_UNMERGE_VD,MATCH(A23,DIFFERENTIATION_ID_DIFF,0)))</f>
        <v>Водоотведение</v>
      </c>
      <c r="I23" s="1285"/>
      <c r="J23" s="1285"/>
      <c r="K23" s="1285"/>
      <c r="L23" s="1285"/>
      <c r="M23" s="1285"/>
      <c r="N23" s="1285"/>
      <c r="O23" s="1285"/>
      <c r="P23" s="1285"/>
      <c r="Q23" s="1285"/>
      <c r="R23" s="1285"/>
      <c r="S23" s="788"/>
      <c r="T23" s="261"/>
      <c r="U23"/>
      <c r="V23"/>
      <c r="W23"/>
      <c r="X23"/>
      <c r="Y23"/>
      <c r="Z23"/>
      <c r="AA23"/>
      <c r="AB23"/>
      <c r="AC23" s="1038"/>
      <c r="AD23"/>
      <c r="AE23" t="s">
        <v>22</v>
      </c>
      <c r="AF23"/>
      <c r="AG23" s="789" t="s">
        <v>624</v>
      </c>
      <c r="AH23" s="790">
        <v>3</v>
      </c>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row>
    <row r="24" spans="1:84" ht="15" hidden="1" customHeight="1">
      <c r="A24"/>
      <c r="B24"/>
      <c r="C24"/>
      <c r="D24" s="1291"/>
      <c r="E24" s="1287" t="s">
        <v>572</v>
      </c>
      <c r="F24" s="1288"/>
      <c r="G24" s="1289"/>
      <c r="H24" s="1285" t="str">
        <f>IF(A23="","",INDEX(DIFFERENTIATION_UNMERGE_AREA,MATCH(A23,DIFFERENTIATION_ID_DIFF,0)))</f>
        <v>Территория 2</v>
      </c>
      <c r="I24" s="1285"/>
      <c r="J24" s="1285"/>
      <c r="K24" s="1285"/>
      <c r="L24" s="1285"/>
      <c r="M24" s="1285"/>
      <c r="N24" s="1285"/>
      <c r="O24" s="1285"/>
      <c r="P24" s="1285"/>
      <c r="Q24" s="1285"/>
      <c r="R24" s="1285"/>
      <c r="S24" s="788"/>
      <c r="T24" s="261"/>
      <c r="U24"/>
      <c r="V24"/>
      <c r="W24"/>
      <c r="X24"/>
      <c r="Y24"/>
      <c r="Z24"/>
      <c r="AA24"/>
      <c r="AB24"/>
      <c r="AC24" s="1038"/>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row>
    <row r="25" spans="1:84" ht="15" hidden="1" customHeight="1">
      <c r="A25"/>
      <c r="B25"/>
      <c r="C25"/>
      <c r="D25" s="1291"/>
      <c r="E25" s="1287" t="s">
        <v>573</v>
      </c>
      <c r="F25" s="1288"/>
      <c r="G25" s="1289"/>
      <c r="H25" s="1285" t="str">
        <f>IF(A23="","",INDEX(DIFFERENTIATION_UNMERGE_SYSTEM,MATCH(A23,DIFFERENTIATION_ID_DIFF,0)))</f>
        <v>Централизованная система водоотведения Кстовского муниципального района</v>
      </c>
      <c r="I25" s="1285"/>
      <c r="J25" s="1285"/>
      <c r="K25" s="1285"/>
      <c r="L25" s="1285"/>
      <c r="M25" s="1285"/>
      <c r="N25" s="1285"/>
      <c r="O25" s="1285"/>
      <c r="P25" s="1285"/>
      <c r="Q25" s="1285"/>
      <c r="R25" s="1285"/>
      <c r="S25" s="788"/>
      <c r="T25" s="261"/>
      <c r="U25"/>
      <c r="V25"/>
      <c r="W25"/>
      <c r="X25"/>
      <c r="Y25"/>
      <c r="Z25"/>
      <c r="AA25"/>
      <c r="AB25"/>
      <c r="AC25" s="1038"/>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row>
    <row r="26" spans="1:84" ht="24.75" hidden="1" customHeight="1">
      <c r="A26"/>
      <c r="B26"/>
      <c r="C26"/>
      <c r="D26" s="1291"/>
      <c r="E26" s="1286" t="s">
        <v>625</v>
      </c>
      <c r="F26" s="1286"/>
      <c r="G26" s="1286"/>
      <c r="H26" s="1286"/>
      <c r="I26" s="1286"/>
      <c r="J26" s="1286"/>
      <c r="K26" s="1286"/>
      <c r="L26" s="1286"/>
      <c r="M26" s="1286"/>
      <c r="N26" s="1286"/>
      <c r="O26" s="1286"/>
      <c r="P26" s="1286"/>
      <c r="Q26" s="263">
        <f>SUMIF(T27:T28,"i",Q27:Q28)</f>
        <v>0</v>
      </c>
      <c r="R26" s="264"/>
      <c r="S26" s="620" t="s">
        <v>626</v>
      </c>
      <c r="T26" s="261" t="s">
        <v>627</v>
      </c>
      <c r="U26" s="1196">
        <v>1</v>
      </c>
      <c r="V26" s="1196" t="s">
        <v>583</v>
      </c>
      <c r="W26"/>
      <c r="X26"/>
      <c r="Y26"/>
      <c r="Z26"/>
      <c r="AA26"/>
      <c r="AB26"/>
      <c r="AC26" s="1038"/>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row>
    <row r="27" spans="1:84" ht="11.25" hidden="1" customHeight="1">
      <c r="A27"/>
      <c r="B27"/>
      <c r="C27"/>
      <c r="D27" s="1291"/>
      <c r="E27" s="636"/>
      <c r="F27" s="636">
        <v>0</v>
      </c>
      <c r="G27" s="636"/>
      <c r="H27" s="636"/>
      <c r="I27" s="636"/>
      <c r="J27" s="636"/>
      <c r="K27" s="636"/>
      <c r="L27" s="636"/>
      <c r="M27" s="636"/>
      <c r="N27" s="636"/>
      <c r="O27" s="636"/>
      <c r="P27" s="636"/>
      <c r="Q27" s="636"/>
      <c r="R27" s="636"/>
      <c r="S27" s="635"/>
      <c r="T27" s="792"/>
      <c r="U27" s="1038"/>
      <c r="V27" s="1038"/>
      <c r="W27"/>
      <c r="X27"/>
      <c r="Y27"/>
      <c r="Z27"/>
      <c r="AA27"/>
      <c r="AB27"/>
      <c r="AC27" s="1038"/>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row>
    <row r="28" spans="1:84" ht="11.25" hidden="1" customHeight="1">
      <c r="A28"/>
      <c r="B28"/>
      <c r="C28"/>
      <c r="D28" s="1291"/>
      <c r="E28" s="265" t="s">
        <v>22</v>
      </c>
      <c r="F28" s="44" t="s">
        <v>22</v>
      </c>
      <c r="G28" s="44" t="s">
        <v>630</v>
      </c>
      <c r="H28" s="49" t="s">
        <v>22</v>
      </c>
      <c r="I28" s="49"/>
      <c r="J28" s="49"/>
      <c r="K28" s="49"/>
      <c r="L28" s="49"/>
      <c r="M28" s="49"/>
      <c r="N28" s="49"/>
      <c r="O28" s="49"/>
      <c r="P28" s="49"/>
      <c r="Q28" s="49"/>
      <c r="R28" s="59"/>
      <c r="S28" s="793"/>
      <c r="T28" s="792"/>
      <c r="U28" s="1038"/>
      <c r="V28" s="1038"/>
      <c r="W28"/>
      <c r="X28"/>
      <c r="Y28"/>
      <c r="Z28"/>
      <c r="AA28"/>
      <c r="AB28"/>
      <c r="AC28" s="103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row>
    <row r="29" spans="1:84" ht="24.75" hidden="1" customHeight="1">
      <c r="A29"/>
      <c r="B29"/>
      <c r="C29"/>
      <c r="D29" s="1291"/>
      <c r="E29" s="1286" t="s">
        <v>628</v>
      </c>
      <c r="F29" s="1286"/>
      <c r="G29" s="1286"/>
      <c r="H29" s="1286"/>
      <c r="I29" s="1286"/>
      <c r="J29" s="1286"/>
      <c r="K29" s="1286"/>
      <c r="L29" s="1286"/>
      <c r="M29" s="1286"/>
      <c r="N29" s="1286"/>
      <c r="O29" s="1286"/>
      <c r="P29" s="1286"/>
      <c r="Q29" s="263">
        <f>SUMIF(T30:T31,"i",Q30:Q31)</f>
        <v>0</v>
      </c>
      <c r="R29" s="264"/>
      <c r="S29" s="620" t="s">
        <v>629</v>
      </c>
      <c r="T29" s="261" t="s">
        <v>627</v>
      </c>
      <c r="U29" s="1196">
        <v>1</v>
      </c>
      <c r="V29" s="1196" t="s">
        <v>583</v>
      </c>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row>
    <row r="30" spans="1:84" ht="11.25" hidden="1" customHeight="1">
      <c r="A30"/>
      <c r="B30"/>
      <c r="C30"/>
      <c r="D30" s="1291"/>
      <c r="E30" s="636"/>
      <c r="F30" s="636">
        <v>0</v>
      </c>
      <c r="G30" s="636"/>
      <c r="H30" s="636"/>
      <c r="I30" s="636"/>
      <c r="J30" s="636"/>
      <c r="K30" s="636"/>
      <c r="L30" s="636"/>
      <c r="M30" s="636"/>
      <c r="N30" s="636"/>
      <c r="O30" s="636"/>
      <c r="P30" s="636"/>
      <c r="Q30" s="636"/>
      <c r="R30" s="636"/>
      <c r="S30" s="635"/>
      <c r="T30" s="792"/>
      <c r="U30" s="1038"/>
      <c r="V30" s="1038"/>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row>
    <row r="31" spans="1:84" ht="11.25" hidden="1" customHeight="1">
      <c r="A31"/>
      <c r="B31"/>
      <c r="C31"/>
      <c r="D31" s="1292"/>
      <c r="E31" s="265" t="s">
        <v>22</v>
      </c>
      <c r="F31" s="44" t="s">
        <v>22</v>
      </c>
      <c r="G31" s="44" t="s">
        <v>630</v>
      </c>
      <c r="H31" s="49" t="s">
        <v>22</v>
      </c>
      <c r="I31" s="49"/>
      <c r="J31" s="49"/>
      <c r="K31" s="49"/>
      <c r="L31" s="49"/>
      <c r="M31" s="49"/>
      <c r="N31" s="49"/>
      <c r="O31" s="49"/>
      <c r="P31" s="49"/>
      <c r="Q31" s="49"/>
      <c r="R31" s="59"/>
      <c r="S31" s="793"/>
      <c r="T31" s="792"/>
      <c r="U31" s="1038"/>
      <c r="V31" s="1038"/>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row>
    <row r="32" spans="1:84" ht="15" hidden="1" customHeight="1">
      <c r="A32" t="s">
        <v>129</v>
      </c>
      <c r="B32"/>
      <c r="C32" t="s">
        <v>22</v>
      </c>
      <c r="D32" s="1290" t="s">
        <v>631</v>
      </c>
      <c r="E32" s="1287" t="s">
        <v>110</v>
      </c>
      <c r="F32" s="1288"/>
      <c r="G32" s="1289"/>
      <c r="H32" s="1285" t="str">
        <f>IF(A32="","",INDEX(DIFFERENTIATION_UNMERGE_VD,MATCH(A32,DIFFERENTIATION_ID_DIFF,0)))</f>
        <v>Подключение (технологическое присоединение) к централизованной системе водоотведения</v>
      </c>
      <c r="I32" s="1285"/>
      <c r="J32" s="1285"/>
      <c r="K32" s="1285"/>
      <c r="L32" s="1285"/>
      <c r="M32" s="1285"/>
      <c r="N32" s="1285"/>
      <c r="O32" s="1285"/>
      <c r="P32" s="1285"/>
      <c r="Q32" s="1285"/>
      <c r="R32" s="1285"/>
      <c r="S32" s="788"/>
      <c r="T32" s="261"/>
      <c r="U32"/>
      <c r="V32"/>
      <c r="W32"/>
      <c r="X32"/>
      <c r="Y32"/>
      <c r="Z32"/>
      <c r="AA32"/>
      <c r="AB32"/>
      <c r="AC32" s="1038"/>
      <c r="AD32"/>
      <c r="AE32" t="s">
        <v>22</v>
      </c>
      <c r="AF32"/>
      <c r="AG32" s="789" t="s">
        <v>624</v>
      </c>
      <c r="AH32" s="790">
        <v>3</v>
      </c>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row>
    <row r="33" spans="1:84" ht="15" hidden="1" customHeight="1">
      <c r="A33"/>
      <c r="B33"/>
      <c r="C33"/>
      <c r="D33" s="1291"/>
      <c r="E33" s="1287" t="s">
        <v>572</v>
      </c>
      <c r="F33" s="1288"/>
      <c r="G33" s="1289"/>
      <c r="H33" s="1285" t="str">
        <f>IF(A32="","",INDEX(DIFFERENTIATION_UNMERGE_AREA,MATCH(A32,DIFFERENTIATION_ID_DIFF,0)))</f>
        <v>без дифференциации</v>
      </c>
      <c r="I33" s="1285"/>
      <c r="J33" s="1285"/>
      <c r="K33" s="1285"/>
      <c r="L33" s="1285"/>
      <c r="M33" s="1285"/>
      <c r="N33" s="1285"/>
      <c r="O33" s="1285"/>
      <c r="P33" s="1285"/>
      <c r="Q33" s="1285"/>
      <c r="R33" s="1285"/>
      <c r="S33" s="788"/>
      <c r="T33" s="261"/>
      <c r="U33"/>
      <c r="V33"/>
      <c r="W33"/>
      <c r="X33"/>
      <c r="Y33"/>
      <c r="Z33"/>
      <c r="AA33"/>
      <c r="AB33"/>
      <c r="AC33" s="1038"/>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row>
    <row r="34" spans="1:84" ht="15" hidden="1" customHeight="1">
      <c r="A34"/>
      <c r="B34"/>
      <c r="C34"/>
      <c r="D34" s="1291"/>
      <c r="E34" s="1287" t="s">
        <v>573</v>
      </c>
      <c r="F34" s="1288"/>
      <c r="G34" s="1289"/>
      <c r="H34" s="1285" t="str">
        <f>IF(A32="","",INDEX(DIFFERENTIATION_UNMERGE_SYSTEM,MATCH(A32,DIFFERENTIATION_ID_DIFF,0)))</f>
        <v>без дифференциации</v>
      </c>
      <c r="I34" s="1285"/>
      <c r="J34" s="1285"/>
      <c r="K34" s="1285"/>
      <c r="L34" s="1285"/>
      <c r="M34" s="1285"/>
      <c r="N34" s="1285"/>
      <c r="O34" s="1285"/>
      <c r="P34" s="1285"/>
      <c r="Q34" s="1285"/>
      <c r="R34" s="1285"/>
      <c r="S34" s="788"/>
      <c r="T34" s="261"/>
      <c r="U34"/>
      <c r="V34"/>
      <c r="W34"/>
      <c r="X34"/>
      <c r="Y34"/>
      <c r="Z34"/>
      <c r="AA34"/>
      <c r="AB34"/>
      <c r="AC34" s="1038"/>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row>
    <row r="35" spans="1:84" ht="24.75" hidden="1" customHeight="1">
      <c r="A35"/>
      <c r="B35"/>
      <c r="C35"/>
      <c r="D35" s="1291"/>
      <c r="E35" s="1286" t="s">
        <v>625</v>
      </c>
      <c r="F35" s="1286"/>
      <c r="G35" s="1286"/>
      <c r="H35" s="1286"/>
      <c r="I35" s="1286"/>
      <c r="J35" s="1286"/>
      <c r="K35" s="1286"/>
      <c r="L35" s="1286"/>
      <c r="M35" s="1286"/>
      <c r="N35" s="1286"/>
      <c r="O35" s="1286"/>
      <c r="P35" s="1286"/>
      <c r="Q35" s="263">
        <f>SUMIF(T36:T37,"i",Q36:Q37)</f>
        <v>0</v>
      </c>
      <c r="R35" s="264"/>
      <c r="S35" s="620" t="s">
        <v>626</v>
      </c>
      <c r="T35" s="261" t="s">
        <v>627</v>
      </c>
      <c r="U35" s="1196">
        <v>1</v>
      </c>
      <c r="V35" s="1196" t="s">
        <v>583</v>
      </c>
      <c r="W35"/>
      <c r="X35"/>
      <c r="Y35"/>
      <c r="Z35"/>
      <c r="AA35"/>
      <c r="AB35"/>
      <c r="AC35" s="1038"/>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row>
    <row r="36" spans="1:84" ht="11.25" hidden="1" customHeight="1">
      <c r="A36"/>
      <c r="B36"/>
      <c r="C36"/>
      <c r="D36" s="1291"/>
      <c r="E36" s="636"/>
      <c r="F36" s="636">
        <v>0</v>
      </c>
      <c r="G36" s="636"/>
      <c r="H36" s="636"/>
      <c r="I36" s="636"/>
      <c r="J36" s="636"/>
      <c r="K36" s="636"/>
      <c r="L36" s="636"/>
      <c r="M36" s="636"/>
      <c r="N36" s="636"/>
      <c r="O36" s="636"/>
      <c r="P36" s="636"/>
      <c r="Q36" s="636"/>
      <c r="R36" s="636"/>
      <c r="S36" s="635"/>
      <c r="T36" s="792"/>
      <c r="U36" s="1038"/>
      <c r="V36" s="1038"/>
      <c r="W36"/>
      <c r="X36"/>
      <c r="Y36"/>
      <c r="Z36"/>
      <c r="AA36"/>
      <c r="AB36"/>
      <c r="AC36" s="1038"/>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row>
    <row r="37" spans="1:84" ht="11.25" hidden="1" customHeight="1">
      <c r="A37"/>
      <c r="B37"/>
      <c r="C37"/>
      <c r="D37" s="1291"/>
      <c r="E37" s="265" t="s">
        <v>22</v>
      </c>
      <c r="F37" s="44" t="s">
        <v>22</v>
      </c>
      <c r="G37" s="44" t="s">
        <v>630</v>
      </c>
      <c r="H37" s="49" t="s">
        <v>22</v>
      </c>
      <c r="I37" s="49"/>
      <c r="J37" s="49"/>
      <c r="K37" s="49"/>
      <c r="L37" s="49"/>
      <c r="M37" s="49"/>
      <c r="N37" s="49"/>
      <c r="O37" s="49"/>
      <c r="P37" s="49"/>
      <c r="Q37" s="49"/>
      <c r="R37" s="59"/>
      <c r="S37" s="793"/>
      <c r="T37" s="792"/>
      <c r="U37" s="1038"/>
      <c r="V37" s="1038"/>
      <c r="W37"/>
      <c r="X37"/>
      <c r="Y37"/>
      <c r="Z37"/>
      <c r="AA37"/>
      <c r="AB37"/>
      <c r="AC37" s="1038"/>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row>
    <row r="38" spans="1:84" ht="24.75" hidden="1" customHeight="1">
      <c r="A38"/>
      <c r="B38"/>
      <c r="C38"/>
      <c r="D38" s="1291"/>
      <c r="E38" s="1286" t="s">
        <v>628</v>
      </c>
      <c r="F38" s="1286"/>
      <c r="G38" s="1286"/>
      <c r="H38" s="1286"/>
      <c r="I38" s="1286"/>
      <c r="J38" s="1286"/>
      <c r="K38" s="1286"/>
      <c r="L38" s="1286"/>
      <c r="M38" s="1286"/>
      <c r="N38" s="1286"/>
      <c r="O38" s="1286"/>
      <c r="P38" s="1286"/>
      <c r="Q38" s="263">
        <f>SUMIF(T39:T40,"i",Q39:Q40)</f>
        <v>0</v>
      </c>
      <c r="R38" s="264"/>
      <c r="S38" s="620" t="s">
        <v>629</v>
      </c>
      <c r="T38" s="261" t="s">
        <v>627</v>
      </c>
      <c r="U38" s="1196">
        <v>1</v>
      </c>
      <c r="V38" s="1196" t="s">
        <v>583</v>
      </c>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row>
    <row r="39" spans="1:84" ht="11.25" hidden="1" customHeight="1">
      <c r="A39"/>
      <c r="B39"/>
      <c r="C39"/>
      <c r="D39" s="1291"/>
      <c r="E39" s="636"/>
      <c r="F39" s="636">
        <v>0</v>
      </c>
      <c r="G39" s="636"/>
      <c r="H39" s="636"/>
      <c r="I39" s="636"/>
      <c r="J39" s="636"/>
      <c r="K39" s="636"/>
      <c r="L39" s="636"/>
      <c r="M39" s="636"/>
      <c r="N39" s="636"/>
      <c r="O39" s="636"/>
      <c r="P39" s="636"/>
      <c r="Q39" s="636"/>
      <c r="R39" s="636"/>
      <c r="S39" s="635"/>
      <c r="T39" s="792"/>
      <c r="U39" s="1038"/>
      <c r="V39" s="1038"/>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row>
    <row r="40" spans="1:84" ht="11.25" hidden="1" customHeight="1">
      <c r="A40"/>
      <c r="B40"/>
      <c r="C40"/>
      <c r="D40" s="1292"/>
      <c r="E40" s="265" t="s">
        <v>22</v>
      </c>
      <c r="F40" s="44" t="s">
        <v>22</v>
      </c>
      <c r="G40" s="44" t="s">
        <v>630</v>
      </c>
      <c r="H40" s="49" t="s">
        <v>22</v>
      </c>
      <c r="I40" s="49"/>
      <c r="J40" s="49"/>
      <c r="K40" s="49"/>
      <c r="L40" s="49"/>
      <c r="M40" s="49"/>
      <c r="N40" s="49"/>
      <c r="O40" s="49"/>
      <c r="P40" s="49"/>
      <c r="Q40" s="49"/>
      <c r="R40" s="59"/>
      <c r="S40" s="793"/>
      <c r="T40" s="792"/>
      <c r="U40" s="1038"/>
      <c r="V40" s="1038"/>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row>
    <row r="41" spans="1:84" ht="19.899999999999999" customHeight="1">
      <c r="D41" s="425"/>
      <c r="E41" s="425"/>
      <c r="F41" s="425"/>
      <c r="G41" s="425"/>
      <c r="H41" s="425"/>
      <c r="I41" s="425"/>
      <c r="J41" s="425"/>
      <c r="K41" s="425"/>
      <c r="L41" s="425"/>
      <c r="M41" s="425"/>
      <c r="N41" s="425"/>
      <c r="O41" s="425"/>
      <c r="P41" s="425"/>
      <c r="Q41" s="425"/>
      <c r="R41" s="425"/>
      <c r="S41" s="425"/>
      <c r="CF41" s="539">
        <v>19</v>
      </c>
    </row>
    <row r="42" spans="1:84" ht="11.45" customHeight="1">
      <c r="CF42" s="539">
        <v>11</v>
      </c>
    </row>
    <row r="43" spans="1:84" ht="11.45" customHeight="1">
      <c r="CF43" s="539">
        <v>11</v>
      </c>
    </row>
    <row r="44" spans="1:84" ht="11.45" customHeight="1">
      <c r="CF44" s="539">
        <v>11</v>
      </c>
    </row>
    <row r="45" spans="1:84" ht="11.45" customHeight="1">
      <c r="E45" s="1038"/>
      <c r="F45" s="1038"/>
      <c r="G45" s="1038"/>
      <c r="H45" s="1038"/>
      <c r="I45" s="1038"/>
      <c r="J45" s="1038"/>
      <c r="K45" s="1038"/>
      <c r="L45" s="1038"/>
      <c r="M45" s="1038"/>
      <c r="N45" s="1038"/>
      <c r="O45" s="1038"/>
      <c r="P45" s="1038"/>
      <c r="Q45" s="1038"/>
      <c r="R45" s="1038"/>
      <c r="CF45" s="539">
        <v>11</v>
      </c>
    </row>
    <row r="46" spans="1:84" ht="11.45" customHeight="1">
      <c r="CF46" s="539">
        <v>11</v>
      </c>
    </row>
    <row r="47" spans="1:84" ht="11.25" hidden="1" customHeight="1">
      <c r="A47" s="426" t="s">
        <v>81</v>
      </c>
      <c r="B47" s="537">
        <v>0</v>
      </c>
      <c r="C47" s="539">
        <v>3</v>
      </c>
      <c r="D47" s="539">
        <v>0</v>
      </c>
      <c r="E47" s="539">
        <v>7</v>
      </c>
      <c r="F47" s="539">
        <v>7</v>
      </c>
      <c r="G47" s="539">
        <v>29</v>
      </c>
      <c r="H47" s="539">
        <v>3</v>
      </c>
      <c r="I47" s="539">
        <v>5</v>
      </c>
      <c r="J47" s="539">
        <v>24</v>
      </c>
      <c r="K47" s="539">
        <v>24</v>
      </c>
      <c r="L47" s="539">
        <v>3</v>
      </c>
      <c r="M47" s="539">
        <v>6</v>
      </c>
      <c r="N47" s="539">
        <v>25</v>
      </c>
      <c r="O47" s="539">
        <v>18</v>
      </c>
      <c r="P47" s="539">
        <v>18</v>
      </c>
      <c r="Q47" s="539">
        <v>18</v>
      </c>
      <c r="R47" s="539">
        <v>18</v>
      </c>
      <c r="S47" s="539">
        <v>93</v>
      </c>
      <c r="T47" s="539">
        <v>10</v>
      </c>
      <c r="U47" s="578">
        <v>10</v>
      </c>
      <c r="V47" s="578">
        <v>11</v>
      </c>
      <c r="W47" s="537">
        <v>10</v>
      </c>
      <c r="X47" s="537">
        <v>10</v>
      </c>
      <c r="Y47" s="537">
        <v>10</v>
      </c>
      <c r="Z47" s="537">
        <v>10</v>
      </c>
      <c r="AA47" s="537">
        <v>10</v>
      </c>
      <c r="AB47" s="539">
        <v>8</v>
      </c>
      <c r="AC47" s="539">
        <v>8</v>
      </c>
      <c r="AD47" s="539">
        <v>8</v>
      </c>
      <c r="AE47" s="539">
        <v>8</v>
      </c>
      <c r="AF47" s="539">
        <v>8</v>
      </c>
      <c r="AG47" s="539">
        <v>8</v>
      </c>
      <c r="AH47" s="539">
        <v>8</v>
      </c>
      <c r="AI47" s="539">
        <v>8</v>
      </c>
      <c r="AJ47" s="539">
        <v>8</v>
      </c>
      <c r="AK47" s="539">
        <v>8</v>
      </c>
      <c r="AL47" s="539">
        <v>8</v>
      </c>
      <c r="AM47" s="539">
        <v>8</v>
      </c>
      <c r="AN47" s="539">
        <v>8</v>
      </c>
      <c r="AO47" s="539">
        <v>8</v>
      </c>
      <c r="AP47" s="539">
        <v>8</v>
      </c>
      <c r="AQ47" s="539">
        <v>8</v>
      </c>
      <c r="AR47" s="539">
        <v>8</v>
      </c>
      <c r="AS47" s="539">
        <v>8</v>
      </c>
      <c r="AT47" s="539">
        <v>8</v>
      </c>
      <c r="AU47" s="539">
        <v>8</v>
      </c>
      <c r="AV47" s="539">
        <v>8</v>
      </c>
      <c r="AW47" s="539">
        <v>8</v>
      </c>
      <c r="AX47" s="539">
        <v>8</v>
      </c>
      <c r="AY47" s="539">
        <v>8</v>
      </c>
      <c r="AZ47" s="539">
        <v>8</v>
      </c>
      <c r="BA47" s="539">
        <v>8</v>
      </c>
      <c r="BB47" s="539">
        <v>8</v>
      </c>
      <c r="BC47" s="539">
        <v>8</v>
      </c>
      <c r="BD47" s="539">
        <v>8</v>
      </c>
      <c r="BE47" s="539">
        <v>8</v>
      </c>
      <c r="BF47" s="539">
        <v>8</v>
      </c>
      <c r="BG47" s="539">
        <v>8</v>
      </c>
      <c r="BH47" s="539">
        <v>8</v>
      </c>
      <c r="BI47" s="539">
        <v>8</v>
      </c>
      <c r="BJ47" s="539">
        <v>8</v>
      </c>
      <c r="BK47" s="539">
        <v>8</v>
      </c>
      <c r="BL47" s="539">
        <v>8</v>
      </c>
      <c r="BM47" s="539">
        <v>8</v>
      </c>
      <c r="BN47" s="539">
        <v>8</v>
      </c>
      <c r="BO47" s="539">
        <v>8</v>
      </c>
      <c r="BP47" s="539">
        <v>8</v>
      </c>
      <c r="BQ47" s="539">
        <v>8</v>
      </c>
      <c r="BR47" s="539">
        <v>8</v>
      </c>
      <c r="BS47" s="539">
        <v>8</v>
      </c>
      <c r="BT47" s="539">
        <v>8</v>
      </c>
      <c r="BU47" s="539">
        <v>8</v>
      </c>
      <c r="BV47" s="539">
        <v>8</v>
      </c>
      <c r="BW47" s="539">
        <v>8</v>
      </c>
      <c r="BX47" s="539">
        <v>8</v>
      </c>
      <c r="BY47" s="539">
        <v>8</v>
      </c>
      <c r="BZ47" s="539">
        <v>8</v>
      </c>
      <c r="CA47" s="539">
        <v>8</v>
      </c>
      <c r="CB47" s="539">
        <v>8</v>
      </c>
      <c r="CC47" s="539">
        <v>8</v>
      </c>
      <c r="CD47" s="539">
        <v>8</v>
      </c>
      <c r="CE47" s="539">
        <v>8</v>
      </c>
      <c r="CF47" s="539">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1030" hidden="1" customWidth="1"/>
    <col min="6" max="6" width="16.85546875" style="1030" hidden="1" customWidth="1"/>
    <col min="7" max="7" width="5.5703125" style="1030" hidden="1" customWidth="1"/>
    <col min="8" max="8" width="3" style="1030" customWidth="1"/>
    <col min="9" max="9" width="7" style="1030" customWidth="1"/>
    <col min="10" max="10" width="56" style="1030" customWidth="1"/>
    <col min="11" max="11" width="10" style="1030" customWidth="1"/>
    <col min="12" max="12" width="40.5703125" style="1030" hidden="1" customWidth="1"/>
    <col min="13" max="13" width="40.7109375" style="1030" customWidth="1"/>
    <col min="14" max="15" width="40.5703125" style="1030" customWidth="1"/>
    <col min="16" max="16" width="9.7109375" style="1030" hidden="1" customWidth="1"/>
    <col min="17" max="17" width="102" style="1030" customWidth="1"/>
    <col min="18" max="18" width="9" style="1030" customWidth="1"/>
    <col min="19" max="19" width="5" style="1030" customWidth="1"/>
    <col min="20" max="24" width="3" style="1030" customWidth="1"/>
    <col min="25" max="25" width="10" style="1030" customWidth="1"/>
    <col min="26" max="26" width="34" style="1030" customWidth="1"/>
    <col min="27" max="27" width="9" style="1030" customWidth="1"/>
    <col min="28" max="38" width="8" style="1030" customWidth="1"/>
    <col min="39" max="39" width="5.42578125" style="1030" hidden="1" customWidth="1"/>
  </cols>
  <sheetData>
    <row r="1" spans="2:39" ht="33.75" hidden="1" customHeight="1">
      <c r="L1" s="556">
        <v>4</v>
      </c>
      <c r="M1" s="556">
        <v>4</v>
      </c>
      <c r="N1" s="9">
        <v>4</v>
      </c>
      <c r="O1" s="9">
        <v>4</v>
      </c>
      <c r="AM1" s="556" t="s">
        <v>14</v>
      </c>
    </row>
    <row r="2" spans="2:39" ht="78.75" hidden="1" customHeight="1">
      <c r="B2" s="952" t="s">
        <v>632</v>
      </c>
      <c r="C2" s="952" t="s">
        <v>633</v>
      </c>
      <c r="D2" s="953" t="s">
        <v>634</v>
      </c>
      <c r="E2" s="458" t="e">
        <f>RIGHT(I2,LEN(I2)-SEARCH("#",SUBSTITUTE(I2,".","#",LEN(I2)-LEN(SUBSTITUTE(I2,".","")))))</f>
        <v>#VALUE!</v>
      </c>
      <c r="F2" s="458">
        <f>J2</f>
        <v>0</v>
      </c>
      <c r="I2" s="55"/>
      <c r="J2" s="37"/>
      <c r="K2" s="543" t="s">
        <v>564</v>
      </c>
      <c r="L2" s="312"/>
      <c r="M2" s="312"/>
      <c r="N2" s="312"/>
      <c r="O2" s="312"/>
      <c r="Q2" s="796" t="s">
        <v>565</v>
      </c>
      <c r="AM2" s="556">
        <v>0</v>
      </c>
    </row>
    <row r="3" spans="2:39" ht="11.25" hidden="1" customHeight="1">
      <c r="E3" s="459" t="s">
        <v>635</v>
      </c>
      <c r="L3" s="539">
        <f>0</f>
        <v>0</v>
      </c>
      <c r="M3" s="539">
        <v>1</v>
      </c>
      <c r="N3" s="3">
        <f>0</f>
        <v>0</v>
      </c>
      <c r="O3" s="3">
        <f>0</f>
        <v>0</v>
      </c>
      <c r="AM3" s="539">
        <v>0</v>
      </c>
    </row>
    <row r="4" spans="2:39" ht="11.25" hidden="1" customHeight="1">
      <c r="N4"/>
      <c r="O4"/>
      <c r="Q4" s="537">
        <v>4</v>
      </c>
      <c r="AM4" s="537">
        <v>0</v>
      </c>
    </row>
    <row r="5" spans="2:39" ht="11.45" customHeight="1">
      <c r="N5"/>
      <c r="O5"/>
      <c r="AM5" s="539">
        <v>11</v>
      </c>
    </row>
    <row r="6" spans="2:39" ht="57.75" customHeight="1">
      <c r="I6" s="1127" t="s">
        <v>636</v>
      </c>
      <c r="J6" s="1127"/>
      <c r="K6" s="1127"/>
      <c r="L6" s="1127"/>
      <c r="M6" s="1127"/>
      <c r="N6" s="76"/>
      <c r="O6" s="76"/>
      <c r="AM6" s="539">
        <v>55</v>
      </c>
    </row>
    <row r="7" spans="2:39" ht="25.15" customHeight="1">
      <c r="I7" s="1148" t="str">
        <f>IF(org=0,"Не определено",org)</f>
        <v>АО "НИЖЕГОРОДСКИЙ ВОДОКАНАЛ"</v>
      </c>
      <c r="J7" s="1148"/>
      <c r="K7" s="1148"/>
      <c r="L7" s="1148"/>
      <c r="M7" s="1148"/>
      <c r="N7" s="77"/>
      <c r="O7" s="77"/>
      <c r="AM7" s="539">
        <v>24</v>
      </c>
    </row>
    <row r="8" spans="2:39" ht="11.45" customHeight="1">
      <c r="N8" t="s">
        <v>22</v>
      </c>
      <c r="O8" t="s">
        <v>22</v>
      </c>
      <c r="AM8" s="539">
        <v>11</v>
      </c>
    </row>
    <row r="9" spans="2:39" ht="30" hidden="1" customHeight="1">
      <c r="L9" s="919"/>
      <c r="M9" s="919" t="s">
        <v>122</v>
      </c>
      <c r="N9" s="405" t="s">
        <v>127</v>
      </c>
      <c r="O9" s="405" t="s">
        <v>129</v>
      </c>
      <c r="AM9" s="578">
        <v>1</v>
      </c>
    </row>
    <row r="10" spans="2:39" ht="11.45" customHeight="1">
      <c r="E10" s="460" t="s">
        <v>637</v>
      </c>
      <c r="I10" s="898"/>
      <c r="J10" s="1278" t="s">
        <v>110</v>
      </c>
      <c r="K10" s="1279"/>
      <c r="L10" s="920" t="str">
        <f>IF(L9="","",INDEX(DIFFERENTIATION_UNMERGE_VD,MATCH(L9,DIFFERENTIATION_ID_DIFF,0)))</f>
        <v/>
      </c>
      <c r="M10" s="920" t="str">
        <f>IF(M9="","",INDEX(DIFFERENTIATION_UNMERGE_VD,MATCH(M9,DIFFERENTIATION_ID_DIFF,0)))</f>
        <v>Водоотведение</v>
      </c>
      <c r="N10" s="406" t="str">
        <f>IF(N9="","",INDEX(DIFFERENTIATION_UNMERGE_VD,MATCH(N9,DIFFERENTIATION_ID_DIFF,0)))</f>
        <v>Водоотведение</v>
      </c>
      <c r="O10" s="406" t="str">
        <f>IF(O9="","",INDEX(DIFFERENTIATION_UNMERGE_VD,MATCH(O9,DIFFERENTIATION_ID_DIFF,0)))</f>
        <v>Подключение (технологическое присоединение) к централизованной системе водоотведения</v>
      </c>
      <c r="Q10" s="1070" t="s">
        <v>309</v>
      </c>
      <c r="AM10" s="539">
        <v>11</v>
      </c>
    </row>
    <row r="11" spans="2:39" ht="11.45" customHeight="1">
      <c r="E11" s="460" t="s">
        <v>638</v>
      </c>
      <c r="I11" s="898"/>
      <c r="J11" s="1278" t="s">
        <v>572</v>
      </c>
      <c r="K11" s="1279"/>
      <c r="L11" s="920" t="str">
        <f>IF(L9="","",INDEX(DIFFERENTIATION_UNMERGE_AREA,MATCH(L9,DIFFERENTIATION_ID_DIFF,0)))</f>
        <v/>
      </c>
      <c r="M11" s="920" t="str">
        <f>IF(M9="","",INDEX(DIFFERENTIATION_UNMERGE_AREA,MATCH(M9,DIFFERENTIATION_ID_DIFF,0)))</f>
        <v>Территория 1</v>
      </c>
      <c r="N11" s="406" t="str">
        <f>IF(N9="","",INDEX(DIFFERENTIATION_UNMERGE_AREA,MATCH(N9,DIFFERENTIATION_ID_DIFF,0)))</f>
        <v>Территория 2</v>
      </c>
      <c r="O11" s="406" t="str">
        <f>IF(O9="","",INDEX(DIFFERENTIATION_UNMERGE_AREA,MATCH(O9,DIFFERENTIATION_ID_DIFF,0)))</f>
        <v>без дифференциации</v>
      </c>
      <c r="Q11" s="1070"/>
      <c r="AM11" s="539">
        <v>11</v>
      </c>
    </row>
    <row r="12" spans="2:39" ht="11.45" customHeight="1">
      <c r="E12" s="460" t="s">
        <v>639</v>
      </c>
      <c r="I12" s="940"/>
      <c r="J12" s="1278" t="s">
        <v>573</v>
      </c>
      <c r="K12" s="1279"/>
      <c r="L12" s="920" t="str">
        <f>IF(L9="","",INDEX(DIFFERENTIATION_UNMERGE_SYSTEM,MATCH(L9,DIFFERENTIATION_ID_DIFF,0)))</f>
        <v/>
      </c>
      <c r="M12" s="920" t="str">
        <f>IF(M9="","",INDEX(DIFFERENTIATION_UNMERGE_SYSTEM,MATCH(M9,DIFFERENTIATION_ID_DIFF,0)))</f>
        <v>Централизованная система водоотведения города Нижнего Новгорода</v>
      </c>
      <c r="N12" s="406" t="str">
        <f>IF(N9="","",INDEX(DIFFERENTIATION_UNMERGE_SYSTEM,MATCH(N9,DIFFERENTIATION_ID_DIFF,0)))</f>
        <v>Централизованная система водоотведения Кстовского муниципального района</v>
      </c>
      <c r="O12" s="406" t="str">
        <f>IF(O9="","",INDEX(DIFFERENTIATION_UNMERGE_SYSTEM,MATCH(O9,DIFFERENTIATION_ID_DIFF,0)))</f>
        <v>без дифференциации</v>
      </c>
      <c r="Q12" s="1070"/>
      <c r="AM12" s="539">
        <v>11</v>
      </c>
    </row>
    <row r="13" spans="2:39" ht="11.45" customHeight="1">
      <c r="E13" s="460" t="s">
        <v>640</v>
      </c>
      <c r="F13" s="460" t="s">
        <v>641</v>
      </c>
      <c r="I13" s="1280" t="s">
        <v>308</v>
      </c>
      <c r="J13" s="1281"/>
      <c r="K13" s="1281"/>
      <c r="L13" s="899"/>
      <c r="M13" s="954"/>
      <c r="N13" s="381"/>
      <c r="O13" s="381"/>
      <c r="Q13" s="1070"/>
      <c r="AM13" s="539">
        <v>11</v>
      </c>
    </row>
    <row r="14" spans="2:39" ht="24" customHeight="1">
      <c r="I14" s="584" t="s">
        <v>87</v>
      </c>
      <c r="J14" s="584" t="s">
        <v>310</v>
      </c>
      <c r="K14" s="584" t="s">
        <v>574</v>
      </c>
      <c r="L14" s="544" t="s">
        <v>311</v>
      </c>
      <c r="M14" s="584" t="s">
        <v>311</v>
      </c>
      <c r="N14" s="5" t="s">
        <v>311</v>
      </c>
      <c r="O14" s="5" t="s">
        <v>311</v>
      </c>
      <c r="Q14" s="1070"/>
      <c r="AM14" s="539">
        <v>23</v>
      </c>
    </row>
    <row r="15" spans="2:39" ht="24" customHeight="1">
      <c r="B15" s="952" t="s">
        <v>642</v>
      </c>
      <c r="C15" s="952" t="s">
        <v>643</v>
      </c>
      <c r="D15" s="953" t="s">
        <v>644</v>
      </c>
      <c r="E15" s="458" t="s">
        <v>645</v>
      </c>
      <c r="F15" s="458" t="s">
        <v>645</v>
      </c>
      <c r="G15" s="578" t="s">
        <v>603</v>
      </c>
      <c r="I15" s="428">
        <v>1</v>
      </c>
      <c r="J15" s="620" t="s">
        <v>646</v>
      </c>
      <c r="K15" s="584" t="s">
        <v>314</v>
      </c>
      <c r="L15" s="999"/>
      <c r="M15" s="998"/>
      <c r="N15" s="999"/>
      <c r="O15" s="999"/>
      <c r="P15" s="942" t="s">
        <v>647</v>
      </c>
      <c r="Q15" s="796" t="s">
        <v>648</v>
      </c>
      <c r="R15" s="942" t="s">
        <v>647</v>
      </c>
      <c r="AM15" s="539">
        <v>23</v>
      </c>
    </row>
    <row r="16" spans="2:39" ht="35.65" customHeight="1">
      <c r="B16" s="952" t="s">
        <v>649</v>
      </c>
      <c r="C16" s="952" t="s">
        <v>650</v>
      </c>
      <c r="D16" s="953" t="s">
        <v>634</v>
      </c>
      <c r="E16" s="458" t="s">
        <v>645</v>
      </c>
      <c r="F16" s="458" t="s">
        <v>645</v>
      </c>
      <c r="I16" s="434">
        <v>2</v>
      </c>
      <c r="J16" s="623" t="s">
        <v>651</v>
      </c>
      <c r="K16" s="618" t="s">
        <v>564</v>
      </c>
      <c r="L16" s="461"/>
      <c r="M16" s="431"/>
      <c r="N16" s="461"/>
      <c r="O16" s="461"/>
      <c r="P16" s="942" t="s">
        <v>647</v>
      </c>
      <c r="Q16" s="796" t="s">
        <v>652</v>
      </c>
      <c r="R16" s="942" t="s">
        <v>647</v>
      </c>
      <c r="AM16" s="539">
        <v>34</v>
      </c>
    </row>
    <row r="17" spans="2:39" ht="17.25" hidden="1" customHeight="1">
      <c r="I17" s="585" t="s">
        <v>653</v>
      </c>
      <c r="J17" s="928"/>
      <c r="K17" s="585"/>
      <c r="L17" s="414"/>
      <c r="M17" s="414"/>
      <c r="N17" s="414"/>
      <c r="O17" s="414"/>
      <c r="Q17" s="863"/>
      <c r="AM17" s="578">
        <v>1</v>
      </c>
    </row>
    <row r="18" spans="2:39" ht="24" customHeight="1">
      <c r="I18" s="410"/>
      <c r="J18" s="63" t="s">
        <v>601</v>
      </c>
      <c r="K18" s="762"/>
      <c r="L18" s="955"/>
      <c r="M18" s="906"/>
      <c r="N18" s="462"/>
      <c r="O18" s="462"/>
      <c r="Q18" s="796" t="s">
        <v>602</v>
      </c>
      <c r="AM18" s="556">
        <v>23</v>
      </c>
    </row>
    <row r="19" spans="2:39" ht="19.899999999999999" customHeight="1">
      <c r="B19" s="952" t="s">
        <v>654</v>
      </c>
      <c r="C19" s="952" t="s">
        <v>655</v>
      </c>
      <c r="D19" s="953" t="s">
        <v>634</v>
      </c>
      <c r="E19" s="458" t="s">
        <v>645</v>
      </c>
      <c r="F19" s="458" t="s">
        <v>645</v>
      </c>
      <c r="I19" s="429">
        <v>3</v>
      </c>
      <c r="J19" s="620" t="s">
        <v>655</v>
      </c>
      <c r="K19" s="581" t="s">
        <v>564</v>
      </c>
      <c r="L19" s="454"/>
      <c r="M19" s="407"/>
      <c r="N19" s="454"/>
      <c r="O19" s="454"/>
      <c r="Q19" s="796" t="s">
        <v>656</v>
      </c>
      <c r="AM19" s="539">
        <v>19</v>
      </c>
    </row>
    <row r="20" spans="2:39" ht="77.650000000000006" customHeight="1">
      <c r="B20" s="952" t="s">
        <v>657</v>
      </c>
      <c r="C20" s="952" t="s">
        <v>658</v>
      </c>
      <c r="D20" s="953" t="s">
        <v>634</v>
      </c>
      <c r="E20" s="458" t="s">
        <v>645</v>
      </c>
      <c r="F20" s="458" t="s">
        <v>645</v>
      </c>
      <c r="I20" s="429">
        <v>4</v>
      </c>
      <c r="J20" s="620" t="s">
        <v>659</v>
      </c>
      <c r="K20" s="581" t="s">
        <v>598</v>
      </c>
      <c r="L20" s="454"/>
      <c r="M20" s="407"/>
      <c r="N20" s="454"/>
      <c r="O20" s="454"/>
      <c r="Q20" s="796"/>
      <c r="AM20" s="539">
        <v>74</v>
      </c>
    </row>
    <row r="21" spans="2:39" ht="35.65" customHeight="1">
      <c r="B21" s="952" t="s">
        <v>660</v>
      </c>
      <c r="C21" s="952" t="s">
        <v>661</v>
      </c>
      <c r="D21" s="953" t="s">
        <v>634</v>
      </c>
      <c r="E21" s="458" t="s">
        <v>645</v>
      </c>
      <c r="F21" s="458" t="s">
        <v>645</v>
      </c>
      <c r="I21" s="429">
        <v>5</v>
      </c>
      <c r="J21" s="620" t="s">
        <v>662</v>
      </c>
      <c r="K21" s="581" t="s">
        <v>598</v>
      </c>
      <c r="L21" s="454"/>
      <c r="M21" s="407"/>
      <c r="N21" s="454"/>
      <c r="O21" s="454"/>
      <c r="Q21" s="796" t="s">
        <v>656</v>
      </c>
      <c r="AM21" s="539">
        <v>34</v>
      </c>
    </row>
    <row r="22" spans="2:39" ht="48.2" customHeight="1">
      <c r="B22" s="952" t="s">
        <v>663</v>
      </c>
      <c r="C22" s="952" t="s">
        <v>664</v>
      </c>
      <c r="D22" s="953" t="s">
        <v>634</v>
      </c>
      <c r="E22" s="458" t="s">
        <v>645</v>
      </c>
      <c r="F22" s="458" t="s">
        <v>645</v>
      </c>
      <c r="I22" s="429">
        <v>6</v>
      </c>
      <c r="J22" s="620" t="s">
        <v>665</v>
      </c>
      <c r="K22" s="581" t="s">
        <v>598</v>
      </c>
      <c r="L22" s="454"/>
      <c r="M22" s="407"/>
      <c r="N22" s="454"/>
      <c r="O22" s="454"/>
      <c r="Q22" s="796" t="s">
        <v>666</v>
      </c>
      <c r="AM22" s="539">
        <v>46</v>
      </c>
    </row>
    <row r="23" spans="2:39" ht="19.899999999999999" customHeight="1">
      <c r="B23" s="952" t="s">
        <v>667</v>
      </c>
      <c r="C23" s="952" t="s">
        <v>668</v>
      </c>
      <c r="D23" s="953" t="s">
        <v>634</v>
      </c>
      <c r="E23" s="458" t="s">
        <v>645</v>
      </c>
      <c r="F23" s="458" t="s">
        <v>645</v>
      </c>
      <c r="I23" s="429" t="s">
        <v>669</v>
      </c>
      <c r="J23" s="889" t="s">
        <v>670</v>
      </c>
      <c r="K23" s="581" t="s">
        <v>598</v>
      </c>
      <c r="L23" s="454"/>
      <c r="M23" s="407"/>
      <c r="N23" s="454"/>
      <c r="O23" s="454"/>
      <c r="Q23" s="796" t="s">
        <v>656</v>
      </c>
      <c r="AM23" s="539">
        <v>19</v>
      </c>
    </row>
    <row r="24" spans="2:39" ht="19.899999999999999" customHeight="1">
      <c r="B24" s="952" t="s">
        <v>671</v>
      </c>
      <c r="C24" s="952" t="s">
        <v>672</v>
      </c>
      <c r="D24" s="953" t="s">
        <v>634</v>
      </c>
      <c r="E24" s="458" t="s">
        <v>645</v>
      </c>
      <c r="F24" s="458" t="s">
        <v>645</v>
      </c>
      <c r="I24" s="429" t="s">
        <v>673</v>
      </c>
      <c r="J24" s="889" t="s">
        <v>674</v>
      </c>
      <c r="K24" s="581" t="s">
        <v>598</v>
      </c>
      <c r="L24" s="454"/>
      <c r="M24" s="407"/>
      <c r="N24" s="454"/>
      <c r="O24" s="454"/>
      <c r="Q24" s="796"/>
      <c r="AM24" s="539">
        <v>19</v>
      </c>
    </row>
    <row r="25" spans="2:39" ht="24" customHeight="1">
      <c r="B25" s="952" t="s">
        <v>675</v>
      </c>
      <c r="C25" s="952" t="s">
        <v>676</v>
      </c>
      <c r="D25" s="953" t="s">
        <v>634</v>
      </c>
      <c r="E25" s="458" t="s">
        <v>645</v>
      </c>
      <c r="F25" s="458" t="s">
        <v>645</v>
      </c>
      <c r="I25" s="429" t="s">
        <v>677</v>
      </c>
      <c r="J25" s="889" t="s">
        <v>678</v>
      </c>
      <c r="K25" s="581" t="s">
        <v>598</v>
      </c>
      <c r="L25" s="454"/>
      <c r="M25" s="407"/>
      <c r="N25" s="454"/>
      <c r="O25" s="454"/>
      <c r="Q25" s="796"/>
      <c r="AM25" s="539">
        <v>23</v>
      </c>
    </row>
    <row r="26" spans="2:39" ht="24" customHeight="1">
      <c r="B26" s="952" t="s">
        <v>679</v>
      </c>
      <c r="C26" s="952" t="s">
        <v>680</v>
      </c>
      <c r="D26" s="953" t="s">
        <v>634</v>
      </c>
      <c r="E26" s="458" t="s">
        <v>645</v>
      </c>
      <c r="F26" s="458" t="s">
        <v>645</v>
      </c>
      <c r="I26" s="429">
        <v>7</v>
      </c>
      <c r="J26" s="620" t="s">
        <v>680</v>
      </c>
      <c r="K26" s="581" t="s">
        <v>681</v>
      </c>
      <c r="L26" s="454"/>
      <c r="M26" s="407"/>
      <c r="N26" s="454"/>
      <c r="O26" s="454"/>
      <c r="Q26" s="796"/>
      <c r="AM26" s="539">
        <v>23</v>
      </c>
    </row>
    <row r="27" spans="2:39" ht="24" customHeight="1">
      <c r="B27" s="952" t="s">
        <v>682</v>
      </c>
      <c r="C27" s="952" t="s">
        <v>683</v>
      </c>
      <c r="D27" s="953" t="s">
        <v>634</v>
      </c>
      <c r="E27" s="458" t="s">
        <v>645</v>
      </c>
      <c r="F27" s="458" t="s">
        <v>645</v>
      </c>
      <c r="I27" s="429">
        <v>8</v>
      </c>
      <c r="J27" s="620" t="s">
        <v>683</v>
      </c>
      <c r="K27" s="581" t="s">
        <v>604</v>
      </c>
      <c r="L27" s="454"/>
      <c r="M27" s="407"/>
      <c r="N27" s="454"/>
      <c r="O27" s="454"/>
      <c r="Q27" s="796"/>
      <c r="AM27" s="539">
        <v>23</v>
      </c>
    </row>
    <row r="28" spans="2:39" ht="35.65" customHeight="1">
      <c r="B28" s="952" t="s">
        <v>684</v>
      </c>
      <c r="C28" s="952" t="s">
        <v>685</v>
      </c>
      <c r="D28" s="953" t="s">
        <v>634</v>
      </c>
      <c r="E28" s="458" t="s">
        <v>645</v>
      </c>
      <c r="F28" s="458" t="s">
        <v>645</v>
      </c>
      <c r="I28" s="430">
        <v>9</v>
      </c>
      <c r="J28" s="620" t="s">
        <v>686</v>
      </c>
      <c r="K28" s="581" t="s">
        <v>568</v>
      </c>
      <c r="L28" s="454"/>
      <c r="M28" s="407"/>
      <c r="N28" s="454"/>
      <c r="O28" s="454"/>
      <c r="Q28" s="796"/>
      <c r="AM28" s="539">
        <v>34</v>
      </c>
    </row>
    <row r="29" spans="2:39" ht="35.65" customHeight="1">
      <c r="B29" s="952" t="s">
        <v>687</v>
      </c>
      <c r="C29" s="952" t="s">
        <v>688</v>
      </c>
      <c r="D29" s="953" t="s">
        <v>634</v>
      </c>
      <c r="E29" s="458" t="s">
        <v>645</v>
      </c>
      <c r="F29" s="458" t="s">
        <v>645</v>
      </c>
      <c r="I29" s="430">
        <v>10</v>
      </c>
      <c r="J29" s="620" t="s">
        <v>689</v>
      </c>
      <c r="K29" s="581" t="s">
        <v>568</v>
      </c>
      <c r="L29" s="454"/>
      <c r="M29" s="407"/>
      <c r="N29" s="454"/>
      <c r="O29" s="454"/>
      <c r="Q29" s="796"/>
      <c r="AM29" s="539">
        <v>34</v>
      </c>
    </row>
    <row r="30" spans="2:39" ht="24" customHeight="1">
      <c r="B30" s="952" t="s">
        <v>690</v>
      </c>
      <c r="C30" s="952" t="s">
        <v>691</v>
      </c>
      <c r="D30" s="953" t="s">
        <v>634</v>
      </c>
      <c r="E30" s="458" t="s">
        <v>645</v>
      </c>
      <c r="F30" s="458" t="s">
        <v>645</v>
      </c>
      <c r="I30" s="430">
        <v>11</v>
      </c>
      <c r="J30" s="620" t="s">
        <v>691</v>
      </c>
      <c r="K30" s="581" t="s">
        <v>605</v>
      </c>
      <c r="L30" s="463"/>
      <c r="M30" s="124"/>
      <c r="N30" s="463"/>
      <c r="O30" s="463"/>
      <c r="Q30" s="796"/>
      <c r="AM30" s="539">
        <v>23</v>
      </c>
    </row>
    <row r="31" spans="2:39" ht="24" customHeight="1">
      <c r="B31" s="952" t="s">
        <v>692</v>
      </c>
      <c r="C31" s="952" t="s">
        <v>693</v>
      </c>
      <c r="D31" s="953" t="s">
        <v>634</v>
      </c>
      <c r="E31" s="458" t="s">
        <v>645</v>
      </c>
      <c r="F31" s="458" t="s">
        <v>645</v>
      </c>
      <c r="I31" s="430">
        <v>12</v>
      </c>
      <c r="J31" s="620" t="s">
        <v>693</v>
      </c>
      <c r="K31" s="581" t="s">
        <v>605</v>
      </c>
      <c r="L31" s="463"/>
      <c r="M31" s="124"/>
      <c r="N31" s="463"/>
      <c r="O31" s="463"/>
      <c r="Q31" s="796"/>
      <c r="AM31" s="539">
        <v>23</v>
      </c>
    </row>
    <row r="32" spans="2:39" ht="48.2" customHeight="1">
      <c r="B32" s="952" t="s">
        <v>694</v>
      </c>
      <c r="C32" s="952" t="s">
        <v>695</v>
      </c>
      <c r="D32" s="953" t="s">
        <v>634</v>
      </c>
      <c r="E32" s="458" t="s">
        <v>645</v>
      </c>
      <c r="F32" s="458" t="s">
        <v>645</v>
      </c>
      <c r="I32" s="430">
        <v>13</v>
      </c>
      <c r="J32" s="620" t="s">
        <v>696</v>
      </c>
      <c r="K32" s="581" t="s">
        <v>615</v>
      </c>
      <c r="L32" s="454"/>
      <c r="M32" s="407"/>
      <c r="N32" s="454"/>
      <c r="O32" s="454"/>
      <c r="Q32" s="796" t="s">
        <v>656</v>
      </c>
      <c r="AM32" s="539">
        <v>46</v>
      </c>
    </row>
    <row r="33" spans="2:39" ht="48.2" customHeight="1">
      <c r="B33" s="952" t="s">
        <v>697</v>
      </c>
      <c r="C33" s="952" t="s">
        <v>698</v>
      </c>
      <c r="D33" s="953" t="s">
        <v>634</v>
      </c>
      <c r="E33" s="458" t="s">
        <v>645</v>
      </c>
      <c r="F33" s="458" t="s">
        <v>645</v>
      </c>
      <c r="I33" s="430">
        <v>14</v>
      </c>
      <c r="J33" s="623" t="s">
        <v>699</v>
      </c>
      <c r="K33" s="615" t="s">
        <v>700</v>
      </c>
      <c r="L33" s="454"/>
      <c r="M33" s="407"/>
      <c r="N33" s="454"/>
      <c r="O33" s="454"/>
      <c r="Q33" s="796" t="s">
        <v>656</v>
      </c>
      <c r="AM33" s="556">
        <v>46</v>
      </c>
    </row>
    <row r="34" spans="2:39" ht="108" customHeight="1">
      <c r="B34" s="952" t="s">
        <v>701</v>
      </c>
      <c r="C34" s="952" t="s">
        <v>702</v>
      </c>
      <c r="D34" s="953" t="s">
        <v>644</v>
      </c>
      <c r="E34" s="458" t="s">
        <v>645</v>
      </c>
      <c r="F34" s="458" t="s">
        <v>645</v>
      </c>
      <c r="G34" s="578" t="s">
        <v>603</v>
      </c>
      <c r="I34" s="55">
        <v>15</v>
      </c>
      <c r="J34" s="620" t="s">
        <v>703</v>
      </c>
      <c r="K34" s="581" t="s">
        <v>314</v>
      </c>
      <c r="L34" s="297"/>
      <c r="M34" s="133"/>
      <c r="N34" s="297"/>
      <c r="O34" s="297"/>
      <c r="Q34" s="796" t="s">
        <v>648</v>
      </c>
      <c r="AM34" s="539">
        <v>103</v>
      </c>
    </row>
    <row r="35" spans="2:39" ht="11.45" customHeight="1">
      <c r="N35"/>
      <c r="O35"/>
      <c r="AM35" s="682">
        <v>11</v>
      </c>
    </row>
    <row r="36" spans="2:39" ht="11.45" customHeight="1">
      <c r="N36"/>
      <c r="O36"/>
      <c r="AM36" s="682">
        <v>11</v>
      </c>
    </row>
    <row r="37" spans="2:39" ht="11.45" customHeight="1">
      <c r="N37"/>
      <c r="O37"/>
      <c r="AM37" s="682">
        <v>11</v>
      </c>
    </row>
    <row r="38" spans="2:39" ht="11.45" customHeight="1">
      <c r="N38"/>
      <c r="O38"/>
      <c r="AM38" s="682">
        <v>11</v>
      </c>
    </row>
    <row r="39" spans="2:39" ht="11.45" customHeight="1">
      <c r="N39"/>
      <c r="O39"/>
      <c r="AM39" s="682">
        <v>11</v>
      </c>
    </row>
    <row r="40" spans="2:39" ht="11.45" customHeight="1">
      <c r="AM40" s="682">
        <v>11</v>
      </c>
    </row>
    <row r="41" spans="2:39" ht="11.45" customHeight="1">
      <c r="AM41" s="682">
        <v>11</v>
      </c>
    </row>
    <row r="42" spans="2:39" ht="11.45" customHeight="1">
      <c r="AM42" s="682">
        <v>11</v>
      </c>
    </row>
    <row r="43" spans="2:39" ht="11.45" customHeight="1">
      <c r="AM43" s="682">
        <v>11</v>
      </c>
    </row>
    <row r="44" spans="2:39" ht="11.45" customHeight="1">
      <c r="AM44" s="682">
        <v>11</v>
      </c>
    </row>
    <row r="45" spans="2:39" ht="11.45" customHeight="1">
      <c r="AM45" s="682">
        <v>11</v>
      </c>
    </row>
    <row r="46" spans="2:39" ht="11.45" customHeight="1">
      <c r="AM46" s="682">
        <v>11</v>
      </c>
    </row>
    <row r="47" spans="2:39" ht="11.45" customHeight="1">
      <c r="AM47" s="682">
        <v>11</v>
      </c>
    </row>
    <row r="48" spans="2:39" ht="11.45" customHeight="1">
      <c r="AM48" s="682">
        <v>11</v>
      </c>
    </row>
    <row r="49" spans="39:39" ht="11.45" customHeight="1">
      <c r="AM49" s="682">
        <v>11</v>
      </c>
    </row>
    <row r="50" spans="39:39" ht="11.45" customHeight="1">
      <c r="AM50" s="682">
        <v>11</v>
      </c>
    </row>
    <row r="51" spans="39:39" ht="11.45" customHeight="1">
      <c r="AM51" s="682">
        <v>11</v>
      </c>
    </row>
    <row r="52" spans="39:39" ht="11.45" customHeight="1">
      <c r="AM52" s="682">
        <v>11</v>
      </c>
    </row>
    <row r="53" spans="39:39" ht="11.45" customHeight="1">
      <c r="AM53" s="682">
        <v>11</v>
      </c>
    </row>
    <row r="54" spans="39:39" ht="11.45" customHeight="1">
      <c r="AM54" s="682">
        <v>11</v>
      </c>
    </row>
    <row r="55" spans="39:39" ht="11.45" customHeight="1">
      <c r="AM55" s="682">
        <v>11</v>
      </c>
    </row>
    <row r="56" spans="39:39" ht="11.45" customHeight="1">
      <c r="AM56" s="682">
        <v>11</v>
      </c>
    </row>
    <row r="57" spans="39:39" ht="11.45" customHeight="1">
      <c r="AM57" s="682">
        <v>11</v>
      </c>
    </row>
    <row r="58" spans="39:39" ht="11.45" customHeight="1">
      <c r="AM58" s="682">
        <v>11</v>
      </c>
    </row>
    <row r="59" spans="39:39" ht="11.45" customHeight="1">
      <c r="AM59" s="682">
        <v>11</v>
      </c>
    </row>
    <row r="60" spans="39:39" ht="11.45" customHeight="1">
      <c r="AM60" s="682">
        <v>11</v>
      </c>
    </row>
    <row r="61" spans="39:39" ht="11.45" customHeight="1">
      <c r="AM61" s="682">
        <v>11</v>
      </c>
    </row>
    <row r="62" spans="39:39" ht="11.45" customHeight="1">
      <c r="AM62" s="682">
        <v>11</v>
      </c>
    </row>
    <row r="63" spans="39:39" ht="11.45" customHeight="1">
      <c r="AM63" s="682">
        <v>11</v>
      </c>
    </row>
    <row r="64" spans="39:39" ht="11.45" customHeight="1">
      <c r="AM64" s="682">
        <v>11</v>
      </c>
    </row>
    <row r="65" spans="39:39" ht="11.45" customHeight="1">
      <c r="AM65" s="682">
        <v>11</v>
      </c>
    </row>
    <row r="66" spans="39:39" ht="11.45" customHeight="1">
      <c r="AM66" s="682">
        <v>11</v>
      </c>
    </row>
    <row r="67" spans="39:39" ht="11.45" customHeight="1">
      <c r="AM67" s="682">
        <v>11</v>
      </c>
    </row>
    <row r="68" spans="39:39" ht="11.45" customHeight="1">
      <c r="AM68" s="682">
        <v>11</v>
      </c>
    </row>
    <row r="69" spans="39:39" ht="11.45" customHeight="1">
      <c r="AM69" s="682">
        <v>11</v>
      </c>
    </row>
    <row r="70" spans="39:39" ht="11.45" customHeight="1">
      <c r="AM70" s="682">
        <v>11</v>
      </c>
    </row>
    <row r="71" spans="39:39" ht="11.45" customHeight="1">
      <c r="AM71" s="682">
        <v>11</v>
      </c>
    </row>
    <row r="72" spans="39:39" ht="11.45" customHeight="1">
      <c r="AM72" s="682">
        <v>11</v>
      </c>
    </row>
    <row r="73" spans="39:39" ht="11.45" customHeight="1">
      <c r="AM73" s="682">
        <v>11</v>
      </c>
    </row>
    <row r="74" spans="39:39" ht="11.45" customHeight="1">
      <c r="AM74" s="682">
        <v>11</v>
      </c>
    </row>
    <row r="75" spans="39:39" ht="11.45" customHeight="1">
      <c r="AM75" s="682">
        <v>11</v>
      </c>
    </row>
    <row r="76" spans="39:39" ht="11.45" customHeight="1">
      <c r="AM76" s="682">
        <v>11</v>
      </c>
    </row>
    <row r="77" spans="39:39" ht="11.45" customHeight="1">
      <c r="AM77" s="682">
        <v>11</v>
      </c>
    </row>
    <row r="78" spans="39:39" ht="11.45" customHeight="1">
      <c r="AM78" s="682">
        <v>11</v>
      </c>
    </row>
    <row r="79" spans="39:39" ht="11.45" customHeight="1">
      <c r="AM79" s="682">
        <v>11</v>
      </c>
    </row>
    <row r="80" spans="39:39" ht="11.45" customHeight="1">
      <c r="AM80" s="682">
        <v>11</v>
      </c>
    </row>
    <row r="81" spans="39:39" ht="11.45" customHeight="1">
      <c r="AM81" s="682">
        <v>11</v>
      </c>
    </row>
    <row r="82" spans="39:39" ht="11.45" customHeight="1">
      <c r="AM82" s="682">
        <v>11</v>
      </c>
    </row>
    <row r="83" spans="39:39" ht="11.45" customHeight="1">
      <c r="AM83" s="682">
        <v>11</v>
      </c>
    </row>
    <row r="84" spans="39:39" ht="11.45" customHeight="1">
      <c r="AM84" s="682">
        <v>11</v>
      </c>
    </row>
    <row r="85" spans="39:39" ht="11.45" customHeight="1">
      <c r="AM85" s="682">
        <v>11</v>
      </c>
    </row>
    <row r="86" spans="39:39" ht="11.45" customHeight="1">
      <c r="AM86" s="682">
        <v>11</v>
      </c>
    </row>
    <row r="87" spans="39:39" ht="11.45" customHeight="1">
      <c r="AM87" s="682">
        <v>11</v>
      </c>
    </row>
    <row r="88" spans="39:39" ht="11.45" customHeight="1">
      <c r="AM88" s="682">
        <v>11</v>
      </c>
    </row>
    <row r="89" spans="39:39" ht="11.45" customHeight="1">
      <c r="AM89" s="682">
        <v>11</v>
      </c>
    </row>
    <row r="90" spans="39:39" ht="11.45" customHeight="1">
      <c r="AM90" s="682">
        <v>11</v>
      </c>
    </row>
    <row r="91" spans="39:39" ht="11.45" customHeight="1">
      <c r="AM91" s="682">
        <v>11</v>
      </c>
    </row>
    <row r="92" spans="39:39" ht="11.45" customHeight="1">
      <c r="AM92" s="682">
        <v>11</v>
      </c>
    </row>
    <row r="93" spans="39:39" ht="11.45" customHeight="1">
      <c r="AM93" s="682">
        <v>11</v>
      </c>
    </row>
    <row r="94" spans="39:39" ht="11.45" customHeight="1">
      <c r="AM94" s="682">
        <v>11</v>
      </c>
    </row>
    <row r="95" spans="39:39" ht="11.45" customHeight="1">
      <c r="AM95" s="682">
        <v>11</v>
      </c>
    </row>
    <row r="96" spans="39:39" ht="11.45" customHeight="1">
      <c r="AM96" s="682">
        <v>11</v>
      </c>
    </row>
    <row r="97" spans="39:39" ht="11.45" customHeight="1">
      <c r="AM97" s="682">
        <v>11</v>
      </c>
    </row>
    <row r="98" spans="39:39" ht="11.45" customHeight="1">
      <c r="AM98" s="682">
        <v>11</v>
      </c>
    </row>
    <row r="99" spans="39:39" ht="11.45" customHeight="1">
      <c r="AM99" s="682">
        <v>11</v>
      </c>
    </row>
    <row r="100" spans="39:39" ht="11.45" customHeight="1">
      <c r="AM100" s="682">
        <v>11</v>
      </c>
    </row>
    <row r="101" spans="39:39" ht="11.45" customHeight="1">
      <c r="AM101" s="682">
        <v>11</v>
      </c>
    </row>
    <row r="102" spans="39:39" ht="11.45" customHeight="1">
      <c r="AM102" s="682">
        <v>11</v>
      </c>
    </row>
    <row r="103" spans="39:39" ht="11.45" customHeight="1">
      <c r="AM103" s="682">
        <v>11</v>
      </c>
    </row>
    <row r="104" spans="39:39" ht="11.45" customHeight="1">
      <c r="AM104" s="682">
        <v>11</v>
      </c>
    </row>
    <row r="105" spans="39:39" ht="11.45" customHeight="1">
      <c r="AM105" s="682">
        <v>11</v>
      </c>
    </row>
    <row r="106" spans="39:39" ht="11.45" customHeight="1">
      <c r="AM106" s="682">
        <v>11</v>
      </c>
    </row>
    <row r="107" spans="39:39" ht="11.45" customHeight="1">
      <c r="AM107" s="682">
        <v>11</v>
      </c>
    </row>
    <row r="108" spans="39:39" ht="11.45" customHeight="1">
      <c r="AM108" s="682">
        <v>11</v>
      </c>
    </row>
    <row r="109" spans="39:39" ht="11.45" customHeight="1">
      <c r="AM109" s="682">
        <v>11</v>
      </c>
    </row>
    <row r="110" spans="39:39" ht="11.45" customHeight="1">
      <c r="AM110" s="682">
        <v>11</v>
      </c>
    </row>
    <row r="111" spans="39:39" ht="11.45" customHeight="1">
      <c r="AM111" s="682">
        <v>11</v>
      </c>
    </row>
    <row r="112" spans="39:39" ht="11.45" customHeight="1">
      <c r="AM112" s="682">
        <v>11</v>
      </c>
    </row>
    <row r="113" spans="39:39" ht="11.45" customHeight="1">
      <c r="AM113" s="682">
        <v>11</v>
      </c>
    </row>
    <row r="114" spans="39:39" ht="11.45" customHeight="1">
      <c r="AM114" s="682">
        <v>11</v>
      </c>
    </row>
    <row r="115" spans="39:39" ht="11.45" customHeight="1">
      <c r="AM115" s="682">
        <v>11</v>
      </c>
    </row>
    <row r="116" spans="39:39" ht="11.45" customHeight="1">
      <c r="AM116" s="682">
        <v>11</v>
      </c>
    </row>
    <row r="117" spans="39:39" ht="11.45" customHeight="1">
      <c r="AM117" s="682">
        <v>11</v>
      </c>
    </row>
    <row r="118" spans="39:39" ht="11.45" customHeight="1">
      <c r="AM118" s="682">
        <v>11</v>
      </c>
    </row>
    <row r="119" spans="39:39" ht="11.45" customHeight="1">
      <c r="AM119" s="682">
        <v>11</v>
      </c>
    </row>
    <row r="120" spans="39:39" ht="11.45" customHeight="1">
      <c r="AM120" s="682">
        <v>11</v>
      </c>
    </row>
    <row r="121" spans="39:39" ht="11.45" customHeight="1">
      <c r="AM121" s="682">
        <v>11</v>
      </c>
    </row>
    <row r="122" spans="39:39" ht="11.45" customHeight="1">
      <c r="AM122" s="682">
        <v>11</v>
      </c>
    </row>
    <row r="123" spans="39:39" ht="11.45" customHeight="1">
      <c r="AM123" s="682">
        <v>11</v>
      </c>
    </row>
    <row r="124" spans="39:39" ht="11.45" customHeight="1">
      <c r="AM124" s="682">
        <v>11</v>
      </c>
    </row>
    <row r="125" spans="39:39" ht="11.45" customHeight="1">
      <c r="AM125" s="682">
        <v>11</v>
      </c>
    </row>
    <row r="126" spans="39:39" ht="11.45" customHeight="1">
      <c r="AM126" s="682">
        <v>11</v>
      </c>
    </row>
    <row r="127" spans="39:39" ht="11.45" customHeight="1">
      <c r="AM127" s="682">
        <v>11</v>
      </c>
    </row>
    <row r="128" spans="39:39" ht="11.45" customHeight="1">
      <c r="AM128" s="682">
        <v>11</v>
      </c>
    </row>
    <row r="129" spans="39:39" ht="11.45" customHeight="1">
      <c r="AM129" s="682">
        <v>11</v>
      </c>
    </row>
    <row r="130" spans="39:39" ht="11.45" customHeight="1">
      <c r="AM130" s="682">
        <v>11</v>
      </c>
    </row>
    <row r="131" spans="39:39" ht="11.45" customHeight="1">
      <c r="AM131" s="682">
        <v>11</v>
      </c>
    </row>
    <row r="132" spans="39:39" ht="11.45" customHeight="1">
      <c r="AM132" s="682">
        <v>11</v>
      </c>
    </row>
    <row r="133" spans="39:39" ht="11.45" customHeight="1">
      <c r="AM133" s="682">
        <v>11</v>
      </c>
    </row>
    <row r="134" spans="39:39" ht="11.45" customHeight="1">
      <c r="AM134" s="682">
        <v>11</v>
      </c>
    </row>
    <row r="135" spans="39:39" ht="11.45" customHeight="1">
      <c r="AM135" s="682">
        <v>11</v>
      </c>
    </row>
    <row r="136" spans="39:39" ht="11.45" customHeight="1">
      <c r="AM136" s="682">
        <v>11</v>
      </c>
    </row>
    <row r="137" spans="39:39" ht="11.45" customHeight="1">
      <c r="AM137" s="682">
        <v>11</v>
      </c>
    </row>
    <row r="138" spans="39:39" ht="11.45" customHeight="1">
      <c r="AM138" s="682">
        <v>11</v>
      </c>
    </row>
    <row r="139" spans="39:39" ht="11.45" customHeight="1">
      <c r="AM139" s="682">
        <v>11</v>
      </c>
    </row>
    <row r="140" spans="39:39" ht="11.45" customHeight="1">
      <c r="AM140" s="682">
        <v>11</v>
      </c>
    </row>
    <row r="141" spans="39:39" ht="11.45" customHeight="1">
      <c r="AM141" s="682">
        <v>11</v>
      </c>
    </row>
    <row r="142" spans="39:39" ht="11.45" customHeight="1">
      <c r="AM142" s="682">
        <v>11</v>
      </c>
    </row>
    <row r="143" spans="39:39" ht="11.45" customHeight="1">
      <c r="AM143" s="682">
        <v>11</v>
      </c>
    </row>
    <row r="144" spans="39:39" ht="11.45" customHeight="1">
      <c r="AM144" s="682">
        <v>11</v>
      </c>
    </row>
    <row r="145" spans="39:39" ht="11.45" customHeight="1">
      <c r="AM145" s="682">
        <v>11</v>
      </c>
    </row>
    <row r="146" spans="39:39" ht="11.45" customHeight="1">
      <c r="AM146" s="682">
        <v>11</v>
      </c>
    </row>
    <row r="147" spans="39:39" ht="11.45" customHeight="1">
      <c r="AM147" s="682">
        <v>11</v>
      </c>
    </row>
    <row r="148" spans="39:39" ht="11.45" customHeight="1">
      <c r="AM148" s="682">
        <v>11</v>
      </c>
    </row>
    <row r="149" spans="39:39" ht="11.45" customHeight="1">
      <c r="AM149" s="682">
        <v>11</v>
      </c>
    </row>
    <row r="150" spans="39:39" ht="11.45" customHeight="1">
      <c r="AM150" s="682">
        <v>11</v>
      </c>
    </row>
    <row r="151" spans="39:39" ht="11.45" customHeight="1">
      <c r="AM151" s="682">
        <v>11</v>
      </c>
    </row>
    <row r="152" spans="39:39" ht="11.45" customHeight="1">
      <c r="AM152" s="682">
        <v>11</v>
      </c>
    </row>
    <row r="153" spans="39:39" ht="11.45" customHeight="1">
      <c r="AM153" s="682">
        <v>11</v>
      </c>
    </row>
    <row r="154" spans="39:39" ht="11.45" customHeight="1">
      <c r="AM154" s="682">
        <v>11</v>
      </c>
    </row>
    <row r="155" spans="39:39" ht="11.45" customHeight="1">
      <c r="AM155" s="682">
        <v>11</v>
      </c>
    </row>
    <row r="156" spans="39:39" ht="11.45" customHeight="1">
      <c r="AM156" s="682">
        <v>11</v>
      </c>
    </row>
    <row r="157" spans="39:39" ht="11.45" customHeight="1">
      <c r="AM157" s="682">
        <v>11</v>
      </c>
    </row>
    <row r="158" spans="39:39" ht="11.45" customHeight="1">
      <c r="AM158" s="682">
        <v>11</v>
      </c>
    </row>
    <row r="159" spans="39:39" ht="11.45" customHeight="1">
      <c r="AM159" s="682">
        <v>11</v>
      </c>
    </row>
    <row r="160" spans="39:39" ht="11.45" customHeight="1">
      <c r="AM160" s="682">
        <v>11</v>
      </c>
    </row>
    <row r="161" spans="39:39" ht="11.45" customHeight="1">
      <c r="AM161" s="682">
        <v>11</v>
      </c>
    </row>
    <row r="162" spans="39:39" ht="11.45" customHeight="1">
      <c r="AM162" s="682">
        <v>11</v>
      </c>
    </row>
    <row r="163" spans="39:39" ht="11.45" customHeight="1">
      <c r="AM163" s="682">
        <v>11</v>
      </c>
    </row>
    <row r="164" spans="39:39" ht="11.45" customHeight="1">
      <c r="AM164" s="682">
        <v>11</v>
      </c>
    </row>
    <row r="165" spans="39:39" ht="11.45" customHeight="1">
      <c r="AM165" s="682">
        <v>11</v>
      </c>
    </row>
    <row r="166" spans="39:39" ht="11.45" customHeight="1">
      <c r="AM166" s="682">
        <v>11</v>
      </c>
    </row>
    <row r="167" spans="39:39" ht="11.45" customHeight="1">
      <c r="AM167" s="682">
        <v>11</v>
      </c>
    </row>
    <row r="168" spans="39:39" ht="11.45" customHeight="1">
      <c r="AM168" s="682">
        <v>11</v>
      </c>
    </row>
    <row r="169" spans="39:39" ht="11.45" customHeight="1">
      <c r="AM169" s="682">
        <v>11</v>
      </c>
    </row>
    <row r="170" spans="39:39" ht="11.45" customHeight="1">
      <c r="AM170" s="682">
        <v>11</v>
      </c>
    </row>
    <row r="171" spans="39:39" ht="11.45" customHeight="1">
      <c r="AM171" s="682">
        <v>11</v>
      </c>
    </row>
    <row r="172" spans="39:39" ht="11.45" customHeight="1">
      <c r="AM172" s="682">
        <v>11</v>
      </c>
    </row>
    <row r="173" spans="39:39" ht="11.45" customHeight="1">
      <c r="AM173" s="682">
        <v>11</v>
      </c>
    </row>
    <row r="174" spans="39:39" ht="11.45" customHeight="1">
      <c r="AM174" s="682">
        <v>11</v>
      </c>
    </row>
    <row r="175" spans="39:39" ht="11.45" customHeight="1">
      <c r="AM175" s="682">
        <v>11</v>
      </c>
    </row>
    <row r="176" spans="39:39" ht="11.45" customHeight="1">
      <c r="AM176" s="682">
        <v>11</v>
      </c>
    </row>
    <row r="177" spans="39:39" ht="11.45" customHeight="1">
      <c r="AM177" s="682">
        <v>11</v>
      </c>
    </row>
    <row r="178" spans="39:39" ht="11.45" customHeight="1">
      <c r="AM178" s="682">
        <v>11</v>
      </c>
    </row>
    <row r="179" spans="39:39" ht="11.45" customHeight="1">
      <c r="AM179" s="682">
        <v>11</v>
      </c>
    </row>
    <row r="180" spans="39:39" ht="11.45" customHeight="1">
      <c r="AM180" s="682">
        <v>11</v>
      </c>
    </row>
    <row r="181" spans="39:39" ht="11.45" customHeight="1">
      <c r="AM181" s="682">
        <v>11</v>
      </c>
    </row>
    <row r="182" spans="39:39" ht="11.45" customHeight="1">
      <c r="AM182" s="682">
        <v>11</v>
      </c>
    </row>
    <row r="183" spans="39:39" ht="11.45" customHeight="1">
      <c r="AM183" s="682">
        <v>11</v>
      </c>
    </row>
    <row r="184" spans="39:39" ht="11.45" customHeight="1">
      <c r="AM184" s="682">
        <v>11</v>
      </c>
    </row>
    <row r="185" spans="39:39" ht="11.45" customHeight="1">
      <c r="AM185" s="682">
        <v>11</v>
      </c>
    </row>
    <row r="186" spans="39:39" ht="11.45" customHeight="1">
      <c r="AM186" s="682">
        <v>11</v>
      </c>
    </row>
    <row r="187" spans="39:39" ht="11.45" customHeight="1">
      <c r="AM187" s="682">
        <v>11</v>
      </c>
    </row>
    <row r="188" spans="39:39" ht="11.45" customHeight="1">
      <c r="AM188" s="682">
        <v>11</v>
      </c>
    </row>
    <row r="189" spans="39:39" ht="11.45" customHeight="1">
      <c r="AM189" s="682">
        <v>11</v>
      </c>
    </row>
    <row r="190" spans="39:39" ht="11.45" customHeight="1">
      <c r="AM190" s="539">
        <v>11</v>
      </c>
    </row>
    <row r="191" spans="39:39" ht="11.45" customHeight="1">
      <c r="AM191" s="539">
        <v>11</v>
      </c>
    </row>
    <row r="192" spans="39:39" ht="11.45" customHeight="1">
      <c r="AM192" s="539">
        <v>11</v>
      </c>
    </row>
    <row r="193" spans="1:39" ht="11.45" customHeight="1">
      <c r="AM193" s="539">
        <v>11</v>
      </c>
    </row>
    <row r="194" spans="1:39" ht="11.45" customHeight="1">
      <c r="AM194" s="539">
        <v>11</v>
      </c>
    </row>
    <row r="195" spans="1:39" ht="11.45" customHeight="1">
      <c r="AM195" s="539">
        <v>11</v>
      </c>
    </row>
    <row r="196" spans="1:39" ht="11.45" customHeight="1">
      <c r="AM196" s="539">
        <v>11</v>
      </c>
    </row>
    <row r="197" spans="1:39" ht="11.45" customHeight="1">
      <c r="AM197" s="539">
        <v>11</v>
      </c>
    </row>
    <row r="198" spans="1:39" ht="11.45" customHeight="1">
      <c r="AM198" s="539">
        <v>11</v>
      </c>
    </row>
    <row r="199" spans="1:39" ht="11.45" customHeight="1">
      <c r="AM199" s="539">
        <v>11</v>
      </c>
    </row>
    <row r="200" spans="1:39" ht="11.45" customHeight="1">
      <c r="AM200" s="539">
        <v>11</v>
      </c>
    </row>
    <row r="201" spans="1:39" ht="11.45" customHeight="1">
      <c r="AM201" s="539">
        <v>11</v>
      </c>
    </row>
    <row r="202" spans="1:39" ht="11.45" customHeight="1">
      <c r="AM202" s="539">
        <v>11</v>
      </c>
    </row>
    <row r="203" spans="1:39" ht="11.45" customHeight="1">
      <c r="AM203" s="539">
        <v>11</v>
      </c>
    </row>
    <row r="204" spans="1:39" ht="12.75" hidden="1" customHeight="1">
      <c r="A204" s="424" t="s">
        <v>81</v>
      </c>
      <c r="B204" s="424" t="s">
        <v>159</v>
      </c>
      <c r="C204" s="424" t="s">
        <v>159</v>
      </c>
      <c r="D204" s="424" t="s">
        <v>159</v>
      </c>
      <c r="E204" s="424" t="s">
        <v>159</v>
      </c>
      <c r="F204" s="539">
        <v>16</v>
      </c>
      <c r="G204" s="578">
        <v>0</v>
      </c>
      <c r="H204" s="539">
        <v>3</v>
      </c>
      <c r="I204" s="539">
        <v>7</v>
      </c>
      <c r="J204" s="539">
        <v>56</v>
      </c>
      <c r="K204" s="539">
        <v>10</v>
      </c>
      <c r="L204" s="539">
        <v>40</v>
      </c>
      <c r="M204" s="539">
        <v>40</v>
      </c>
      <c r="N204" s="3">
        <v>40</v>
      </c>
      <c r="O204" s="3">
        <v>40</v>
      </c>
      <c r="P204" s="556">
        <v>9</v>
      </c>
      <c r="Q204" s="539">
        <v>102</v>
      </c>
      <c r="R204" s="556">
        <v>9</v>
      </c>
      <c r="S204" s="578">
        <v>5</v>
      </c>
      <c r="T204" s="578">
        <v>3</v>
      </c>
      <c r="U204" s="556">
        <v>3</v>
      </c>
      <c r="V204" s="556">
        <v>3</v>
      </c>
      <c r="W204" s="556">
        <v>3</v>
      </c>
      <c r="X204" s="556">
        <v>3</v>
      </c>
      <c r="Y204" s="578">
        <v>10</v>
      </c>
      <c r="Z204" s="556">
        <v>34</v>
      </c>
      <c r="AA204" s="556">
        <v>9</v>
      </c>
      <c r="AB204" s="937">
        <v>8</v>
      </c>
      <c r="AC204" s="556">
        <v>8</v>
      </c>
      <c r="AD204" s="556">
        <v>8</v>
      </c>
      <c r="AE204" s="556">
        <v>8</v>
      </c>
      <c r="AF204" s="556">
        <v>8</v>
      </c>
      <c r="AG204" s="556">
        <v>8</v>
      </c>
      <c r="AH204" s="537">
        <v>8</v>
      </c>
      <c r="AI204" s="537">
        <v>8</v>
      </c>
      <c r="AJ204" s="537">
        <v>8</v>
      </c>
      <c r="AK204" s="537">
        <v>8</v>
      </c>
      <c r="AL204" s="537">
        <v>8</v>
      </c>
      <c r="AM204" s="539">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030" hidden="1"/>
    <col min="5" max="7" width="9.140625" style="1030" hidden="1" customWidth="1"/>
    <col min="8" max="8" width="3" style="1030" customWidth="1"/>
    <col min="9" max="9" width="6" style="1030" customWidth="1"/>
    <col min="10" max="10" width="63" style="1030" customWidth="1"/>
    <col min="11" max="11" width="9" style="1030" customWidth="1"/>
    <col min="12" max="12" width="39" style="1030" customWidth="1"/>
    <col min="13" max="13" width="89" style="1030" customWidth="1"/>
    <col min="14" max="22" width="10" style="1030" customWidth="1"/>
    <col min="23" max="23" width="10.5703125" style="1030" hidden="1"/>
  </cols>
  <sheetData>
    <row r="1" spans="1:23" ht="22.5" hidden="1" customHeight="1">
      <c r="W1" s="539" t="s">
        <v>14</v>
      </c>
    </row>
    <row r="2" spans="1:23" ht="22.5" hidden="1" customHeight="1">
      <c r="B2" s="952" t="s">
        <v>704</v>
      </c>
      <c r="C2" s="952" t="s">
        <v>705</v>
      </c>
      <c r="D2" s="953" t="s">
        <v>644</v>
      </c>
      <c r="E2" s="458">
        <f>I2-3</f>
        <v>-3</v>
      </c>
      <c r="F2" s="458">
        <f>J2</f>
        <v>0</v>
      </c>
      <c r="H2" s="375" t="s">
        <v>103</v>
      </c>
      <c r="I2" s="91"/>
      <c r="J2" s="103"/>
      <c r="K2" s="581" t="s">
        <v>314</v>
      </c>
      <c r="L2" s="133"/>
      <c r="M2" s="832"/>
      <c r="W2" s="539">
        <v>0</v>
      </c>
    </row>
    <row r="3" spans="1:23" ht="14.25" hidden="1" customHeight="1">
      <c r="W3" s="539">
        <v>0</v>
      </c>
    </row>
    <row r="4" spans="1:23" ht="6.4" customHeight="1">
      <c r="H4" s="757"/>
      <c r="I4" s="557"/>
      <c r="J4" s="557"/>
      <c r="K4" s="557"/>
      <c r="L4" s="814"/>
      <c r="M4" s="814"/>
      <c r="W4" s="539">
        <v>6</v>
      </c>
    </row>
    <row r="5" spans="1:23" ht="50.25" customHeight="1">
      <c r="H5" s="757"/>
      <c r="I5" s="1174" t="s">
        <v>706</v>
      </c>
      <c r="J5" s="1174"/>
      <c r="K5" s="1174"/>
      <c r="L5" s="1174"/>
      <c r="W5" s="539">
        <v>48</v>
      </c>
    </row>
    <row r="6" spans="1:23" ht="18" customHeight="1">
      <c r="H6" s="757"/>
      <c r="I6" s="1148" t="str">
        <f>IF(org=0,"Не определено",org)</f>
        <v>АО "НИЖЕГОРОДСКИЙ ВОДОКАНАЛ"</v>
      </c>
      <c r="J6" s="1148"/>
      <c r="K6" s="1148"/>
      <c r="L6" s="1148"/>
      <c r="W6" s="539">
        <v>17</v>
      </c>
    </row>
    <row r="7" spans="1:23" ht="14.65" customHeight="1">
      <c r="H7" s="757"/>
      <c r="I7" s="557"/>
      <c r="J7" s="552"/>
      <c r="K7" s="552"/>
      <c r="L7" s="630"/>
      <c r="M7" s="815"/>
      <c r="W7" s="539">
        <v>14</v>
      </c>
    </row>
    <row r="8" spans="1:23" ht="14.65" customHeight="1">
      <c r="H8" s="757"/>
      <c r="I8" s="1293" t="s">
        <v>308</v>
      </c>
      <c r="J8" s="1294"/>
      <c r="K8" s="1294"/>
      <c r="L8" s="1295"/>
      <c r="M8" s="1296" t="s">
        <v>309</v>
      </c>
      <c r="W8" s="539">
        <v>14</v>
      </c>
    </row>
    <row r="9" spans="1:23" ht="35.65" customHeight="1">
      <c r="E9" s="459" t="s">
        <v>635</v>
      </c>
      <c r="F9" s="459" t="s">
        <v>641</v>
      </c>
      <c r="H9" s="757"/>
      <c r="I9" s="633" t="s">
        <v>87</v>
      </c>
      <c r="J9" s="603" t="s">
        <v>310</v>
      </c>
      <c r="K9" s="674" t="s">
        <v>574</v>
      </c>
      <c r="L9" s="603" t="s">
        <v>311</v>
      </c>
      <c r="M9" s="1296"/>
      <c r="W9" s="539">
        <v>34</v>
      </c>
    </row>
    <row r="10" spans="1:23" ht="35.65" customHeight="1">
      <c r="B10" s="952" t="s">
        <v>707</v>
      </c>
      <c r="C10" s="952" t="s">
        <v>708</v>
      </c>
      <c r="D10" s="953" t="s">
        <v>644</v>
      </c>
      <c r="E10" s="458" t="s">
        <v>645</v>
      </c>
      <c r="F10" s="458" t="s">
        <v>645</v>
      </c>
      <c r="H10" s="757"/>
      <c r="I10" s="91" t="s">
        <v>114</v>
      </c>
      <c r="J10" s="895" t="s">
        <v>709</v>
      </c>
      <c r="K10" s="581" t="s">
        <v>314</v>
      </c>
      <c r="L10" s="308"/>
      <c r="M10" s="832" t="s">
        <v>710</v>
      </c>
      <c r="W10" s="539">
        <v>34</v>
      </c>
    </row>
    <row r="11" spans="1:23" ht="50.25" customHeight="1">
      <c r="B11" s="952" t="s">
        <v>711</v>
      </c>
      <c r="C11" s="952" t="s">
        <v>712</v>
      </c>
      <c r="D11" s="953" t="s">
        <v>644</v>
      </c>
      <c r="E11" s="458" t="s">
        <v>645</v>
      </c>
      <c r="F11" s="458" t="s">
        <v>645</v>
      </c>
      <c r="H11" s="757"/>
      <c r="I11" s="91" t="s">
        <v>102</v>
      </c>
      <c r="J11" s="895" t="s">
        <v>713</v>
      </c>
      <c r="K11" s="581" t="s">
        <v>314</v>
      </c>
      <c r="L11" s="308"/>
      <c r="M11" s="832" t="s">
        <v>710</v>
      </c>
      <c r="W11" s="539">
        <v>48</v>
      </c>
    </row>
    <row r="12" spans="1:23" ht="48.2" customHeight="1">
      <c r="B12" s="952" t="s">
        <v>714</v>
      </c>
      <c r="C12" s="952" t="s">
        <v>715</v>
      </c>
      <c r="D12" s="953" t="s">
        <v>644</v>
      </c>
      <c r="E12" s="458" t="s">
        <v>645</v>
      </c>
      <c r="F12" s="458" t="s">
        <v>645</v>
      </c>
      <c r="H12" s="654"/>
      <c r="I12" s="91" t="s">
        <v>89</v>
      </c>
      <c r="J12" s="797" t="s">
        <v>716</v>
      </c>
      <c r="K12" s="581" t="s">
        <v>314</v>
      </c>
      <c r="L12" s="308"/>
      <c r="M12" s="832" t="s">
        <v>717</v>
      </c>
      <c r="W12" s="539">
        <v>46</v>
      </c>
    </row>
    <row r="13" spans="1:23" ht="14.65" customHeight="1">
      <c r="H13" s="757"/>
      <c r="I13" s="761"/>
      <c r="J13" s="49" t="s">
        <v>718</v>
      </c>
      <c r="K13" s="63"/>
      <c r="L13" s="296"/>
      <c r="M13" s="832"/>
      <c r="W13" s="539">
        <v>14</v>
      </c>
    </row>
    <row r="14" spans="1:23" ht="14.65" customHeight="1">
      <c r="H14" s="757"/>
      <c r="I14" s="896"/>
      <c r="J14" s="378"/>
      <c r="K14" s="379"/>
      <c r="L14" s="380"/>
      <c r="W14" s="539">
        <v>14</v>
      </c>
    </row>
    <row r="15" spans="1:23" ht="14.65" customHeight="1">
      <c r="J15" s="1038"/>
      <c r="K15" s="1038"/>
      <c r="L15" s="1038"/>
      <c r="M15" s="1038"/>
      <c r="W15" s="539">
        <v>14</v>
      </c>
    </row>
    <row r="16" spans="1:23" ht="21" hidden="1" customHeight="1">
      <c r="A16" s="301" t="s">
        <v>81</v>
      </c>
      <c r="B16" s="539">
        <v>9</v>
      </c>
      <c r="C16" s="539">
        <v>9</v>
      </c>
      <c r="D16" s="539">
        <v>9</v>
      </c>
      <c r="E16" s="301" t="s">
        <v>158</v>
      </c>
      <c r="F16" s="301" t="s">
        <v>158</v>
      </c>
      <c r="H16" s="822">
        <v>3</v>
      </c>
      <c r="I16" s="539">
        <v>6</v>
      </c>
      <c r="J16" s="539">
        <v>63</v>
      </c>
      <c r="K16" s="539">
        <v>9</v>
      </c>
      <c r="L16" s="539">
        <v>39</v>
      </c>
      <c r="M16" s="539">
        <v>89</v>
      </c>
      <c r="N16" s="539">
        <v>10</v>
      </c>
      <c r="O16" s="583">
        <v>10</v>
      </c>
      <c r="P16" s="583">
        <v>10</v>
      </c>
      <c r="Q16" s="539">
        <v>10</v>
      </c>
      <c r="R16" s="539">
        <v>10</v>
      </c>
      <c r="S16" s="539">
        <v>10</v>
      </c>
      <c r="T16" s="539">
        <v>10</v>
      </c>
      <c r="U16" s="539">
        <v>10</v>
      </c>
      <c r="V16" s="539">
        <v>10</v>
      </c>
      <c r="W16" s="53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1030" hidden="1" customWidth="1"/>
    <col min="2" max="2" width="16.85546875" style="1030" hidden="1" customWidth="1"/>
    <col min="3" max="3" width="5.5703125" style="1030" hidden="1" customWidth="1"/>
    <col min="4" max="4" width="3" style="1030" customWidth="1"/>
    <col min="5" max="5" width="7" style="1030" customWidth="1"/>
    <col min="6" max="6" width="56" style="1030" customWidth="1"/>
    <col min="7" max="7" width="10" style="1030" customWidth="1"/>
    <col min="8" max="8" width="40.7109375" style="1030" hidden="1" customWidth="1"/>
    <col min="9" max="9" width="40" style="1030" customWidth="1"/>
    <col min="10" max="11" width="40.7109375" style="1030" customWidth="1"/>
    <col min="12" max="12" width="102" style="1030" customWidth="1"/>
    <col min="13" max="13" width="9" style="1030" customWidth="1"/>
    <col min="14" max="14" width="5" style="1030" customWidth="1"/>
    <col min="15" max="19" width="3" style="1030" customWidth="1"/>
    <col min="20" max="20" width="10" style="1030" customWidth="1"/>
    <col min="21" max="21" width="34" style="1030" customWidth="1"/>
    <col min="22" max="22" width="9" style="1030" customWidth="1"/>
    <col min="23" max="33" width="8" style="1030" customWidth="1"/>
    <col min="34" max="34" width="10.42578125" style="1030" hidden="1" customWidth="1"/>
  </cols>
  <sheetData>
    <row r="1" spans="5:34" ht="22.5" hidden="1" customHeight="1">
      <c r="H1" s="556">
        <v>4</v>
      </c>
      <c r="I1" s="556">
        <v>4</v>
      </c>
      <c r="J1" s="9">
        <v>4</v>
      </c>
      <c r="K1" s="9">
        <v>4</v>
      </c>
      <c r="AH1" s="556" t="s">
        <v>14</v>
      </c>
    </row>
    <row r="2" spans="5:34" ht="22.5" hidden="1" customHeight="1">
      <c r="E2" s="584"/>
      <c r="F2" s="37"/>
      <c r="G2" s="584" t="s">
        <v>560</v>
      </c>
      <c r="H2" s="312"/>
      <c r="I2" s="312"/>
      <c r="J2" s="312"/>
      <c r="K2" s="312"/>
      <c r="L2" s="917" t="s">
        <v>719</v>
      </c>
      <c r="AH2" s="556">
        <v>0</v>
      </c>
    </row>
    <row r="3" spans="5:34" ht="11.25" hidden="1" customHeight="1">
      <c r="J3"/>
      <c r="K3"/>
      <c r="AH3" s="539">
        <v>0</v>
      </c>
    </row>
    <row r="4" spans="5:34" ht="11.25" hidden="1" customHeight="1">
      <c r="J4"/>
      <c r="K4"/>
      <c r="L4" s="537">
        <v>4</v>
      </c>
      <c r="AH4" s="537">
        <v>0</v>
      </c>
    </row>
    <row r="5" spans="5:34" ht="11.45" customHeight="1">
      <c r="J5"/>
      <c r="K5"/>
      <c r="AH5" s="539">
        <v>11</v>
      </c>
    </row>
    <row r="6" spans="5:34" ht="31.5" customHeight="1">
      <c r="E6" s="1127" t="s">
        <v>720</v>
      </c>
      <c r="F6" s="1127"/>
      <c r="G6" s="1127"/>
      <c r="H6" s="1127"/>
      <c r="I6" s="1127"/>
      <c r="J6" s="76"/>
      <c r="K6" s="76"/>
      <c r="AH6" s="539">
        <v>30</v>
      </c>
    </row>
    <row r="7" spans="5:34" ht="11.45" customHeight="1">
      <c r="E7" s="1148" t="str">
        <f>IF(org=0,"Не определено",org)</f>
        <v>АО "НИЖЕГОРОДСКИЙ ВОДОКАНАЛ"</v>
      </c>
      <c r="F7" s="1148"/>
      <c r="G7" s="1148"/>
      <c r="H7" s="1148"/>
      <c r="I7" s="1148"/>
      <c r="J7" s="77"/>
      <c r="K7" s="77"/>
      <c r="AH7" s="539">
        <v>11</v>
      </c>
    </row>
    <row r="8" spans="5:34" ht="11.45" customHeight="1">
      <c r="J8" t="s">
        <v>22</v>
      </c>
      <c r="K8" t="s">
        <v>22</v>
      </c>
      <c r="AH8" s="539">
        <v>11</v>
      </c>
    </row>
    <row r="9" spans="5:34" ht="4.1500000000000004" customHeight="1">
      <c r="H9" s="919"/>
      <c r="I9" s="919" t="s">
        <v>122</v>
      </c>
      <c r="J9" s="405" t="s">
        <v>127</v>
      </c>
      <c r="K9" s="405" t="s">
        <v>129</v>
      </c>
      <c r="AH9" s="578">
        <v>4</v>
      </c>
    </row>
    <row r="10" spans="5:34" ht="11.45" customHeight="1">
      <c r="E10" s="898"/>
      <c r="F10" s="1278" t="s">
        <v>110</v>
      </c>
      <c r="G10" s="1279"/>
      <c r="H10" s="920" t="str">
        <f>IF(H9="","",INDEX(DIFFERENTIATION_UNMERGE_VD,MATCH(H9,DIFFERENTIATION_ID_DIFF,0)))</f>
        <v/>
      </c>
      <c r="I10" s="920" t="str">
        <f>IF(I9="","",INDEX(DIFFERENTIATION_UNMERGE_VD,MATCH(I9,DIFFERENTIATION_ID_DIFF,0)))</f>
        <v>Водоотведение</v>
      </c>
      <c r="J10" s="406" t="str">
        <f>IF(J9="","",INDEX(DIFFERENTIATION_UNMERGE_VD,MATCH(J9,DIFFERENTIATION_ID_DIFF,0)))</f>
        <v>Водоотведение</v>
      </c>
      <c r="K10" s="406" t="str">
        <f>IF(K9="","",INDEX(DIFFERENTIATION_UNMERGE_VD,MATCH(K9,DIFFERENTIATION_ID_DIFF,0)))</f>
        <v>Подключение (технологическое присоединение) к централизованной системе водоотведения</v>
      </c>
      <c r="L10" s="1070"/>
      <c r="AH10" s="539">
        <v>11</v>
      </c>
    </row>
    <row r="11" spans="5:34" ht="11.45" customHeight="1">
      <c r="E11" s="898"/>
      <c r="F11" s="1278" t="s">
        <v>572</v>
      </c>
      <c r="G11" s="1279"/>
      <c r="H11" s="920" t="str">
        <f>IF(H9="","",INDEX(DIFFERENTIATION_UNMERGE_AREA,MATCH(H9,DIFFERENTIATION_ID_DIFF,0)))</f>
        <v/>
      </c>
      <c r="I11" s="920" t="str">
        <f>IF(I9="","",INDEX(DIFFERENTIATION_UNMERGE_AREA,MATCH(I9,DIFFERENTIATION_ID_DIFF,0)))</f>
        <v>Территория 1</v>
      </c>
      <c r="J11" s="406" t="str">
        <f>IF(J9="","",INDEX(DIFFERENTIATION_UNMERGE_AREA,MATCH(J9,DIFFERENTIATION_ID_DIFF,0)))</f>
        <v>Территория 2</v>
      </c>
      <c r="K11" s="406" t="str">
        <f>IF(K9="","",INDEX(DIFFERENTIATION_UNMERGE_AREA,MATCH(K9,DIFFERENTIATION_ID_DIFF,0)))</f>
        <v>без дифференциации</v>
      </c>
      <c r="L11" s="1070"/>
      <c r="AH11" s="539">
        <v>11</v>
      </c>
    </row>
    <row r="12" spans="5:34" ht="1.1499999999999999" customHeight="1">
      <c r="E12" s="940"/>
      <c r="F12" s="1297" t="s">
        <v>573</v>
      </c>
      <c r="G12" s="1298"/>
      <c r="H12" s="941" t="str">
        <f>IF(H9="","",INDEX(DIFFERENTIATION_UNMERGE_SYSTEM,MATCH(H9,DIFFERENTIATION_ID_DIFF,0)))</f>
        <v/>
      </c>
      <c r="I12" s="941" t="str">
        <f>IF(I9="","",INDEX(DIFFERENTIATION_UNMERGE_SYSTEM,MATCH(I9,DIFFERENTIATION_ID_DIFF,0)))</f>
        <v>Централизованная система водоотведения города Нижнего Новгорода</v>
      </c>
      <c r="J12" s="427" t="str">
        <f>IF(J9="","",INDEX(DIFFERENTIATION_UNMERGE_SYSTEM,MATCH(J9,DIFFERENTIATION_ID_DIFF,0)))</f>
        <v>Централизованная система водоотведения Кстовского муниципального района</v>
      </c>
      <c r="K12" s="427" t="str">
        <f>IF(K9="","",INDEX(DIFFERENTIATION_UNMERGE_SYSTEM,MATCH(K9,DIFFERENTIATION_ID_DIFF,0)))</f>
        <v>без дифференциации</v>
      </c>
      <c r="L12" s="1070"/>
      <c r="AH12" s="539">
        <v>1</v>
      </c>
    </row>
    <row r="13" spans="5:34" ht="11.45" customHeight="1">
      <c r="E13" s="1280" t="s">
        <v>308</v>
      </c>
      <c r="F13" s="1281"/>
      <c r="G13" s="1281"/>
      <c r="H13" s="899"/>
      <c r="I13" s="899"/>
      <c r="J13" s="381"/>
      <c r="K13" s="381"/>
      <c r="L13" s="1070"/>
      <c r="AH13" s="539">
        <v>11</v>
      </c>
    </row>
    <row r="14" spans="5:34" ht="24" customHeight="1">
      <c r="E14" s="584" t="s">
        <v>87</v>
      </c>
      <c r="F14" s="584" t="s">
        <v>310</v>
      </c>
      <c r="G14" s="584" t="s">
        <v>574</v>
      </c>
      <c r="H14" s="584" t="s">
        <v>311</v>
      </c>
      <c r="I14" s="584" t="s">
        <v>311</v>
      </c>
      <c r="J14" s="35" t="s">
        <v>311</v>
      </c>
      <c r="K14" s="35" t="s">
        <v>311</v>
      </c>
      <c r="L14" s="1070"/>
      <c r="AH14" s="539">
        <v>23</v>
      </c>
    </row>
    <row r="15" spans="5:34" ht="19.899999999999999" customHeight="1">
      <c r="E15" s="428" t="s">
        <v>114</v>
      </c>
      <c r="F15" s="620" t="s">
        <v>721</v>
      </c>
      <c r="G15" s="584" t="s">
        <v>560</v>
      </c>
      <c r="H15" s="407"/>
      <c r="I15" s="407"/>
      <c r="J15" s="407"/>
      <c r="K15" s="407"/>
      <c r="L15" s="796" t="s">
        <v>722</v>
      </c>
      <c r="M15" s="942" t="s">
        <v>647</v>
      </c>
      <c r="AH15" s="539">
        <v>19</v>
      </c>
    </row>
    <row r="16" spans="5:34" ht="35.65" customHeight="1">
      <c r="E16" s="428" t="s">
        <v>102</v>
      </c>
      <c r="F16" s="620" t="s">
        <v>723</v>
      </c>
      <c r="G16" s="584" t="s">
        <v>560</v>
      </c>
      <c r="H16" s="263">
        <f>SUM(H17,H20,H23,H26,H29:H32,H35)</f>
        <v>0</v>
      </c>
      <c r="I16" s="263">
        <f>SUM(I17,I20,I23,I26,I29:I32,I35)</f>
        <v>0</v>
      </c>
      <c r="J16" s="263">
        <f>SUM(J17,J20,J23,J26,J29:J32,J35)</f>
        <v>0</v>
      </c>
      <c r="K16" s="263">
        <f>SUM(K17,K20,K23,K26,K29:K32,K35)</f>
        <v>0</v>
      </c>
      <c r="L16" s="796" t="s">
        <v>724</v>
      </c>
      <c r="M16" s="942" t="s">
        <v>647</v>
      </c>
      <c r="AH16" s="539">
        <v>34</v>
      </c>
    </row>
    <row r="17" spans="5:34" ht="19.899999999999999" customHeight="1">
      <c r="E17" s="429" t="s">
        <v>725</v>
      </c>
      <c r="F17" s="889" t="s">
        <v>726</v>
      </c>
      <c r="G17" s="543" t="s">
        <v>560</v>
      </c>
      <c r="H17" s="407"/>
      <c r="I17" s="407"/>
      <c r="J17" s="407"/>
      <c r="K17" s="407"/>
      <c r="L17" s="796" t="s">
        <v>727</v>
      </c>
      <c r="AH17" s="539">
        <v>19</v>
      </c>
    </row>
    <row r="18" spans="5:34" ht="24" customHeight="1">
      <c r="E18" s="429" t="s">
        <v>728</v>
      </c>
      <c r="F18" s="926" t="s">
        <v>729</v>
      </c>
      <c r="G18" s="543" t="s">
        <v>560</v>
      </c>
      <c r="H18" s="407"/>
      <c r="I18" s="407"/>
      <c r="J18" s="407"/>
      <c r="K18" s="407"/>
      <c r="L18" s="796" t="s">
        <v>730</v>
      </c>
      <c r="AH18" s="539">
        <v>23</v>
      </c>
    </row>
    <row r="19" spans="5:34" ht="35.65" customHeight="1">
      <c r="E19" s="429" t="s">
        <v>731</v>
      </c>
      <c r="F19" s="926" t="s">
        <v>732</v>
      </c>
      <c r="G19" s="543" t="s">
        <v>560</v>
      </c>
      <c r="H19" s="407"/>
      <c r="I19" s="407"/>
      <c r="J19" s="407"/>
      <c r="K19" s="407"/>
      <c r="L19" s="796"/>
      <c r="AH19" s="539">
        <v>34</v>
      </c>
    </row>
    <row r="20" spans="5:34" ht="19.899999999999999" customHeight="1">
      <c r="E20" s="429" t="s">
        <v>315</v>
      </c>
      <c r="F20" s="889" t="s">
        <v>733</v>
      </c>
      <c r="G20" s="543" t="s">
        <v>560</v>
      </c>
      <c r="H20" s="407"/>
      <c r="I20" s="407"/>
      <c r="J20" s="407"/>
      <c r="K20" s="407"/>
      <c r="L20" s="796" t="s">
        <v>734</v>
      </c>
      <c r="AH20" s="539">
        <v>19</v>
      </c>
    </row>
    <row r="21" spans="5:34" ht="19.899999999999999" customHeight="1">
      <c r="E21" s="429" t="s">
        <v>735</v>
      </c>
      <c r="F21" s="926" t="s">
        <v>736</v>
      </c>
      <c r="G21" s="543" t="s">
        <v>560</v>
      </c>
      <c r="H21" s="407"/>
      <c r="I21" s="407"/>
      <c r="J21" s="407"/>
      <c r="K21" s="407"/>
      <c r="L21" s="796"/>
      <c r="AH21" s="539">
        <v>19</v>
      </c>
    </row>
    <row r="22" spans="5:34" ht="19.899999999999999" customHeight="1">
      <c r="E22" s="429" t="s">
        <v>737</v>
      </c>
      <c r="F22" s="926" t="s">
        <v>738</v>
      </c>
      <c r="G22" s="543" t="s">
        <v>560</v>
      </c>
      <c r="H22" s="407"/>
      <c r="I22" s="407"/>
      <c r="J22" s="407"/>
      <c r="K22" s="407"/>
      <c r="L22" s="796"/>
      <c r="AH22" s="539">
        <v>19</v>
      </c>
    </row>
    <row r="23" spans="5:34" ht="24" customHeight="1">
      <c r="E23" s="429" t="s">
        <v>318</v>
      </c>
      <c r="F23" s="889" t="s">
        <v>739</v>
      </c>
      <c r="G23" s="543" t="s">
        <v>560</v>
      </c>
      <c r="H23" s="407"/>
      <c r="I23" s="407"/>
      <c r="J23" s="407"/>
      <c r="K23" s="407"/>
      <c r="L23" s="796" t="s">
        <v>740</v>
      </c>
      <c r="AH23" s="539">
        <v>23</v>
      </c>
    </row>
    <row r="24" spans="5:34" ht="19.899999999999999" customHeight="1">
      <c r="E24" s="429" t="s">
        <v>741</v>
      </c>
      <c r="F24" s="926" t="s">
        <v>742</v>
      </c>
      <c r="G24" s="543" t="s">
        <v>560</v>
      </c>
      <c r="H24" s="407"/>
      <c r="I24" s="407"/>
      <c r="J24" s="407"/>
      <c r="K24" s="407"/>
      <c r="L24" s="796"/>
      <c r="AH24" s="539">
        <v>19</v>
      </c>
    </row>
    <row r="25" spans="5:34" ht="35.65" customHeight="1">
      <c r="E25" s="429" t="s">
        <v>743</v>
      </c>
      <c r="F25" s="926" t="s">
        <v>744</v>
      </c>
      <c r="G25" s="543" t="s">
        <v>560</v>
      </c>
      <c r="H25" s="407"/>
      <c r="I25" s="407"/>
      <c r="J25" s="407"/>
      <c r="K25" s="407"/>
      <c r="L25" s="796"/>
      <c r="AH25" s="539">
        <v>34</v>
      </c>
    </row>
    <row r="26" spans="5:34" ht="24" customHeight="1">
      <c r="E26" s="429" t="s">
        <v>745</v>
      </c>
      <c r="F26" s="889" t="s">
        <v>746</v>
      </c>
      <c r="G26" s="543" t="s">
        <v>560</v>
      </c>
      <c r="H26" s="407"/>
      <c r="I26" s="407"/>
      <c r="J26" s="407"/>
      <c r="K26" s="407"/>
      <c r="L26" s="796" t="s">
        <v>747</v>
      </c>
      <c r="AH26" s="539">
        <v>23</v>
      </c>
    </row>
    <row r="27" spans="5:34" ht="19.899999999999999" customHeight="1">
      <c r="E27" s="430" t="s">
        <v>748</v>
      </c>
      <c r="F27" s="926" t="s">
        <v>749</v>
      </c>
      <c r="G27" s="543" t="s">
        <v>560</v>
      </c>
      <c r="H27" s="431"/>
      <c r="I27" s="431"/>
      <c r="J27" s="431"/>
      <c r="K27" s="431"/>
      <c r="L27" s="796"/>
      <c r="AH27" s="539">
        <v>19</v>
      </c>
    </row>
    <row r="28" spans="5:34" ht="19.899999999999999" customHeight="1">
      <c r="E28" s="430" t="s">
        <v>750</v>
      </c>
      <c r="F28" s="926" t="s">
        <v>751</v>
      </c>
      <c r="G28" s="543" t="s">
        <v>560</v>
      </c>
      <c r="H28" s="431"/>
      <c r="I28" s="431"/>
      <c r="J28" s="431"/>
      <c r="K28" s="431"/>
      <c r="L28" s="796"/>
      <c r="AH28" s="539">
        <v>19</v>
      </c>
    </row>
    <row r="29" spans="5:34" ht="19.899999999999999" customHeight="1">
      <c r="E29" s="430" t="s">
        <v>752</v>
      </c>
      <c r="F29" s="889" t="s">
        <v>753</v>
      </c>
      <c r="G29" s="543" t="s">
        <v>560</v>
      </c>
      <c r="H29" s="431"/>
      <c r="I29" s="431"/>
      <c r="J29" s="431"/>
      <c r="K29" s="431"/>
      <c r="L29" s="796"/>
      <c r="AH29" s="539">
        <v>19</v>
      </c>
    </row>
    <row r="30" spans="5:34" ht="19.899999999999999" customHeight="1">
      <c r="E30" s="430" t="s">
        <v>754</v>
      </c>
      <c r="F30" s="889" t="s">
        <v>755</v>
      </c>
      <c r="G30" s="543" t="s">
        <v>560</v>
      </c>
      <c r="H30" s="431"/>
      <c r="I30" s="431"/>
      <c r="J30" s="431"/>
      <c r="K30" s="431"/>
      <c r="L30" s="796"/>
      <c r="AH30" s="539">
        <v>19</v>
      </c>
    </row>
    <row r="31" spans="5:34" ht="19.899999999999999" customHeight="1">
      <c r="E31" s="430" t="s">
        <v>756</v>
      </c>
      <c r="F31" s="889" t="s">
        <v>757</v>
      </c>
      <c r="G31" s="543" t="s">
        <v>560</v>
      </c>
      <c r="H31" s="431"/>
      <c r="I31" s="431"/>
      <c r="J31" s="431"/>
      <c r="K31" s="431"/>
      <c r="L31" s="796"/>
      <c r="AH31" s="539">
        <v>19</v>
      </c>
    </row>
    <row r="32" spans="5:34" ht="35.65" customHeight="1">
      <c r="E32" s="430" t="s">
        <v>758</v>
      </c>
      <c r="F32" s="889" t="s">
        <v>759</v>
      </c>
      <c r="G32" s="618" t="s">
        <v>560</v>
      </c>
      <c r="H32" s="413">
        <f>SUM(H33:H34)</f>
        <v>0</v>
      </c>
      <c r="I32" s="413">
        <f>SUM(I33:I34)</f>
        <v>0</v>
      </c>
      <c r="J32" s="413">
        <f>SUM(J33:J34)</f>
        <v>0</v>
      </c>
      <c r="K32" s="413">
        <f>SUM(K33:K34)</f>
        <v>0</v>
      </c>
      <c r="L32" s="796" t="s">
        <v>760</v>
      </c>
      <c r="AH32" s="556">
        <v>34</v>
      </c>
    </row>
    <row r="33" spans="1:34" ht="1.1499999999999999" customHeight="1">
      <c r="E33" s="585" t="str">
        <f>E32&amp;".0"</f>
        <v>2.8.0</v>
      </c>
      <c r="F33" s="928"/>
      <c r="G33" s="585"/>
      <c r="H33" s="414"/>
      <c r="I33" s="414"/>
      <c r="J33" s="414"/>
      <c r="K33" s="414"/>
      <c r="L33" s="929"/>
      <c r="AH33" s="578">
        <v>1</v>
      </c>
    </row>
    <row r="34" spans="1:34" ht="19.899999999999999" customHeight="1">
      <c r="E34" s="410"/>
      <c r="F34" s="432" t="s">
        <v>591</v>
      </c>
      <c r="G34" s="762"/>
      <c r="H34" s="906"/>
      <c r="I34" s="906"/>
      <c r="J34" s="395"/>
      <c r="K34" s="395"/>
      <c r="L34" s="818" t="s">
        <v>761</v>
      </c>
      <c r="AH34" s="556">
        <v>19</v>
      </c>
    </row>
    <row r="35" spans="1:34" ht="60" customHeight="1">
      <c r="E35" s="430" t="s">
        <v>762</v>
      </c>
      <c r="F35" s="889" t="s">
        <v>763</v>
      </c>
      <c r="G35" s="543" t="s">
        <v>560</v>
      </c>
      <c r="H35" s="431"/>
      <c r="I35" s="431"/>
      <c r="J35" s="431"/>
      <c r="K35" s="431"/>
      <c r="L35" s="796" t="s">
        <v>764</v>
      </c>
      <c r="AH35" s="539">
        <v>57</v>
      </c>
    </row>
    <row r="36" spans="1:34" ht="24" customHeight="1">
      <c r="A36" s="411" t="s">
        <v>592</v>
      </c>
      <c r="E36" s="429" t="s">
        <v>89</v>
      </c>
      <c r="F36" s="620" t="s">
        <v>765</v>
      </c>
      <c r="G36" s="543" t="s">
        <v>560</v>
      </c>
      <c r="H36" s="407"/>
      <c r="I36" s="407"/>
      <c r="J36" s="407"/>
      <c r="K36" s="407"/>
      <c r="L36" s="796" t="s">
        <v>766</v>
      </c>
      <c r="AH36" s="556">
        <v>23</v>
      </c>
    </row>
    <row r="37" spans="1:34" ht="35.65" customHeight="1">
      <c r="A37" s="411"/>
      <c r="E37" s="429" t="s">
        <v>332</v>
      </c>
      <c r="F37" s="889" t="s">
        <v>767</v>
      </c>
      <c r="G37" s="543"/>
      <c r="H37" s="407"/>
      <c r="I37" s="407"/>
      <c r="J37" s="407"/>
      <c r="K37" s="407"/>
      <c r="L37" s="796"/>
      <c r="AH37" s="556">
        <v>34</v>
      </c>
    </row>
    <row r="38" spans="1:34" ht="19.899999999999999" customHeight="1">
      <c r="E38" s="429" t="s">
        <v>90</v>
      </c>
      <c r="F38" s="620" t="s">
        <v>768</v>
      </c>
      <c r="G38" s="543" t="s">
        <v>560</v>
      </c>
      <c r="H38" s="407"/>
      <c r="I38" s="407"/>
      <c r="J38" s="407"/>
      <c r="K38" s="407"/>
      <c r="L38" s="796" t="s">
        <v>769</v>
      </c>
      <c r="AH38" s="556">
        <v>19</v>
      </c>
    </row>
    <row r="39" spans="1:34" ht="24" customHeight="1">
      <c r="E39" s="429" t="s">
        <v>770</v>
      </c>
      <c r="F39" s="889" t="s">
        <v>771</v>
      </c>
      <c r="G39" s="543" t="s">
        <v>560</v>
      </c>
      <c r="H39" s="407"/>
      <c r="I39" s="407"/>
      <c r="J39" s="407"/>
      <c r="K39" s="407"/>
      <c r="L39" s="796" t="s">
        <v>772</v>
      </c>
      <c r="AH39" s="556">
        <v>23</v>
      </c>
    </row>
    <row r="40" spans="1:34" ht="24" customHeight="1">
      <c r="E40" s="429" t="s">
        <v>773</v>
      </c>
      <c r="F40" s="926" t="s">
        <v>774</v>
      </c>
      <c r="G40" s="543" t="s">
        <v>560</v>
      </c>
      <c r="H40" s="407"/>
      <c r="I40" s="407"/>
      <c r="J40" s="407"/>
      <c r="K40" s="407"/>
      <c r="L40" s="796" t="s">
        <v>775</v>
      </c>
      <c r="AH40" s="556">
        <v>23</v>
      </c>
    </row>
    <row r="41" spans="1:34" ht="24" customHeight="1">
      <c r="E41" s="429" t="s">
        <v>776</v>
      </c>
      <c r="F41" s="926" t="s">
        <v>777</v>
      </c>
      <c r="G41" s="543" t="s">
        <v>560</v>
      </c>
      <c r="H41" s="407"/>
      <c r="I41" s="407"/>
      <c r="J41" s="407"/>
      <c r="K41" s="407"/>
      <c r="L41" s="796" t="s">
        <v>778</v>
      </c>
      <c r="AH41" s="556">
        <v>23</v>
      </c>
    </row>
    <row r="42" spans="1:34" ht="24" customHeight="1">
      <c r="E42" s="429" t="s">
        <v>779</v>
      </c>
      <c r="F42" s="926" t="s">
        <v>780</v>
      </c>
      <c r="G42" s="543" t="s">
        <v>560</v>
      </c>
      <c r="H42" s="407"/>
      <c r="I42" s="407"/>
      <c r="J42" s="407"/>
      <c r="K42" s="407"/>
      <c r="L42" s="796" t="s">
        <v>781</v>
      </c>
      <c r="AH42" s="556">
        <v>23</v>
      </c>
    </row>
    <row r="43" spans="1:34" ht="35.65" customHeight="1">
      <c r="C43" s="578" t="s">
        <v>603</v>
      </c>
      <c r="E43" s="429" t="s">
        <v>115</v>
      </c>
      <c r="F43" s="620" t="s">
        <v>646</v>
      </c>
      <c r="G43" s="584" t="s">
        <v>782</v>
      </c>
      <c r="H43" s="998"/>
      <c r="I43" s="998"/>
      <c r="J43" s="998"/>
      <c r="K43" s="998"/>
      <c r="L43" s="796" t="s">
        <v>783</v>
      </c>
      <c r="AH43" s="556">
        <v>34</v>
      </c>
    </row>
    <row r="44" spans="1:34" ht="35.65" customHeight="1">
      <c r="E44" s="429" t="s">
        <v>91</v>
      </c>
      <c r="F44" s="620" t="s">
        <v>784</v>
      </c>
      <c r="G44" s="543" t="s">
        <v>785</v>
      </c>
      <c r="H44" s="404"/>
      <c r="I44" s="404"/>
      <c r="J44" s="404"/>
      <c r="K44" s="404"/>
      <c r="L44" s="796" t="s">
        <v>786</v>
      </c>
      <c r="AH44" s="556">
        <v>34</v>
      </c>
    </row>
    <row r="45" spans="1:34" ht="24" customHeight="1">
      <c r="E45" s="429" t="s">
        <v>92</v>
      </c>
      <c r="F45" s="620" t="s">
        <v>787</v>
      </c>
      <c r="G45" s="543" t="s">
        <v>788</v>
      </c>
      <c r="H45" s="404"/>
      <c r="I45" s="404"/>
      <c r="J45" s="404"/>
      <c r="K45" s="404"/>
      <c r="L45" s="796" t="s">
        <v>789</v>
      </c>
      <c r="AH45" s="556">
        <v>23</v>
      </c>
    </row>
    <row r="46" spans="1:34" ht="19.899999999999999" customHeight="1">
      <c r="E46" s="429" t="s">
        <v>116</v>
      </c>
      <c r="F46" s="620" t="s">
        <v>790</v>
      </c>
      <c r="G46" s="543" t="s">
        <v>605</v>
      </c>
      <c r="H46" s="412"/>
      <c r="I46" s="412"/>
      <c r="J46" s="412"/>
      <c r="K46" s="412"/>
      <c r="L46" s="796"/>
      <c r="AH46" s="556">
        <v>19</v>
      </c>
    </row>
    <row r="47" spans="1:34" ht="11.45" customHeight="1">
      <c r="AH47" s="539">
        <v>11</v>
      </c>
    </row>
    <row r="48" spans="1:34" ht="11.45" customHeight="1">
      <c r="AH48" s="682">
        <v>11</v>
      </c>
    </row>
    <row r="49" spans="34:34" ht="11.45" customHeight="1">
      <c r="AH49" s="682">
        <v>11</v>
      </c>
    </row>
    <row r="50" spans="34:34" ht="11.45" customHeight="1">
      <c r="AH50" s="682">
        <v>11</v>
      </c>
    </row>
    <row r="51" spans="34:34" ht="11.45" customHeight="1">
      <c r="AH51" s="682">
        <v>11</v>
      </c>
    </row>
    <row r="52" spans="34:34" ht="11.45" customHeight="1">
      <c r="AH52" s="682">
        <v>11</v>
      </c>
    </row>
    <row r="53" spans="34:34" ht="11.45" customHeight="1">
      <c r="AH53" s="682">
        <v>11</v>
      </c>
    </row>
    <row r="54" spans="34:34" ht="11.45" customHeight="1">
      <c r="AH54" s="682">
        <v>11</v>
      </c>
    </row>
    <row r="55" spans="34:34" ht="11.45" customHeight="1">
      <c r="AH55" s="682">
        <v>11</v>
      </c>
    </row>
    <row r="56" spans="34:34" ht="11.45" customHeight="1">
      <c r="AH56" s="682">
        <v>11</v>
      </c>
    </row>
    <row r="57" spans="34:34" ht="11.45" customHeight="1">
      <c r="AH57" s="682">
        <v>11</v>
      </c>
    </row>
    <row r="58" spans="34:34" ht="11.45" customHeight="1">
      <c r="AH58" s="682">
        <v>11</v>
      </c>
    </row>
    <row r="59" spans="34:34" ht="11.45" customHeight="1">
      <c r="AH59" s="682">
        <v>11</v>
      </c>
    </row>
    <row r="60" spans="34:34" ht="11.45" customHeight="1">
      <c r="AH60" s="682">
        <v>11</v>
      </c>
    </row>
    <row r="61" spans="34:34" ht="11.45" customHeight="1">
      <c r="AH61" s="682">
        <v>11</v>
      </c>
    </row>
    <row r="62" spans="34:34" ht="11.45" customHeight="1">
      <c r="AH62" s="682">
        <v>11</v>
      </c>
    </row>
    <row r="63" spans="34:34" ht="11.45" customHeight="1">
      <c r="AH63" s="682">
        <v>11</v>
      </c>
    </row>
    <row r="64" spans="34:34" ht="11.45" customHeight="1">
      <c r="AH64" s="682">
        <v>11</v>
      </c>
    </row>
    <row r="65" spans="34:34" ht="11.45" customHeight="1">
      <c r="AH65" s="682">
        <v>11</v>
      </c>
    </row>
    <row r="66" spans="34:34" ht="11.45" customHeight="1">
      <c r="AH66" s="682">
        <v>11</v>
      </c>
    </row>
    <row r="67" spans="34:34" ht="11.45" customHeight="1">
      <c r="AH67" s="682">
        <v>11</v>
      </c>
    </row>
    <row r="68" spans="34:34" ht="11.45" customHeight="1">
      <c r="AH68" s="682">
        <v>11</v>
      </c>
    </row>
    <row r="69" spans="34:34" ht="11.45" customHeight="1">
      <c r="AH69" s="682">
        <v>11</v>
      </c>
    </row>
    <row r="70" spans="34:34" ht="11.45" customHeight="1">
      <c r="AH70" s="682">
        <v>11</v>
      </c>
    </row>
    <row r="71" spans="34:34" ht="11.45" customHeight="1">
      <c r="AH71" s="682">
        <v>11</v>
      </c>
    </row>
    <row r="72" spans="34:34" ht="11.45" customHeight="1">
      <c r="AH72" s="682">
        <v>11</v>
      </c>
    </row>
    <row r="73" spans="34:34" ht="11.45" customHeight="1">
      <c r="AH73" s="682">
        <v>11</v>
      </c>
    </row>
    <row r="74" spans="34:34" ht="11.45" customHeight="1">
      <c r="AH74" s="682">
        <v>11</v>
      </c>
    </row>
    <row r="75" spans="34:34" ht="11.45" customHeight="1">
      <c r="AH75" s="682">
        <v>11</v>
      </c>
    </row>
    <row r="76" spans="34:34" ht="11.45" customHeight="1">
      <c r="AH76" s="682">
        <v>11</v>
      </c>
    </row>
    <row r="77" spans="34:34" ht="11.45" customHeight="1">
      <c r="AH77" s="682">
        <v>11</v>
      </c>
    </row>
    <row r="78" spans="34:34" ht="11.45" customHeight="1">
      <c r="AH78" s="682">
        <v>11</v>
      </c>
    </row>
    <row r="79" spans="34:34" ht="11.45" customHeight="1">
      <c r="AH79" s="682">
        <v>11</v>
      </c>
    </row>
    <row r="80" spans="34:34" ht="11.45" customHeight="1">
      <c r="AH80" s="682">
        <v>11</v>
      </c>
    </row>
    <row r="81" spans="34:34" ht="11.45" customHeight="1">
      <c r="AH81" s="682">
        <v>11</v>
      </c>
    </row>
    <row r="82" spans="34:34" ht="11.45" customHeight="1">
      <c r="AH82" s="682">
        <v>11</v>
      </c>
    </row>
    <row r="83" spans="34:34" ht="11.45" customHeight="1">
      <c r="AH83" s="682">
        <v>11</v>
      </c>
    </row>
    <row r="84" spans="34:34" ht="11.45" customHeight="1">
      <c r="AH84" s="682">
        <v>11</v>
      </c>
    </row>
    <row r="85" spans="34:34" ht="11.45" customHeight="1">
      <c r="AH85" s="682">
        <v>11</v>
      </c>
    </row>
    <row r="86" spans="34:34" ht="11.45" customHeight="1">
      <c r="AH86" s="682">
        <v>11</v>
      </c>
    </row>
    <row r="87" spans="34:34" ht="11.45" customHeight="1">
      <c r="AH87" s="682">
        <v>11</v>
      </c>
    </row>
    <row r="88" spans="34:34" ht="11.45" customHeight="1">
      <c r="AH88" s="682">
        <v>11</v>
      </c>
    </row>
    <row r="89" spans="34:34" ht="11.45" customHeight="1">
      <c r="AH89" s="682">
        <v>11</v>
      </c>
    </row>
    <row r="90" spans="34:34" ht="11.45" customHeight="1">
      <c r="AH90" s="682">
        <v>11</v>
      </c>
    </row>
    <row r="91" spans="34:34" ht="11.45" customHeight="1">
      <c r="AH91" s="682">
        <v>11</v>
      </c>
    </row>
    <row r="92" spans="34:34" ht="11.45" customHeight="1">
      <c r="AH92" s="682">
        <v>11</v>
      </c>
    </row>
    <row r="93" spans="34:34" ht="11.45" customHeight="1">
      <c r="AH93" s="682">
        <v>11</v>
      </c>
    </row>
    <row r="94" spans="34:34" ht="11.45" customHeight="1">
      <c r="AH94" s="682">
        <v>11</v>
      </c>
    </row>
    <row r="95" spans="34:34" ht="11.45" customHeight="1">
      <c r="AH95" s="682">
        <v>11</v>
      </c>
    </row>
    <row r="96" spans="34:34" ht="11.45" customHeight="1">
      <c r="AH96" s="682">
        <v>11</v>
      </c>
    </row>
    <row r="97" spans="34:34" ht="11.45" customHeight="1">
      <c r="AH97" s="682">
        <v>11</v>
      </c>
    </row>
    <row r="98" spans="34:34" ht="11.45" customHeight="1">
      <c r="AH98" s="682">
        <v>11</v>
      </c>
    </row>
    <row r="99" spans="34:34" ht="11.45" customHeight="1">
      <c r="AH99" s="682">
        <v>11</v>
      </c>
    </row>
    <row r="100" spans="34:34" ht="11.45" customHeight="1">
      <c r="AH100" s="682">
        <v>11</v>
      </c>
    </row>
    <row r="101" spans="34:34" ht="11.45" customHeight="1">
      <c r="AH101" s="682">
        <v>11</v>
      </c>
    </row>
    <row r="102" spans="34:34" ht="11.45" customHeight="1">
      <c r="AH102" s="682">
        <v>11</v>
      </c>
    </row>
    <row r="103" spans="34:34" ht="11.45" customHeight="1">
      <c r="AH103" s="682">
        <v>11</v>
      </c>
    </row>
    <row r="104" spans="34:34" ht="11.45" customHeight="1">
      <c r="AH104" s="682">
        <v>11</v>
      </c>
    </row>
    <row r="105" spans="34:34" ht="11.45" customHeight="1">
      <c r="AH105" s="682">
        <v>11</v>
      </c>
    </row>
    <row r="106" spans="34:34" ht="11.45" customHeight="1">
      <c r="AH106" s="682">
        <v>11</v>
      </c>
    </row>
    <row r="107" spans="34:34" ht="11.45" customHeight="1">
      <c r="AH107" s="682">
        <v>11</v>
      </c>
    </row>
    <row r="108" spans="34:34" ht="11.45" customHeight="1">
      <c r="AH108" s="682">
        <v>11</v>
      </c>
    </row>
    <row r="109" spans="34:34" ht="11.45" customHeight="1">
      <c r="AH109" s="682">
        <v>11</v>
      </c>
    </row>
    <row r="110" spans="34:34" ht="11.45" customHeight="1">
      <c r="AH110" s="682">
        <v>11</v>
      </c>
    </row>
    <row r="111" spans="34:34" ht="11.45" customHeight="1">
      <c r="AH111" s="682">
        <v>11</v>
      </c>
    </row>
    <row r="112" spans="34:34" ht="11.45" customHeight="1">
      <c r="AH112" s="682">
        <v>11</v>
      </c>
    </row>
    <row r="113" spans="34:34" ht="11.45" customHeight="1">
      <c r="AH113" s="682">
        <v>11</v>
      </c>
    </row>
    <row r="114" spans="34:34" ht="11.45" customHeight="1">
      <c r="AH114" s="682">
        <v>11</v>
      </c>
    </row>
    <row r="115" spans="34:34" ht="11.45" customHeight="1">
      <c r="AH115" s="682">
        <v>11</v>
      </c>
    </row>
    <row r="116" spans="34:34" ht="11.45" customHeight="1">
      <c r="AH116" s="682">
        <v>11</v>
      </c>
    </row>
    <row r="117" spans="34:34" ht="11.45" customHeight="1">
      <c r="AH117" s="682">
        <v>11</v>
      </c>
    </row>
    <row r="118" spans="34:34" ht="11.45" customHeight="1">
      <c r="AH118" s="682">
        <v>11</v>
      </c>
    </row>
    <row r="119" spans="34:34" ht="11.45" customHeight="1">
      <c r="AH119" s="682">
        <v>11</v>
      </c>
    </row>
    <row r="120" spans="34:34" ht="11.45" customHeight="1">
      <c r="AH120" s="682">
        <v>11</v>
      </c>
    </row>
    <row r="121" spans="34:34" ht="11.45" customHeight="1">
      <c r="AH121" s="682">
        <v>11</v>
      </c>
    </row>
    <row r="122" spans="34:34" ht="11.45" customHeight="1">
      <c r="AH122" s="682">
        <v>11</v>
      </c>
    </row>
    <row r="123" spans="34:34" ht="11.45" customHeight="1">
      <c r="AH123" s="682">
        <v>11</v>
      </c>
    </row>
    <row r="124" spans="34:34" ht="11.45" customHeight="1">
      <c r="AH124" s="682">
        <v>11</v>
      </c>
    </row>
    <row r="125" spans="34:34" ht="11.45" customHeight="1">
      <c r="AH125" s="682">
        <v>11</v>
      </c>
    </row>
    <row r="126" spans="34:34" ht="11.45" customHeight="1">
      <c r="AH126" s="682">
        <v>11</v>
      </c>
    </row>
    <row r="127" spans="34:34" ht="11.45" customHeight="1">
      <c r="AH127" s="682">
        <v>11</v>
      </c>
    </row>
    <row r="128" spans="34:34" ht="11.45" customHeight="1">
      <c r="AH128" s="682">
        <v>11</v>
      </c>
    </row>
    <row r="129" spans="34:34" ht="11.45" customHeight="1">
      <c r="AH129" s="682">
        <v>11</v>
      </c>
    </row>
    <row r="130" spans="34:34" ht="11.45" customHeight="1">
      <c r="AH130" s="682">
        <v>11</v>
      </c>
    </row>
    <row r="131" spans="34:34" ht="11.45" customHeight="1">
      <c r="AH131" s="682">
        <v>11</v>
      </c>
    </row>
    <row r="132" spans="34:34" ht="11.45" customHeight="1">
      <c r="AH132" s="682">
        <v>11</v>
      </c>
    </row>
    <row r="133" spans="34:34" ht="11.45" customHeight="1">
      <c r="AH133" s="682">
        <v>11</v>
      </c>
    </row>
    <row r="134" spans="34:34" ht="11.45" customHeight="1">
      <c r="AH134" s="682">
        <v>11</v>
      </c>
    </row>
    <row r="135" spans="34:34" ht="11.45" customHeight="1">
      <c r="AH135" s="682">
        <v>11</v>
      </c>
    </row>
    <row r="136" spans="34:34" ht="11.45" customHeight="1">
      <c r="AH136" s="682">
        <v>11</v>
      </c>
    </row>
    <row r="137" spans="34:34" ht="11.45" customHeight="1">
      <c r="AH137" s="682">
        <v>11</v>
      </c>
    </row>
    <row r="138" spans="34:34" ht="11.45" customHeight="1">
      <c r="AH138" s="682">
        <v>11</v>
      </c>
    </row>
    <row r="139" spans="34:34" ht="11.45" customHeight="1">
      <c r="AH139" s="682">
        <v>11</v>
      </c>
    </row>
    <row r="140" spans="34:34" ht="11.45" customHeight="1">
      <c r="AH140" s="682">
        <v>11</v>
      </c>
    </row>
    <row r="141" spans="34:34" ht="11.45" customHeight="1">
      <c r="AH141" s="682">
        <v>11</v>
      </c>
    </row>
    <row r="142" spans="34:34" ht="11.45" customHeight="1">
      <c r="AH142" s="682">
        <v>11</v>
      </c>
    </row>
    <row r="143" spans="34:34" ht="11.45" customHeight="1">
      <c r="AH143" s="682">
        <v>11</v>
      </c>
    </row>
    <row r="144" spans="34:34" ht="11.45" customHeight="1">
      <c r="AH144" s="682">
        <v>11</v>
      </c>
    </row>
    <row r="145" spans="34:34" ht="11.45" customHeight="1">
      <c r="AH145" s="682">
        <v>11</v>
      </c>
    </row>
    <row r="146" spans="34:34" ht="11.45" customHeight="1">
      <c r="AH146" s="682">
        <v>11</v>
      </c>
    </row>
    <row r="147" spans="34:34" ht="11.45" customHeight="1">
      <c r="AH147" s="682">
        <v>11</v>
      </c>
    </row>
    <row r="148" spans="34:34" ht="11.45" customHeight="1">
      <c r="AH148" s="682">
        <v>11</v>
      </c>
    </row>
    <row r="149" spans="34:34" ht="11.45" customHeight="1">
      <c r="AH149" s="682">
        <v>11</v>
      </c>
    </row>
    <row r="150" spans="34:34" ht="11.45" customHeight="1">
      <c r="AH150" s="682">
        <v>11</v>
      </c>
    </row>
    <row r="151" spans="34:34" ht="11.45" customHeight="1">
      <c r="AH151" s="682">
        <v>11</v>
      </c>
    </row>
    <row r="152" spans="34:34" ht="11.45" customHeight="1">
      <c r="AH152" s="682">
        <v>11</v>
      </c>
    </row>
    <row r="153" spans="34:34" ht="11.45" customHeight="1">
      <c r="AH153" s="682">
        <v>11</v>
      </c>
    </row>
    <row r="154" spans="34:34" ht="11.45" customHeight="1">
      <c r="AH154" s="682">
        <v>11</v>
      </c>
    </row>
    <row r="155" spans="34:34" ht="11.45" customHeight="1">
      <c r="AH155" s="682">
        <v>11</v>
      </c>
    </row>
    <row r="156" spans="34:34" ht="11.45" customHeight="1">
      <c r="AH156" s="682">
        <v>11</v>
      </c>
    </row>
    <row r="157" spans="34:34" ht="11.45" customHeight="1">
      <c r="AH157" s="682">
        <v>11</v>
      </c>
    </row>
    <row r="158" spans="34:34" ht="11.45" customHeight="1">
      <c r="AH158" s="682">
        <v>11</v>
      </c>
    </row>
    <row r="159" spans="34:34" ht="11.45" customHeight="1">
      <c r="AH159" s="682">
        <v>11</v>
      </c>
    </row>
    <row r="160" spans="34:34" ht="11.45" customHeight="1">
      <c r="AH160" s="682">
        <v>11</v>
      </c>
    </row>
    <row r="161" spans="34:34" ht="11.45" customHeight="1">
      <c r="AH161" s="682">
        <v>11</v>
      </c>
    </row>
    <row r="162" spans="34:34" ht="11.45" customHeight="1">
      <c r="AH162" s="682">
        <v>11</v>
      </c>
    </row>
    <row r="163" spans="34:34" ht="11.45" customHeight="1">
      <c r="AH163" s="682">
        <v>11</v>
      </c>
    </row>
    <row r="164" spans="34:34" ht="11.45" customHeight="1">
      <c r="AH164" s="682">
        <v>11</v>
      </c>
    </row>
    <row r="165" spans="34:34" ht="11.45" customHeight="1">
      <c r="AH165" s="682">
        <v>11</v>
      </c>
    </row>
    <row r="166" spans="34:34" ht="11.45" customHeight="1">
      <c r="AH166" s="682">
        <v>11</v>
      </c>
    </row>
    <row r="167" spans="34:34" ht="11.45" customHeight="1">
      <c r="AH167" s="682">
        <v>11</v>
      </c>
    </row>
    <row r="168" spans="34:34" ht="11.45" customHeight="1">
      <c r="AH168" s="682">
        <v>11</v>
      </c>
    </row>
    <row r="169" spans="34:34" ht="11.45" customHeight="1">
      <c r="AH169" s="682">
        <v>11</v>
      </c>
    </row>
    <row r="170" spans="34:34" ht="11.45" customHeight="1">
      <c r="AH170" s="682">
        <v>11</v>
      </c>
    </row>
    <row r="171" spans="34:34" ht="11.45" customHeight="1">
      <c r="AH171" s="682">
        <v>11</v>
      </c>
    </row>
    <row r="172" spans="34:34" ht="11.45" customHeight="1">
      <c r="AH172" s="682">
        <v>11</v>
      </c>
    </row>
    <row r="173" spans="34:34" ht="11.45" customHeight="1">
      <c r="AH173" s="682">
        <v>11</v>
      </c>
    </row>
    <row r="174" spans="34:34" ht="11.45" customHeight="1">
      <c r="AH174" s="682">
        <v>11</v>
      </c>
    </row>
    <row r="175" spans="34:34" ht="11.45" customHeight="1">
      <c r="AH175" s="682">
        <v>11</v>
      </c>
    </row>
    <row r="176" spans="34:34" ht="11.45" customHeight="1">
      <c r="AH176" s="682">
        <v>11</v>
      </c>
    </row>
    <row r="177" spans="34:34" ht="11.45" customHeight="1">
      <c r="AH177" s="682">
        <v>11</v>
      </c>
    </row>
    <row r="178" spans="34:34" ht="11.45" customHeight="1">
      <c r="AH178" s="682">
        <v>11</v>
      </c>
    </row>
    <row r="179" spans="34:34" ht="11.45" customHeight="1">
      <c r="AH179" s="682">
        <v>11</v>
      </c>
    </row>
    <row r="180" spans="34:34" ht="11.45" customHeight="1">
      <c r="AH180" s="682">
        <v>11</v>
      </c>
    </row>
    <row r="181" spans="34:34" ht="11.45" customHeight="1">
      <c r="AH181" s="682">
        <v>11</v>
      </c>
    </row>
    <row r="182" spans="34:34" ht="11.45" customHeight="1">
      <c r="AH182" s="682">
        <v>11</v>
      </c>
    </row>
    <row r="183" spans="34:34" ht="11.45" customHeight="1">
      <c r="AH183" s="682">
        <v>11</v>
      </c>
    </row>
    <row r="184" spans="34:34" ht="11.45" customHeight="1">
      <c r="AH184" s="682">
        <v>11</v>
      </c>
    </row>
    <row r="185" spans="34:34" ht="11.45" customHeight="1">
      <c r="AH185" s="682">
        <v>11</v>
      </c>
    </row>
    <row r="186" spans="34:34" ht="11.45" customHeight="1">
      <c r="AH186" s="682">
        <v>11</v>
      </c>
    </row>
    <row r="187" spans="34:34" ht="11.45" customHeight="1">
      <c r="AH187" s="682">
        <v>11</v>
      </c>
    </row>
    <row r="188" spans="34:34" ht="11.45" customHeight="1">
      <c r="AH188" s="682">
        <v>11</v>
      </c>
    </row>
    <row r="189" spans="34:34" ht="11.45" customHeight="1">
      <c r="AH189" s="682">
        <v>11</v>
      </c>
    </row>
    <row r="190" spans="34:34" ht="11.45" customHeight="1">
      <c r="AH190" s="682">
        <v>11</v>
      </c>
    </row>
    <row r="191" spans="34:34" ht="11.45" customHeight="1">
      <c r="AH191" s="682">
        <v>11</v>
      </c>
    </row>
    <row r="192" spans="34:34" ht="11.45" customHeight="1">
      <c r="AH192" s="682">
        <v>11</v>
      </c>
    </row>
    <row r="193" spans="34:34" ht="11.45" customHeight="1">
      <c r="AH193" s="682">
        <v>11</v>
      </c>
    </row>
    <row r="194" spans="34:34" ht="11.45" customHeight="1">
      <c r="AH194" s="682">
        <v>11</v>
      </c>
    </row>
    <row r="195" spans="34:34" ht="11.45" customHeight="1">
      <c r="AH195" s="682">
        <v>11</v>
      </c>
    </row>
    <row r="196" spans="34:34" ht="11.45" customHeight="1">
      <c r="AH196" s="682">
        <v>11</v>
      </c>
    </row>
    <row r="197" spans="34:34" ht="11.45" customHeight="1">
      <c r="AH197" s="682">
        <v>11</v>
      </c>
    </row>
    <row r="198" spans="34:34" ht="11.45" customHeight="1">
      <c r="AH198" s="682">
        <v>11</v>
      </c>
    </row>
    <row r="199" spans="34:34" ht="11.45" customHeight="1">
      <c r="AH199" s="682">
        <v>11</v>
      </c>
    </row>
    <row r="200" spans="34:34" ht="11.45" customHeight="1">
      <c r="AH200" s="682">
        <v>11</v>
      </c>
    </row>
    <row r="201" spans="34:34" ht="11.45" customHeight="1">
      <c r="AH201" s="682">
        <v>11</v>
      </c>
    </row>
    <row r="202" spans="34:34" ht="11.45" customHeight="1">
      <c r="AH202" s="682">
        <v>11</v>
      </c>
    </row>
    <row r="203" spans="34:34" ht="11.45" customHeight="1">
      <c r="AH203" s="539">
        <v>11</v>
      </c>
    </row>
    <row r="204" spans="34:34" ht="11.45" customHeight="1">
      <c r="AH204" s="539">
        <v>11</v>
      </c>
    </row>
    <row r="205" spans="34:34" ht="11.45" customHeight="1">
      <c r="AH205" s="539">
        <v>11</v>
      </c>
    </row>
    <row r="206" spans="34:34" ht="11.45" customHeight="1">
      <c r="AH206" s="539">
        <v>11</v>
      </c>
    </row>
    <row r="207" spans="34:34" ht="11.45" customHeight="1">
      <c r="AH207" s="539">
        <v>11</v>
      </c>
    </row>
    <row r="208" spans="34:34" ht="11.45" customHeight="1">
      <c r="AH208" s="539">
        <v>11</v>
      </c>
    </row>
    <row r="209" spans="1:34" ht="11.45" customHeight="1">
      <c r="AH209" s="539">
        <v>11</v>
      </c>
    </row>
    <row r="210" spans="1:34" ht="11.45" customHeight="1">
      <c r="AH210" s="539">
        <v>11</v>
      </c>
    </row>
    <row r="211" spans="1:34" ht="11.45" customHeight="1">
      <c r="AH211" s="539">
        <v>11</v>
      </c>
    </row>
    <row r="212" spans="1:34" ht="11.45" customHeight="1">
      <c r="AH212" s="539">
        <v>11</v>
      </c>
    </row>
    <row r="213" spans="1:34" ht="11.45" customHeight="1">
      <c r="AH213" s="539">
        <v>11</v>
      </c>
    </row>
    <row r="214" spans="1:34" ht="11.45" customHeight="1">
      <c r="AH214" s="539">
        <v>11</v>
      </c>
    </row>
    <row r="215" spans="1:34" ht="11.45" customHeight="1">
      <c r="AH215" s="539">
        <v>11</v>
      </c>
    </row>
    <row r="216" spans="1:34" ht="11.45" customHeight="1">
      <c r="AH216" s="539">
        <v>11</v>
      </c>
    </row>
    <row r="217" spans="1:34" ht="11.25" hidden="1" customHeight="1">
      <c r="A217" s="424" t="s">
        <v>81</v>
      </c>
      <c r="B217" s="556">
        <v>0</v>
      </c>
      <c r="C217" s="578">
        <v>0</v>
      </c>
      <c r="D217" s="539">
        <v>3</v>
      </c>
      <c r="E217" s="539">
        <v>7</v>
      </c>
      <c r="F217" s="539">
        <v>56</v>
      </c>
      <c r="G217" s="539">
        <v>10</v>
      </c>
      <c r="H217" s="539">
        <v>0</v>
      </c>
      <c r="I217" s="539">
        <v>40</v>
      </c>
      <c r="J217" s="3">
        <v>0</v>
      </c>
      <c r="K217" s="3">
        <v>0</v>
      </c>
      <c r="L217" s="539">
        <v>102</v>
      </c>
      <c r="M217" s="556">
        <v>9</v>
      </c>
      <c r="N217" s="578">
        <v>5</v>
      </c>
      <c r="O217" s="578">
        <v>3</v>
      </c>
      <c r="P217" s="556">
        <v>3</v>
      </c>
      <c r="Q217" s="556">
        <v>3</v>
      </c>
      <c r="R217" s="556">
        <v>3</v>
      </c>
      <c r="S217" s="556">
        <v>3</v>
      </c>
      <c r="T217" s="578">
        <v>10</v>
      </c>
      <c r="U217" s="556">
        <v>34</v>
      </c>
      <c r="V217" s="556">
        <v>9</v>
      </c>
      <c r="W217" s="937">
        <v>8</v>
      </c>
      <c r="X217" s="556">
        <v>8</v>
      </c>
      <c r="Y217" s="556">
        <v>8</v>
      </c>
      <c r="Z217" s="556">
        <v>8</v>
      </c>
      <c r="AA217" s="556">
        <v>8</v>
      </c>
      <c r="AB217" s="556">
        <v>8</v>
      </c>
      <c r="AC217" s="537">
        <v>8</v>
      </c>
      <c r="AD217" s="537">
        <v>8</v>
      </c>
      <c r="AE217" s="537">
        <v>8</v>
      </c>
      <c r="AF217" s="537">
        <v>8</v>
      </c>
      <c r="AG217" s="537">
        <v>8</v>
      </c>
      <c r="AH217" s="539">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1030" hidden="1" customWidth="1"/>
    <col min="2" max="2" width="16.85546875" style="1030" hidden="1" customWidth="1"/>
    <col min="3" max="3" width="5.5703125" style="1030" hidden="1" customWidth="1"/>
    <col min="4" max="4" width="3" style="1030" customWidth="1"/>
    <col min="5" max="5" width="7" style="1030" customWidth="1"/>
    <col min="6" max="6" width="54" style="1030" customWidth="1"/>
    <col min="7" max="7" width="10" style="1030" customWidth="1"/>
    <col min="8" max="8" width="40.7109375" style="1030" hidden="1" customWidth="1"/>
    <col min="9" max="9" width="40" style="1030" customWidth="1"/>
    <col min="10" max="11" width="40.7109375" style="1030" customWidth="1"/>
    <col min="12" max="12" width="102" style="1030" customWidth="1"/>
    <col min="13" max="13" width="9" style="1030" customWidth="1"/>
    <col min="14" max="14" width="5" style="1030" customWidth="1"/>
    <col min="15" max="19" width="3" style="1030" customWidth="1"/>
    <col min="20" max="20" width="10" style="1030" customWidth="1"/>
    <col min="21" max="21" width="34" style="1030" customWidth="1"/>
    <col min="22" max="22" width="9" style="1030" customWidth="1"/>
    <col min="23" max="33" width="8" style="1030" customWidth="1"/>
    <col min="34" max="34" width="9.140625" style="1030" hidden="1"/>
  </cols>
  <sheetData>
    <row r="1" spans="5:34" ht="22.5" hidden="1" customHeight="1">
      <c r="H1" s="556">
        <v>4</v>
      </c>
      <c r="I1" s="556">
        <v>4</v>
      </c>
      <c r="J1" s="9">
        <v>4</v>
      </c>
      <c r="K1" s="9">
        <v>4</v>
      </c>
      <c r="AH1" s="556" t="s">
        <v>14</v>
      </c>
    </row>
    <row r="2" spans="5:34" ht="22.5" hidden="1" customHeight="1">
      <c r="E2" s="584"/>
      <c r="F2" s="37"/>
      <c r="G2" s="584" t="s">
        <v>560</v>
      </c>
      <c r="H2" s="312"/>
      <c r="I2" s="312"/>
      <c r="J2" s="312"/>
      <c r="K2" s="312"/>
      <c r="L2" s="917" t="s">
        <v>563</v>
      </c>
      <c r="AH2" s="556">
        <v>0</v>
      </c>
    </row>
    <row r="3" spans="5:34" ht="11.25" hidden="1" customHeight="1">
      <c r="J3"/>
      <c r="K3"/>
      <c r="AH3" s="539">
        <v>0</v>
      </c>
    </row>
    <row r="4" spans="5:34" ht="11.25" hidden="1" customHeight="1">
      <c r="J4"/>
      <c r="K4"/>
      <c r="L4" s="537">
        <v>4</v>
      </c>
      <c r="AH4" s="537">
        <v>0</v>
      </c>
    </row>
    <row r="5" spans="5:34" ht="11.45" customHeight="1">
      <c r="J5"/>
      <c r="K5"/>
      <c r="AH5" s="539">
        <v>11</v>
      </c>
    </row>
    <row r="6" spans="5:34" ht="33.75" customHeight="1">
      <c r="E6" s="1174" t="s">
        <v>791</v>
      </c>
      <c r="F6" s="1174"/>
      <c r="G6" s="1174"/>
      <c r="H6" s="1174"/>
      <c r="I6" s="1174"/>
      <c r="J6" s="125"/>
      <c r="K6" s="125"/>
      <c r="AH6" s="539">
        <v>32</v>
      </c>
    </row>
    <row r="7" spans="5:34" ht="25.15" customHeight="1">
      <c r="E7" s="1148" t="str">
        <f>IF(org=0,"Не определено",org)</f>
        <v>АО "НИЖЕГОРОДСКИЙ ВОДОКАНАЛ"</v>
      </c>
      <c r="F7" s="1148"/>
      <c r="G7" s="1148"/>
      <c r="H7" s="1148"/>
      <c r="I7" s="1148"/>
      <c r="J7" s="77"/>
      <c r="K7" s="77"/>
      <c r="AH7" s="539">
        <v>24</v>
      </c>
    </row>
    <row r="8" spans="5:34" ht="11.45" customHeight="1">
      <c r="J8" t="s">
        <v>22</v>
      </c>
      <c r="K8" t="s">
        <v>22</v>
      </c>
      <c r="AH8" s="539">
        <v>11</v>
      </c>
    </row>
    <row r="9" spans="5:34" ht="1.1499999999999999" customHeight="1">
      <c r="H9" s="919"/>
      <c r="I9" s="919" t="s">
        <v>122</v>
      </c>
      <c r="J9" s="405" t="s">
        <v>127</v>
      </c>
      <c r="K9" s="405" t="s">
        <v>129</v>
      </c>
      <c r="AH9" s="578">
        <v>1</v>
      </c>
    </row>
    <row r="10" spans="5:34" ht="11.45" customHeight="1">
      <c r="E10" s="898"/>
      <c r="F10" s="1278" t="s">
        <v>110</v>
      </c>
      <c r="G10" s="1279"/>
      <c r="H10" s="920" t="str">
        <f>IF(H9="","",INDEX(DIFFERENTIATION_UNMERGE_VD,MATCH(H9,DIFFERENTIATION_ID_DIFF,0)))</f>
        <v/>
      </c>
      <c r="I10" s="920" t="str">
        <f>IF(I9="","",INDEX(DIFFERENTIATION_UNMERGE_VD,MATCH(I9,DIFFERENTIATION_ID_DIFF,0)))</f>
        <v>Водоотведение</v>
      </c>
      <c r="J10" s="406" t="str">
        <f>IF(J9="","",INDEX(DIFFERENTIATION_UNMERGE_VD,MATCH(J9,DIFFERENTIATION_ID_DIFF,0)))</f>
        <v>Водоотведение</v>
      </c>
      <c r="K10" s="406" t="str">
        <f>IF(K9="","",INDEX(DIFFERENTIATION_UNMERGE_VD,MATCH(K9,DIFFERENTIATION_ID_DIFF,0)))</f>
        <v>Подключение (технологическое присоединение) к централизованной системе водоотведения</v>
      </c>
      <c r="L10" s="1070"/>
      <c r="AH10" s="539">
        <v>11</v>
      </c>
    </row>
    <row r="11" spans="5:34" ht="11.45" customHeight="1">
      <c r="E11" s="898"/>
      <c r="F11" s="1278" t="s">
        <v>572</v>
      </c>
      <c r="G11" s="1279"/>
      <c r="H11" s="920" t="str">
        <f>IF(H9="","",INDEX(DIFFERENTIATION_UNMERGE_AREA,MATCH(H9,DIFFERENTIATION_ID_DIFF,0)))</f>
        <v/>
      </c>
      <c r="I11" s="920" t="str">
        <f>IF(I9="","",INDEX(DIFFERENTIATION_UNMERGE_AREA,MATCH(I9,DIFFERENTIATION_ID_DIFF,0)))</f>
        <v>Территория 1</v>
      </c>
      <c r="J11" s="406" t="str">
        <f>IF(J9="","",INDEX(DIFFERENTIATION_UNMERGE_AREA,MATCH(J9,DIFFERENTIATION_ID_DIFF,0)))</f>
        <v>Территория 2</v>
      </c>
      <c r="K11" s="406" t="str">
        <f>IF(K9="","",INDEX(DIFFERENTIATION_UNMERGE_AREA,MATCH(K9,DIFFERENTIATION_ID_DIFF,0)))</f>
        <v>без дифференциации</v>
      </c>
      <c r="L11" s="1070"/>
      <c r="AH11" s="539">
        <v>11</v>
      </c>
    </row>
    <row r="12" spans="5:34" ht="11.25" hidden="1" customHeight="1">
      <c r="E12" s="940"/>
      <c r="F12" s="1297" t="s">
        <v>573</v>
      </c>
      <c r="G12" s="1298"/>
      <c r="H12" s="941" t="str">
        <f>IF(H9="","",INDEX(DIFFERENTIATION_UNMERGE_SYSTEM,MATCH(H9,DIFFERENTIATION_ID_DIFF,0)))</f>
        <v/>
      </c>
      <c r="I12" s="941" t="str">
        <f>IF(I9="","",INDEX(DIFFERENTIATION_UNMERGE_SYSTEM,MATCH(I9,DIFFERENTIATION_ID_DIFF,0)))</f>
        <v>Централизованная система водоотведения города Нижнего Новгорода</v>
      </c>
      <c r="J12" s="427" t="str">
        <f>IF(J9="","",INDEX(DIFFERENTIATION_UNMERGE_SYSTEM,MATCH(J9,DIFFERENTIATION_ID_DIFF,0)))</f>
        <v>Централизованная система водоотведения Кстовского муниципального района</v>
      </c>
      <c r="K12" s="427" t="str">
        <f>IF(K9="","",INDEX(DIFFERENTIATION_UNMERGE_SYSTEM,MATCH(K9,DIFFERENTIATION_ID_DIFF,0)))</f>
        <v>без дифференциации</v>
      </c>
      <c r="L12" s="1070"/>
      <c r="AH12" s="539">
        <v>0</v>
      </c>
    </row>
    <row r="13" spans="5:34" ht="11.45" customHeight="1">
      <c r="E13" s="1280" t="s">
        <v>308</v>
      </c>
      <c r="F13" s="1281"/>
      <c r="G13" s="1281"/>
      <c r="H13" s="899"/>
      <c r="I13" s="899"/>
      <c r="J13" s="381"/>
      <c r="K13" s="381"/>
      <c r="L13" s="1070"/>
      <c r="AH13" s="539">
        <v>11</v>
      </c>
    </row>
    <row r="14" spans="5:34" ht="24" customHeight="1">
      <c r="E14" s="584" t="s">
        <v>87</v>
      </c>
      <c r="F14" s="584" t="s">
        <v>310</v>
      </c>
      <c r="G14" s="584" t="s">
        <v>574</v>
      </c>
      <c r="H14" s="584" t="s">
        <v>311</v>
      </c>
      <c r="I14" s="584" t="s">
        <v>311</v>
      </c>
      <c r="J14" s="35" t="s">
        <v>311</v>
      </c>
      <c r="K14" s="35" t="s">
        <v>311</v>
      </c>
      <c r="L14" s="1070"/>
      <c r="AH14" s="539">
        <v>23</v>
      </c>
    </row>
    <row r="15" spans="5:34" ht="19.899999999999999" customHeight="1">
      <c r="E15" s="428" t="s">
        <v>114</v>
      </c>
      <c r="F15" s="620" t="s">
        <v>792</v>
      </c>
      <c r="G15" s="584" t="s">
        <v>560</v>
      </c>
      <c r="H15" s="407"/>
      <c r="I15" s="407"/>
      <c r="J15" s="407"/>
      <c r="K15" s="407"/>
      <c r="L15" s="796" t="s">
        <v>793</v>
      </c>
      <c r="M15" s="942" t="s">
        <v>647</v>
      </c>
      <c r="AH15" s="539">
        <v>19</v>
      </c>
    </row>
    <row r="16" spans="5:34" ht="24" customHeight="1">
      <c r="E16" s="428" t="s">
        <v>102</v>
      </c>
      <c r="F16" s="623" t="s">
        <v>794</v>
      </c>
      <c r="G16" s="584" t="s">
        <v>560</v>
      </c>
      <c r="H16" s="263">
        <f>SUM(H17,H20:H27)</f>
        <v>0</v>
      </c>
      <c r="I16" s="263">
        <f>SUM(I17,I20:I27)</f>
        <v>0</v>
      </c>
      <c r="J16" s="263">
        <f>SUM(J17,J20:J27)</f>
        <v>0</v>
      </c>
      <c r="K16" s="263">
        <f>SUM(K17,K20:K27)</f>
        <v>0</v>
      </c>
      <c r="L16" s="796" t="s">
        <v>795</v>
      </c>
      <c r="M16" s="942" t="s">
        <v>647</v>
      </c>
      <c r="AH16" s="539">
        <v>23</v>
      </c>
    </row>
    <row r="17" spans="5:34" ht="35.65" customHeight="1">
      <c r="E17" s="429" t="s">
        <v>725</v>
      </c>
      <c r="F17" s="102" t="s">
        <v>796</v>
      </c>
      <c r="G17" s="543" t="s">
        <v>560</v>
      </c>
      <c r="H17" s="407"/>
      <c r="I17" s="407"/>
      <c r="J17" s="407"/>
      <c r="K17" s="407"/>
      <c r="L17" s="796" t="s">
        <v>797</v>
      </c>
      <c r="AH17" s="539">
        <v>34</v>
      </c>
    </row>
    <row r="18" spans="5:34" ht="19.899999999999999" customHeight="1">
      <c r="E18" s="429" t="s">
        <v>728</v>
      </c>
      <c r="F18" s="433" t="s">
        <v>798</v>
      </c>
      <c r="G18" s="543" t="s">
        <v>560</v>
      </c>
      <c r="H18" s="407"/>
      <c r="I18" s="407"/>
      <c r="J18" s="407"/>
      <c r="K18" s="407"/>
      <c r="L18" s="796"/>
      <c r="AH18" s="539">
        <v>19</v>
      </c>
    </row>
    <row r="19" spans="5:34" ht="24" customHeight="1">
      <c r="E19" s="429" t="s">
        <v>731</v>
      </c>
      <c r="F19" s="433" t="s">
        <v>799</v>
      </c>
      <c r="G19" s="543" t="s">
        <v>560</v>
      </c>
      <c r="H19" s="407"/>
      <c r="I19" s="407"/>
      <c r="J19" s="407"/>
      <c r="K19" s="407"/>
      <c r="L19" s="796"/>
      <c r="AH19" s="539">
        <v>23</v>
      </c>
    </row>
    <row r="20" spans="5:34" ht="35.65" customHeight="1">
      <c r="E20" s="429" t="s">
        <v>315</v>
      </c>
      <c r="F20" s="102" t="s">
        <v>800</v>
      </c>
      <c r="G20" s="543" t="s">
        <v>560</v>
      </c>
      <c r="H20" s="407"/>
      <c r="I20" s="407"/>
      <c r="J20" s="407"/>
      <c r="K20" s="407"/>
      <c r="L20" s="796"/>
      <c r="AH20" s="539">
        <v>34</v>
      </c>
    </row>
    <row r="21" spans="5:34" ht="48.2" customHeight="1">
      <c r="E21" s="429" t="s">
        <v>318</v>
      </c>
      <c r="F21" s="102" t="s">
        <v>801</v>
      </c>
      <c r="G21" s="543" t="s">
        <v>560</v>
      </c>
      <c r="H21" s="407"/>
      <c r="I21" s="407"/>
      <c r="J21" s="407"/>
      <c r="K21" s="407"/>
      <c r="L21" s="796"/>
      <c r="AH21" s="539">
        <v>46</v>
      </c>
    </row>
    <row r="22" spans="5:34" ht="60" customHeight="1">
      <c r="E22" s="429" t="s">
        <v>745</v>
      </c>
      <c r="F22" s="102" t="s">
        <v>802</v>
      </c>
      <c r="G22" s="543" t="s">
        <v>560</v>
      </c>
      <c r="H22" s="407"/>
      <c r="I22" s="407"/>
      <c r="J22" s="407"/>
      <c r="K22" s="407"/>
      <c r="L22" s="796"/>
      <c r="AH22" s="539">
        <v>57</v>
      </c>
    </row>
    <row r="23" spans="5:34" ht="35.65" customHeight="1">
      <c r="E23" s="429" t="s">
        <v>752</v>
      </c>
      <c r="F23" s="102" t="s">
        <v>803</v>
      </c>
      <c r="G23" s="543" t="s">
        <v>560</v>
      </c>
      <c r="H23" s="407"/>
      <c r="I23" s="407"/>
      <c r="J23" s="407"/>
      <c r="K23" s="407"/>
      <c r="L23" s="796"/>
      <c r="AH23" s="539">
        <v>34</v>
      </c>
    </row>
    <row r="24" spans="5:34" ht="35.65" customHeight="1">
      <c r="E24" s="429" t="s">
        <v>754</v>
      </c>
      <c r="F24" s="102" t="s">
        <v>804</v>
      </c>
      <c r="G24" s="543" t="s">
        <v>560</v>
      </c>
      <c r="H24" s="407"/>
      <c r="I24" s="407"/>
      <c r="J24" s="407"/>
      <c r="K24" s="407"/>
      <c r="L24" s="796"/>
      <c r="AH24" s="539">
        <v>34</v>
      </c>
    </row>
    <row r="25" spans="5:34" ht="24" customHeight="1">
      <c r="E25" s="429" t="s">
        <v>756</v>
      </c>
      <c r="F25" s="102" t="s">
        <v>805</v>
      </c>
      <c r="G25" s="543" t="s">
        <v>560</v>
      </c>
      <c r="H25" s="407"/>
      <c r="I25" s="407"/>
      <c r="J25" s="407"/>
      <c r="K25" s="407"/>
      <c r="L25" s="796"/>
      <c r="AH25" s="539">
        <v>23</v>
      </c>
    </row>
    <row r="26" spans="5:34" ht="76.5" customHeight="1">
      <c r="E26" s="429" t="s">
        <v>758</v>
      </c>
      <c r="F26" s="102" t="s">
        <v>806</v>
      </c>
      <c r="G26" s="543" t="s">
        <v>560</v>
      </c>
      <c r="H26" s="407"/>
      <c r="I26" s="407"/>
      <c r="J26" s="407"/>
      <c r="K26" s="407"/>
      <c r="L26" s="796"/>
      <c r="AH26" s="539">
        <v>73</v>
      </c>
    </row>
    <row r="27" spans="5:34" ht="35.65" customHeight="1">
      <c r="E27" s="434" t="s">
        <v>762</v>
      </c>
      <c r="F27" s="594" t="s">
        <v>807</v>
      </c>
      <c r="G27" s="618" t="s">
        <v>560</v>
      </c>
      <c r="H27" s="413">
        <f>SUM(H28:H29)</f>
        <v>0</v>
      </c>
      <c r="I27" s="413">
        <f>SUM(I28:I29)</f>
        <v>0</v>
      </c>
      <c r="J27" s="413">
        <f>SUM(J28:J29)</f>
        <v>0</v>
      </c>
      <c r="K27" s="413">
        <f>SUM(K28:K29)</f>
        <v>0</v>
      </c>
      <c r="L27" s="796" t="s">
        <v>760</v>
      </c>
      <c r="AH27" s="556">
        <v>34</v>
      </c>
    </row>
    <row r="28" spans="5:34" ht="1.1499999999999999" customHeight="1">
      <c r="E28" s="585" t="str">
        <f>E27&amp;".0"</f>
        <v>2.9.0</v>
      </c>
      <c r="F28" s="928"/>
      <c r="G28" s="585"/>
      <c r="H28" s="414"/>
      <c r="I28" s="414"/>
      <c r="J28" s="414"/>
      <c r="K28" s="414"/>
      <c r="L28" s="929"/>
      <c r="AH28" s="578">
        <v>1</v>
      </c>
    </row>
    <row r="29" spans="5:34" ht="19.899999999999999" customHeight="1">
      <c r="E29" s="410"/>
      <c r="F29" s="432" t="s">
        <v>591</v>
      </c>
      <c r="G29" s="762"/>
      <c r="H29" s="906"/>
      <c r="I29" s="906"/>
      <c r="J29" s="395"/>
      <c r="K29" s="395"/>
      <c r="L29" s="818" t="s">
        <v>761</v>
      </c>
      <c r="AH29" s="556">
        <v>19</v>
      </c>
    </row>
    <row r="30" spans="5:34" ht="24" customHeight="1">
      <c r="E30" s="429" t="s">
        <v>89</v>
      </c>
      <c r="F30" s="394" t="s">
        <v>808</v>
      </c>
      <c r="G30" s="543" t="s">
        <v>560</v>
      </c>
      <c r="H30" s="407"/>
      <c r="I30" s="407"/>
      <c r="J30" s="407"/>
      <c r="K30" s="407"/>
      <c r="L30" s="796"/>
      <c r="AH30" s="556">
        <v>23</v>
      </c>
    </row>
    <row r="31" spans="5:34" ht="35.65" customHeight="1">
      <c r="E31" s="429" t="s">
        <v>90</v>
      </c>
      <c r="F31" s="394" t="s">
        <v>809</v>
      </c>
      <c r="G31" s="543" t="s">
        <v>560</v>
      </c>
      <c r="H31" s="407"/>
      <c r="I31" s="407"/>
      <c r="J31" s="407"/>
      <c r="K31" s="407"/>
      <c r="L31" s="796" t="s">
        <v>810</v>
      </c>
      <c r="AH31" s="556">
        <v>34</v>
      </c>
    </row>
    <row r="32" spans="5:34" ht="24" customHeight="1">
      <c r="E32" s="429" t="s">
        <v>770</v>
      </c>
      <c r="F32" s="102" t="s">
        <v>774</v>
      </c>
      <c r="G32" s="543" t="s">
        <v>560</v>
      </c>
      <c r="H32" s="407"/>
      <c r="I32" s="407"/>
      <c r="J32" s="407"/>
      <c r="K32" s="407"/>
      <c r="L32" s="796" t="s">
        <v>811</v>
      </c>
      <c r="AH32" s="556">
        <v>23</v>
      </c>
    </row>
    <row r="33" spans="3:34" ht="24" customHeight="1">
      <c r="E33" s="429" t="s">
        <v>812</v>
      </c>
      <c r="F33" s="102" t="s">
        <v>813</v>
      </c>
      <c r="G33" s="543" t="s">
        <v>560</v>
      </c>
      <c r="H33" s="407"/>
      <c r="I33" s="407"/>
      <c r="J33" s="407"/>
      <c r="K33" s="407"/>
      <c r="L33" s="796" t="s">
        <v>814</v>
      </c>
      <c r="AH33" s="556">
        <v>23</v>
      </c>
    </row>
    <row r="34" spans="3:34" ht="24" customHeight="1">
      <c r="E34" s="429" t="s">
        <v>815</v>
      </c>
      <c r="F34" s="102" t="s">
        <v>780</v>
      </c>
      <c r="G34" s="543" t="s">
        <v>560</v>
      </c>
      <c r="H34" s="407"/>
      <c r="I34" s="407"/>
      <c r="J34" s="407"/>
      <c r="K34" s="407"/>
      <c r="L34" s="796" t="s">
        <v>816</v>
      </c>
      <c r="AH34" s="556">
        <v>23</v>
      </c>
    </row>
    <row r="35" spans="3:34" ht="35.65" customHeight="1">
      <c r="C35" s="578" t="s">
        <v>603</v>
      </c>
      <c r="E35" s="429" t="s">
        <v>115</v>
      </c>
      <c r="F35" s="394" t="s">
        <v>646</v>
      </c>
      <c r="G35" s="584" t="s">
        <v>314</v>
      </c>
      <c r="H35" s="998"/>
      <c r="I35" s="998"/>
      <c r="J35" s="998"/>
      <c r="K35" s="998"/>
      <c r="L35" s="796" t="s">
        <v>817</v>
      </c>
      <c r="AH35" s="556">
        <v>34</v>
      </c>
    </row>
    <row r="36" spans="3:34" ht="35.65" customHeight="1">
      <c r="E36" s="429" t="s">
        <v>91</v>
      </c>
      <c r="F36" s="394" t="s">
        <v>818</v>
      </c>
      <c r="G36" s="543" t="s">
        <v>785</v>
      </c>
      <c r="H36" s="404"/>
      <c r="I36" s="404"/>
      <c r="J36" s="404"/>
      <c r="K36" s="404"/>
      <c r="L36" s="796" t="s">
        <v>786</v>
      </c>
      <c r="AH36" s="556">
        <v>34</v>
      </c>
    </row>
    <row r="37" spans="3:34" ht="24" customHeight="1">
      <c r="E37" s="429" t="s">
        <v>92</v>
      </c>
      <c r="F37" s="394" t="s">
        <v>819</v>
      </c>
      <c r="G37" s="543" t="s">
        <v>788</v>
      </c>
      <c r="H37" s="404"/>
      <c r="I37" s="404"/>
      <c r="J37" s="404"/>
      <c r="K37" s="404"/>
      <c r="L37" s="796" t="s">
        <v>789</v>
      </c>
      <c r="AH37" s="556">
        <v>23</v>
      </c>
    </row>
    <row r="38" spans="3:34" ht="11.45" customHeight="1">
      <c r="AH38" s="539">
        <v>11</v>
      </c>
    </row>
    <row r="39" spans="3:34" ht="27.4" customHeight="1">
      <c r="E39" s="894" t="s">
        <v>820</v>
      </c>
      <c r="F39" s="1299" t="s">
        <v>821</v>
      </c>
      <c r="G39" s="1038"/>
      <c r="AH39" s="539">
        <v>26</v>
      </c>
    </row>
    <row r="40" spans="3:34" ht="39.75" customHeight="1">
      <c r="F40" s="1299" t="s">
        <v>822</v>
      </c>
      <c r="G40" s="1038"/>
      <c r="AH40" s="682">
        <v>38</v>
      </c>
    </row>
    <row r="41" spans="3:34" ht="11.45" customHeight="1">
      <c r="AH41" s="682">
        <v>11</v>
      </c>
    </row>
    <row r="42" spans="3:34" ht="11.45" customHeight="1">
      <c r="AH42" s="682">
        <v>11</v>
      </c>
    </row>
    <row r="43" spans="3:34" ht="11.45" customHeight="1">
      <c r="AH43" s="682">
        <v>11</v>
      </c>
    </row>
    <row r="44" spans="3:34" ht="11.45" customHeight="1">
      <c r="AH44" s="682">
        <v>11</v>
      </c>
    </row>
    <row r="45" spans="3:34" ht="11.45" customHeight="1">
      <c r="AH45" s="682">
        <v>11</v>
      </c>
    </row>
    <row r="46" spans="3:34" ht="11.45" customHeight="1">
      <c r="AH46" s="682">
        <v>11</v>
      </c>
    </row>
    <row r="47" spans="3:34" ht="11.45" customHeight="1">
      <c r="AH47" s="682">
        <v>11</v>
      </c>
    </row>
    <row r="48" spans="3:34" ht="11.45" customHeight="1">
      <c r="AH48" s="682">
        <v>11</v>
      </c>
    </row>
    <row r="49" spans="34:34" ht="11.45" customHeight="1">
      <c r="AH49" s="682">
        <v>11</v>
      </c>
    </row>
    <row r="50" spans="34:34" ht="11.45" customHeight="1">
      <c r="AH50" s="682">
        <v>11</v>
      </c>
    </row>
    <row r="51" spans="34:34" ht="11.45" customHeight="1">
      <c r="AH51" s="682">
        <v>11</v>
      </c>
    </row>
    <row r="52" spans="34:34" ht="11.45" customHeight="1">
      <c r="AH52" s="682">
        <v>11</v>
      </c>
    </row>
    <row r="53" spans="34:34" ht="11.45" customHeight="1">
      <c r="AH53" s="682">
        <v>11</v>
      </c>
    </row>
    <row r="54" spans="34:34" ht="11.45" customHeight="1">
      <c r="AH54" s="682">
        <v>11</v>
      </c>
    </row>
    <row r="55" spans="34:34" ht="11.45" customHeight="1">
      <c r="AH55" s="682">
        <v>11</v>
      </c>
    </row>
    <row r="56" spans="34:34" ht="11.45" customHeight="1">
      <c r="AH56" s="682">
        <v>11</v>
      </c>
    </row>
    <row r="57" spans="34:34" ht="11.45" customHeight="1">
      <c r="AH57" s="682">
        <v>11</v>
      </c>
    </row>
    <row r="58" spans="34:34" ht="11.45" customHeight="1">
      <c r="AH58" s="682">
        <v>11</v>
      </c>
    </row>
    <row r="59" spans="34:34" ht="11.45" customHeight="1">
      <c r="AH59" s="682">
        <v>11</v>
      </c>
    </row>
    <row r="60" spans="34:34" ht="11.45" customHeight="1">
      <c r="AH60" s="682">
        <v>11</v>
      </c>
    </row>
    <row r="61" spans="34:34" ht="11.45" customHeight="1">
      <c r="AH61" s="682">
        <v>11</v>
      </c>
    </row>
    <row r="62" spans="34:34" ht="11.45" customHeight="1">
      <c r="AH62" s="682">
        <v>11</v>
      </c>
    </row>
    <row r="63" spans="34:34" ht="11.45" customHeight="1">
      <c r="AH63" s="682">
        <v>11</v>
      </c>
    </row>
    <row r="64" spans="34:34" ht="11.45" customHeight="1">
      <c r="AH64" s="682">
        <v>11</v>
      </c>
    </row>
    <row r="65" spans="34:34" ht="11.45" customHeight="1">
      <c r="AH65" s="682">
        <v>11</v>
      </c>
    </row>
    <row r="66" spans="34:34" ht="11.45" customHeight="1">
      <c r="AH66" s="682">
        <v>11</v>
      </c>
    </row>
    <row r="67" spans="34:34" ht="11.45" customHeight="1">
      <c r="AH67" s="682">
        <v>11</v>
      </c>
    </row>
    <row r="68" spans="34:34" ht="11.45" customHeight="1">
      <c r="AH68" s="682">
        <v>11</v>
      </c>
    </row>
    <row r="69" spans="34:34" ht="11.45" customHeight="1">
      <c r="AH69" s="682">
        <v>11</v>
      </c>
    </row>
    <row r="70" spans="34:34" ht="11.45" customHeight="1">
      <c r="AH70" s="682">
        <v>11</v>
      </c>
    </row>
    <row r="71" spans="34:34" ht="11.45" customHeight="1">
      <c r="AH71" s="682">
        <v>11</v>
      </c>
    </row>
    <row r="72" spans="34:34" ht="11.45" customHeight="1">
      <c r="AH72" s="682">
        <v>11</v>
      </c>
    </row>
    <row r="73" spans="34:34" ht="11.45" customHeight="1">
      <c r="AH73" s="682">
        <v>11</v>
      </c>
    </row>
    <row r="74" spans="34:34" ht="11.45" customHeight="1">
      <c r="AH74" s="682">
        <v>11</v>
      </c>
    </row>
    <row r="75" spans="34:34" ht="11.45" customHeight="1">
      <c r="AH75" s="682">
        <v>11</v>
      </c>
    </row>
    <row r="76" spans="34:34" ht="11.45" customHeight="1">
      <c r="AH76" s="682">
        <v>11</v>
      </c>
    </row>
    <row r="77" spans="34:34" ht="11.45" customHeight="1">
      <c r="AH77" s="682">
        <v>11</v>
      </c>
    </row>
    <row r="78" spans="34:34" ht="11.45" customHeight="1">
      <c r="AH78" s="682">
        <v>11</v>
      </c>
    </row>
    <row r="79" spans="34:34" ht="11.45" customHeight="1">
      <c r="AH79" s="682">
        <v>11</v>
      </c>
    </row>
    <row r="80" spans="34:34" ht="11.45" customHeight="1">
      <c r="AH80" s="682">
        <v>11</v>
      </c>
    </row>
    <row r="81" spans="34:34" ht="11.45" customHeight="1">
      <c r="AH81" s="682">
        <v>11</v>
      </c>
    </row>
    <row r="82" spans="34:34" ht="11.45" customHeight="1">
      <c r="AH82" s="682">
        <v>11</v>
      </c>
    </row>
    <row r="83" spans="34:34" ht="11.45" customHeight="1">
      <c r="AH83" s="682">
        <v>11</v>
      </c>
    </row>
    <row r="84" spans="34:34" ht="11.45" customHeight="1">
      <c r="AH84" s="682">
        <v>11</v>
      </c>
    </row>
    <row r="85" spans="34:34" ht="11.45" customHeight="1">
      <c r="AH85" s="682">
        <v>11</v>
      </c>
    </row>
    <row r="86" spans="34:34" ht="11.45" customHeight="1">
      <c r="AH86" s="682">
        <v>11</v>
      </c>
    </row>
    <row r="87" spans="34:34" ht="11.45" customHeight="1">
      <c r="AH87" s="682">
        <v>11</v>
      </c>
    </row>
    <row r="88" spans="34:34" ht="11.45" customHeight="1">
      <c r="AH88" s="682">
        <v>11</v>
      </c>
    </row>
    <row r="89" spans="34:34" ht="11.45" customHeight="1">
      <c r="AH89" s="682">
        <v>11</v>
      </c>
    </row>
    <row r="90" spans="34:34" ht="11.45" customHeight="1">
      <c r="AH90" s="682">
        <v>11</v>
      </c>
    </row>
    <row r="91" spans="34:34" ht="11.45" customHeight="1">
      <c r="AH91" s="682">
        <v>11</v>
      </c>
    </row>
    <row r="92" spans="34:34" ht="11.45" customHeight="1">
      <c r="AH92" s="682">
        <v>11</v>
      </c>
    </row>
    <row r="93" spans="34:34" ht="11.45" customHeight="1">
      <c r="AH93" s="682">
        <v>11</v>
      </c>
    </row>
    <row r="94" spans="34:34" ht="11.45" customHeight="1">
      <c r="AH94" s="682">
        <v>11</v>
      </c>
    </row>
    <row r="95" spans="34:34" ht="11.45" customHeight="1">
      <c r="AH95" s="682">
        <v>11</v>
      </c>
    </row>
    <row r="96" spans="34:34" ht="11.45" customHeight="1">
      <c r="AH96" s="682">
        <v>11</v>
      </c>
    </row>
    <row r="97" spans="34:34" ht="11.45" customHeight="1">
      <c r="AH97" s="682">
        <v>11</v>
      </c>
    </row>
    <row r="98" spans="34:34" ht="11.45" customHeight="1">
      <c r="AH98" s="682">
        <v>11</v>
      </c>
    </row>
    <row r="99" spans="34:34" ht="11.45" customHeight="1">
      <c r="AH99" s="682">
        <v>11</v>
      </c>
    </row>
    <row r="100" spans="34:34" ht="11.45" customHeight="1">
      <c r="AH100" s="682">
        <v>11</v>
      </c>
    </row>
    <row r="101" spans="34:34" ht="11.45" customHeight="1">
      <c r="AH101" s="682">
        <v>11</v>
      </c>
    </row>
    <row r="102" spans="34:34" ht="11.45" customHeight="1">
      <c r="AH102" s="682">
        <v>11</v>
      </c>
    </row>
    <row r="103" spans="34:34" ht="11.45" customHeight="1">
      <c r="AH103" s="682">
        <v>11</v>
      </c>
    </row>
    <row r="104" spans="34:34" ht="11.45" customHeight="1">
      <c r="AH104" s="682">
        <v>11</v>
      </c>
    </row>
    <row r="105" spans="34:34" ht="11.45" customHeight="1">
      <c r="AH105" s="682">
        <v>11</v>
      </c>
    </row>
    <row r="106" spans="34:34" ht="11.45" customHeight="1">
      <c r="AH106" s="682">
        <v>11</v>
      </c>
    </row>
    <row r="107" spans="34:34" ht="11.45" customHeight="1">
      <c r="AH107" s="682">
        <v>11</v>
      </c>
    </row>
    <row r="108" spans="34:34" ht="11.45" customHeight="1">
      <c r="AH108" s="682">
        <v>11</v>
      </c>
    </row>
    <row r="109" spans="34:34" ht="11.45" customHeight="1">
      <c r="AH109" s="682">
        <v>11</v>
      </c>
    </row>
    <row r="110" spans="34:34" ht="11.45" customHeight="1">
      <c r="AH110" s="682">
        <v>11</v>
      </c>
    </row>
    <row r="111" spans="34:34" ht="11.45" customHeight="1">
      <c r="AH111" s="682">
        <v>11</v>
      </c>
    </row>
    <row r="112" spans="34:34" ht="11.45" customHeight="1">
      <c r="AH112" s="682">
        <v>11</v>
      </c>
    </row>
    <row r="113" spans="34:34" ht="11.45" customHeight="1">
      <c r="AH113" s="682">
        <v>11</v>
      </c>
    </row>
    <row r="114" spans="34:34" ht="11.45" customHeight="1">
      <c r="AH114" s="682">
        <v>11</v>
      </c>
    </row>
    <row r="115" spans="34:34" ht="11.45" customHeight="1">
      <c r="AH115" s="682">
        <v>11</v>
      </c>
    </row>
    <row r="116" spans="34:34" ht="11.45" customHeight="1">
      <c r="AH116" s="682">
        <v>11</v>
      </c>
    </row>
    <row r="117" spans="34:34" ht="11.45" customHeight="1">
      <c r="AH117" s="682">
        <v>11</v>
      </c>
    </row>
    <row r="118" spans="34:34" ht="11.45" customHeight="1">
      <c r="AH118" s="682">
        <v>11</v>
      </c>
    </row>
    <row r="119" spans="34:34" ht="11.45" customHeight="1">
      <c r="AH119" s="682">
        <v>11</v>
      </c>
    </row>
    <row r="120" spans="34:34" ht="11.45" customHeight="1">
      <c r="AH120" s="682">
        <v>11</v>
      </c>
    </row>
    <row r="121" spans="34:34" ht="11.45" customHeight="1">
      <c r="AH121" s="682">
        <v>11</v>
      </c>
    </row>
    <row r="122" spans="34:34" ht="11.45" customHeight="1">
      <c r="AH122" s="682">
        <v>11</v>
      </c>
    </row>
    <row r="123" spans="34:34" ht="11.45" customHeight="1">
      <c r="AH123" s="682">
        <v>11</v>
      </c>
    </row>
    <row r="124" spans="34:34" ht="11.45" customHeight="1">
      <c r="AH124" s="682">
        <v>11</v>
      </c>
    </row>
    <row r="125" spans="34:34" ht="11.45" customHeight="1">
      <c r="AH125" s="682">
        <v>11</v>
      </c>
    </row>
    <row r="126" spans="34:34" ht="11.45" customHeight="1">
      <c r="AH126" s="682">
        <v>11</v>
      </c>
    </row>
    <row r="127" spans="34:34" ht="11.45" customHeight="1">
      <c r="AH127" s="682">
        <v>11</v>
      </c>
    </row>
    <row r="128" spans="34:34" ht="11.45" customHeight="1">
      <c r="AH128" s="682">
        <v>11</v>
      </c>
    </row>
    <row r="129" spans="34:34" ht="11.45" customHeight="1">
      <c r="AH129" s="682">
        <v>11</v>
      </c>
    </row>
    <row r="130" spans="34:34" ht="11.45" customHeight="1">
      <c r="AH130" s="682">
        <v>11</v>
      </c>
    </row>
    <row r="131" spans="34:34" ht="11.45" customHeight="1">
      <c r="AH131" s="682">
        <v>11</v>
      </c>
    </row>
    <row r="132" spans="34:34" ht="11.45" customHeight="1">
      <c r="AH132" s="682">
        <v>11</v>
      </c>
    </row>
    <row r="133" spans="34:34" ht="11.45" customHeight="1">
      <c r="AH133" s="682">
        <v>11</v>
      </c>
    </row>
    <row r="134" spans="34:34" ht="11.45" customHeight="1">
      <c r="AH134" s="682">
        <v>11</v>
      </c>
    </row>
    <row r="135" spans="34:34" ht="11.45" customHeight="1">
      <c r="AH135" s="682">
        <v>11</v>
      </c>
    </row>
    <row r="136" spans="34:34" ht="11.45" customHeight="1">
      <c r="AH136" s="682">
        <v>11</v>
      </c>
    </row>
    <row r="137" spans="34:34" ht="11.45" customHeight="1">
      <c r="AH137" s="682">
        <v>11</v>
      </c>
    </row>
    <row r="138" spans="34:34" ht="11.45" customHeight="1">
      <c r="AH138" s="682">
        <v>11</v>
      </c>
    </row>
    <row r="139" spans="34:34" ht="11.45" customHeight="1">
      <c r="AH139" s="682">
        <v>11</v>
      </c>
    </row>
    <row r="140" spans="34:34" ht="11.45" customHeight="1">
      <c r="AH140" s="682">
        <v>11</v>
      </c>
    </row>
    <row r="141" spans="34:34" ht="11.45" customHeight="1">
      <c r="AH141" s="682">
        <v>11</v>
      </c>
    </row>
    <row r="142" spans="34:34" ht="11.45" customHeight="1">
      <c r="AH142" s="682">
        <v>11</v>
      </c>
    </row>
    <row r="143" spans="34:34" ht="11.45" customHeight="1">
      <c r="AH143" s="682">
        <v>11</v>
      </c>
    </row>
    <row r="144" spans="34:34" ht="11.45" customHeight="1">
      <c r="AH144" s="682">
        <v>11</v>
      </c>
    </row>
    <row r="145" spans="34:34" ht="11.45" customHeight="1">
      <c r="AH145" s="682">
        <v>11</v>
      </c>
    </row>
    <row r="146" spans="34:34" ht="11.45" customHeight="1">
      <c r="AH146" s="682">
        <v>11</v>
      </c>
    </row>
    <row r="147" spans="34:34" ht="11.45" customHeight="1">
      <c r="AH147" s="682">
        <v>11</v>
      </c>
    </row>
    <row r="148" spans="34:34" ht="11.45" customHeight="1">
      <c r="AH148" s="682">
        <v>11</v>
      </c>
    </row>
    <row r="149" spans="34:34" ht="11.45" customHeight="1">
      <c r="AH149" s="682">
        <v>11</v>
      </c>
    </row>
    <row r="150" spans="34:34" ht="11.45" customHeight="1">
      <c r="AH150" s="682">
        <v>11</v>
      </c>
    </row>
    <row r="151" spans="34:34" ht="11.45" customHeight="1">
      <c r="AH151" s="682">
        <v>11</v>
      </c>
    </row>
    <row r="152" spans="34:34" ht="11.45" customHeight="1">
      <c r="AH152" s="682">
        <v>11</v>
      </c>
    </row>
    <row r="153" spans="34:34" ht="11.45" customHeight="1">
      <c r="AH153" s="682">
        <v>11</v>
      </c>
    </row>
    <row r="154" spans="34:34" ht="11.45" customHeight="1">
      <c r="AH154" s="682">
        <v>11</v>
      </c>
    </row>
    <row r="155" spans="34:34" ht="11.45" customHeight="1">
      <c r="AH155" s="682">
        <v>11</v>
      </c>
    </row>
    <row r="156" spans="34:34" ht="11.45" customHeight="1">
      <c r="AH156" s="682">
        <v>11</v>
      </c>
    </row>
    <row r="157" spans="34:34" ht="11.45" customHeight="1">
      <c r="AH157" s="682">
        <v>11</v>
      </c>
    </row>
    <row r="158" spans="34:34" ht="11.45" customHeight="1">
      <c r="AH158" s="682">
        <v>11</v>
      </c>
    </row>
    <row r="159" spans="34:34" ht="11.45" customHeight="1">
      <c r="AH159" s="682">
        <v>11</v>
      </c>
    </row>
    <row r="160" spans="34:34" ht="11.45" customHeight="1">
      <c r="AH160" s="682">
        <v>11</v>
      </c>
    </row>
    <row r="161" spans="34:34" ht="11.45" customHeight="1">
      <c r="AH161" s="682">
        <v>11</v>
      </c>
    </row>
    <row r="162" spans="34:34" ht="11.45" customHeight="1">
      <c r="AH162" s="682">
        <v>11</v>
      </c>
    </row>
    <row r="163" spans="34:34" ht="11.45" customHeight="1">
      <c r="AH163" s="682">
        <v>11</v>
      </c>
    </row>
    <row r="164" spans="34:34" ht="11.45" customHeight="1">
      <c r="AH164" s="682">
        <v>11</v>
      </c>
    </row>
    <row r="165" spans="34:34" ht="11.45" customHeight="1">
      <c r="AH165" s="682">
        <v>11</v>
      </c>
    </row>
    <row r="166" spans="34:34" ht="11.45" customHeight="1">
      <c r="AH166" s="682">
        <v>11</v>
      </c>
    </row>
    <row r="167" spans="34:34" ht="11.45" customHeight="1">
      <c r="AH167" s="682">
        <v>11</v>
      </c>
    </row>
    <row r="168" spans="34:34" ht="11.45" customHeight="1">
      <c r="AH168" s="682">
        <v>11</v>
      </c>
    </row>
    <row r="169" spans="34:34" ht="11.45" customHeight="1">
      <c r="AH169" s="682">
        <v>11</v>
      </c>
    </row>
    <row r="170" spans="34:34" ht="11.45" customHeight="1">
      <c r="AH170" s="682">
        <v>11</v>
      </c>
    </row>
    <row r="171" spans="34:34" ht="11.45" customHeight="1">
      <c r="AH171" s="682">
        <v>11</v>
      </c>
    </row>
    <row r="172" spans="34:34" ht="11.45" customHeight="1">
      <c r="AH172" s="682">
        <v>11</v>
      </c>
    </row>
    <row r="173" spans="34:34" ht="11.45" customHeight="1">
      <c r="AH173" s="682">
        <v>11</v>
      </c>
    </row>
    <row r="174" spans="34:34" ht="11.45" customHeight="1">
      <c r="AH174" s="682">
        <v>11</v>
      </c>
    </row>
    <row r="175" spans="34:34" ht="11.45" customHeight="1">
      <c r="AH175" s="682">
        <v>11</v>
      </c>
    </row>
    <row r="176" spans="34:34" ht="11.45" customHeight="1">
      <c r="AH176" s="682">
        <v>11</v>
      </c>
    </row>
    <row r="177" spans="34:34" ht="11.45" customHeight="1">
      <c r="AH177" s="682">
        <v>11</v>
      </c>
    </row>
    <row r="178" spans="34:34" ht="11.45" customHeight="1">
      <c r="AH178" s="682">
        <v>11</v>
      </c>
    </row>
    <row r="179" spans="34:34" ht="11.45" customHeight="1">
      <c r="AH179" s="682">
        <v>11</v>
      </c>
    </row>
    <row r="180" spans="34:34" ht="11.45" customHeight="1">
      <c r="AH180" s="682">
        <v>11</v>
      </c>
    </row>
    <row r="181" spans="34:34" ht="11.45" customHeight="1">
      <c r="AH181" s="682">
        <v>11</v>
      </c>
    </row>
    <row r="182" spans="34:34" ht="11.45" customHeight="1">
      <c r="AH182" s="682">
        <v>11</v>
      </c>
    </row>
    <row r="183" spans="34:34" ht="11.45" customHeight="1">
      <c r="AH183" s="682">
        <v>11</v>
      </c>
    </row>
    <row r="184" spans="34:34" ht="11.45" customHeight="1">
      <c r="AH184" s="682">
        <v>11</v>
      </c>
    </row>
    <row r="185" spans="34:34" ht="11.45" customHeight="1">
      <c r="AH185" s="682">
        <v>11</v>
      </c>
    </row>
    <row r="186" spans="34:34" ht="11.45" customHeight="1">
      <c r="AH186" s="682">
        <v>11</v>
      </c>
    </row>
    <row r="187" spans="34:34" ht="11.45" customHeight="1">
      <c r="AH187" s="682">
        <v>11</v>
      </c>
    </row>
    <row r="188" spans="34:34" ht="11.45" customHeight="1">
      <c r="AH188" s="682">
        <v>11</v>
      </c>
    </row>
    <row r="189" spans="34:34" ht="11.45" customHeight="1">
      <c r="AH189" s="682">
        <v>11</v>
      </c>
    </row>
    <row r="190" spans="34:34" ht="11.45" customHeight="1">
      <c r="AH190" s="682">
        <v>11</v>
      </c>
    </row>
    <row r="191" spans="34:34" ht="11.45" customHeight="1">
      <c r="AH191" s="682">
        <v>11</v>
      </c>
    </row>
    <row r="192" spans="34:34" ht="11.45" customHeight="1">
      <c r="AH192" s="682">
        <v>11</v>
      </c>
    </row>
    <row r="193" spans="34:34" ht="11.45" customHeight="1">
      <c r="AH193" s="682">
        <v>11</v>
      </c>
    </row>
    <row r="194" spans="34:34" ht="11.45" customHeight="1">
      <c r="AH194" s="682">
        <v>11</v>
      </c>
    </row>
    <row r="195" spans="34:34" ht="11.45" customHeight="1">
      <c r="AH195" s="682">
        <v>11</v>
      </c>
    </row>
    <row r="196" spans="34:34" ht="11.45" customHeight="1">
      <c r="AH196" s="539">
        <v>11</v>
      </c>
    </row>
    <row r="197" spans="34:34" ht="11.45" customHeight="1">
      <c r="AH197" s="539">
        <v>11</v>
      </c>
    </row>
    <row r="198" spans="34:34" ht="11.45" customHeight="1">
      <c r="AH198" s="539">
        <v>11</v>
      </c>
    </row>
    <row r="199" spans="34:34" ht="11.45" customHeight="1">
      <c r="AH199" s="539">
        <v>11</v>
      </c>
    </row>
    <row r="200" spans="34:34" ht="11.45" customHeight="1">
      <c r="AH200" s="539">
        <v>11</v>
      </c>
    </row>
    <row r="201" spans="34:34" ht="11.45" customHeight="1">
      <c r="AH201" s="539">
        <v>11</v>
      </c>
    </row>
    <row r="202" spans="34:34" ht="11.45" customHeight="1">
      <c r="AH202" s="539">
        <v>11</v>
      </c>
    </row>
    <row r="203" spans="34:34" ht="11.45" customHeight="1">
      <c r="AH203" s="539">
        <v>11</v>
      </c>
    </row>
    <row r="204" spans="34:34" ht="11.45" customHeight="1">
      <c r="AH204" s="539">
        <v>11</v>
      </c>
    </row>
    <row r="205" spans="34:34" ht="11.45" customHeight="1">
      <c r="AH205" s="539">
        <v>11</v>
      </c>
    </row>
    <row r="206" spans="34:34" ht="11.45" customHeight="1">
      <c r="AH206" s="539">
        <v>11</v>
      </c>
    </row>
    <row r="207" spans="34:34" ht="11.45" customHeight="1">
      <c r="AH207" s="539">
        <v>11</v>
      </c>
    </row>
    <row r="208" spans="34:34" ht="11.45" customHeight="1">
      <c r="AH208" s="539">
        <v>11</v>
      </c>
    </row>
    <row r="209" spans="1:34" ht="11.45" customHeight="1">
      <c r="AH209" s="539">
        <v>11</v>
      </c>
    </row>
    <row r="210" spans="1:34" ht="11.25" hidden="1" customHeight="1">
      <c r="A210" s="424" t="s">
        <v>81</v>
      </c>
      <c r="B210" s="556">
        <v>0</v>
      </c>
      <c r="C210" s="578">
        <v>0</v>
      </c>
      <c r="D210" s="539">
        <v>3</v>
      </c>
      <c r="E210" s="539">
        <v>7</v>
      </c>
      <c r="F210" s="539">
        <v>54</v>
      </c>
      <c r="G210" s="539">
        <v>10</v>
      </c>
      <c r="H210" s="539">
        <v>0</v>
      </c>
      <c r="I210" s="539">
        <v>40</v>
      </c>
      <c r="J210" s="3">
        <v>0</v>
      </c>
      <c r="K210" s="3">
        <v>0</v>
      </c>
      <c r="L210" s="539">
        <v>102</v>
      </c>
      <c r="M210" s="556">
        <v>9</v>
      </c>
      <c r="N210" s="578">
        <v>5</v>
      </c>
      <c r="O210" s="578">
        <v>3</v>
      </c>
      <c r="P210" s="556">
        <v>3</v>
      </c>
      <c r="Q210" s="556">
        <v>3</v>
      </c>
      <c r="R210" s="556">
        <v>3</v>
      </c>
      <c r="S210" s="556">
        <v>3</v>
      </c>
      <c r="T210" s="578">
        <v>10</v>
      </c>
      <c r="U210" s="556">
        <v>34</v>
      </c>
      <c r="V210" s="556">
        <v>9</v>
      </c>
      <c r="W210" s="937">
        <v>8</v>
      </c>
      <c r="X210" s="556">
        <v>8</v>
      </c>
      <c r="Y210" s="556">
        <v>8</v>
      </c>
      <c r="Z210" s="556">
        <v>8</v>
      </c>
      <c r="AA210" s="556">
        <v>8</v>
      </c>
      <c r="AB210" s="556">
        <v>8</v>
      </c>
      <c r="AC210" s="537">
        <v>8</v>
      </c>
      <c r="AD210" s="537">
        <v>8</v>
      </c>
      <c r="AE210" s="537">
        <v>8</v>
      </c>
      <c r="AF210" s="537">
        <v>8</v>
      </c>
      <c r="AG210" s="537">
        <v>8</v>
      </c>
      <c r="AH210" s="539">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91" activePane="bottomRight" state="frozen"/>
      <selection pane="topRight" activeCell="I1" sqref="I1"/>
      <selection pane="bottomLeft" activeCell="A12" sqref="A12"/>
      <selection pane="bottomRight" activeCell="K99" sqref="K99"/>
    </sheetView>
  </sheetViews>
  <sheetFormatPr defaultColWidth="10.5703125" defaultRowHeight="11.25" customHeight="1"/>
  <cols>
    <col min="1" max="1" width="9.140625" style="1030" hidden="1" customWidth="1"/>
    <col min="2" max="2" width="3.5703125" style="1030" hidden="1" customWidth="1"/>
    <col min="3" max="3" width="3" style="1030" customWidth="1"/>
    <col min="4" max="4" width="7" style="1030" customWidth="1"/>
    <col min="5" max="5" width="69" style="1030" customWidth="1"/>
    <col min="6" max="6" width="10" style="1030" customWidth="1"/>
    <col min="7" max="8" width="44" style="1030" hidden="1" customWidth="1"/>
    <col min="9" max="9" width="44" style="1030" customWidth="1"/>
    <col min="10" max="10" width="43" style="1030" customWidth="1"/>
    <col min="11" max="11" width="44" style="1030" customWidth="1"/>
    <col min="12" max="12" width="21.7109375" style="1030" customWidth="1"/>
    <col min="13" max="13" width="44" style="1030" customWidth="1"/>
    <col min="14" max="14" width="18" style="1030" customWidth="1"/>
    <col min="15" max="15" width="73" style="1030" customWidth="1"/>
    <col min="16" max="16" width="3" style="1030" customWidth="1"/>
    <col min="17" max="27" width="10" style="1030" customWidth="1"/>
    <col min="28" max="28" width="10.5703125" style="1030" hidden="1"/>
  </cols>
  <sheetData>
    <row r="1" spans="1:28" ht="22.5" hidden="1" customHeight="1">
      <c r="G1" s="556">
        <v>4</v>
      </c>
      <c r="I1" s="556">
        <v>4</v>
      </c>
      <c r="K1" s="9">
        <v>4</v>
      </c>
      <c r="L1"/>
      <c r="M1" s="9">
        <v>4</v>
      </c>
      <c r="N1"/>
      <c r="O1" s="556">
        <v>5</v>
      </c>
      <c r="AB1" s="556" t="s">
        <v>14</v>
      </c>
    </row>
    <row r="2" spans="1:28" ht="3" customHeight="1">
      <c r="K2"/>
      <c r="L2"/>
      <c r="M2"/>
      <c r="N2"/>
      <c r="AB2" s="539">
        <v>3</v>
      </c>
    </row>
    <row r="3" spans="1:28" ht="78.75" customHeight="1">
      <c r="D3" s="10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064"/>
      <c r="F3" s="1065"/>
      <c r="K3"/>
      <c r="L3"/>
      <c r="M3"/>
      <c r="N3"/>
      <c r="AB3" s="539">
        <v>75</v>
      </c>
    </row>
    <row r="4" spans="1:28" ht="21" customHeight="1">
      <c r="D4" s="1169" t="str">
        <f>IF(org=0,"Не определено",org)</f>
        <v>АО "НИЖЕГОРОДСКИЙ ВОДОКАНАЛ"</v>
      </c>
      <c r="E4" s="1170"/>
      <c r="F4" s="1171"/>
      <c r="K4"/>
      <c r="L4"/>
      <c r="M4"/>
      <c r="N4"/>
      <c r="AB4" s="539">
        <v>20</v>
      </c>
    </row>
    <row r="5" spans="1:28" ht="11.45" customHeight="1">
      <c r="H5" s="630"/>
      <c r="J5" s="630"/>
      <c r="K5"/>
      <c r="L5" s="90"/>
      <c r="M5"/>
      <c r="N5" s="90"/>
      <c r="AB5" s="539">
        <v>11</v>
      </c>
    </row>
    <row r="6" spans="1:28" ht="1.1499999999999999" customHeight="1">
      <c r="G6" s="943"/>
      <c r="H6" s="943"/>
      <c r="I6" s="943" t="s">
        <v>122</v>
      </c>
      <c r="J6" s="943"/>
      <c r="K6" s="435" t="s">
        <v>127</v>
      </c>
      <c r="L6" s="435"/>
      <c r="M6" s="435" t="s">
        <v>129</v>
      </c>
      <c r="N6" s="435"/>
      <c r="AB6" s="539">
        <v>1</v>
      </c>
    </row>
    <row r="7" spans="1:28" ht="11.45" customHeight="1">
      <c r="D7" s="898"/>
      <c r="E7" s="1278" t="s">
        <v>110</v>
      </c>
      <c r="F7" s="1279"/>
      <c r="G7" s="1300" t="str">
        <f>IF(G6="","",INDEX(DIFFERENTIATION_UNMERGE_VD,MATCH(G6,DIFFERENTIATION_ID_DIFF,0)))</f>
        <v/>
      </c>
      <c r="H7" s="1301"/>
      <c r="I7" s="1300" t="str">
        <f>IF(I6="","",INDEX(DIFFERENTIATION_UNMERGE_VD,MATCH(I6,DIFFERENTIATION_ID_DIFF,0)))</f>
        <v>Водоотведение</v>
      </c>
      <c r="J7" s="1301"/>
      <c r="K7" s="1300" t="str">
        <f>IF(K6="","",INDEX(DIFFERENTIATION_UNMERGE_VD,MATCH(K6,DIFFERENTIATION_ID_DIFF,0)))</f>
        <v>Водоотведение</v>
      </c>
      <c r="L7" s="1301"/>
      <c r="M7" s="1300" t="str">
        <f>IF(M6="","",INDEX(DIFFERENTIATION_UNMERGE_VD,MATCH(M6,DIFFERENTIATION_ID_DIFF,0)))</f>
        <v>Подключение (технологическое присоединение) к централизованной системе водоотведения</v>
      </c>
      <c r="N7" s="1301"/>
      <c r="O7" s="1128"/>
      <c r="AB7" s="539">
        <v>11</v>
      </c>
    </row>
    <row r="8" spans="1:28" ht="11.45" customHeight="1">
      <c r="D8" s="898"/>
      <c r="E8" s="1278" t="s">
        <v>572</v>
      </c>
      <c r="F8" s="1279"/>
      <c r="G8" s="1300" t="str">
        <f>IF(G6="","",INDEX(DIFFERENTIATION_UNMERGE_AREA,MATCH(G6,DIFFERENTIATION_ID_DIFF,0)))</f>
        <v/>
      </c>
      <c r="H8" s="1301"/>
      <c r="I8" s="1300" t="str">
        <f>IF(I6="","",INDEX(DIFFERENTIATION_UNMERGE_AREA,MATCH(I6,DIFFERENTIATION_ID_DIFF,0)))</f>
        <v>Территория 1</v>
      </c>
      <c r="J8" s="1301"/>
      <c r="K8" s="1300" t="str">
        <f>IF(K6="","",INDEX(DIFFERENTIATION_UNMERGE_AREA,MATCH(K6,DIFFERENTIATION_ID_DIFF,0)))</f>
        <v>Территория 2</v>
      </c>
      <c r="L8" s="1301"/>
      <c r="M8" s="1300" t="str">
        <f>IF(M6="","",INDEX(DIFFERENTIATION_UNMERGE_AREA,MATCH(M6,DIFFERENTIATION_ID_DIFF,0)))</f>
        <v>без дифференциации</v>
      </c>
      <c r="N8" s="1301"/>
      <c r="O8" s="1133"/>
      <c r="AB8" s="539">
        <v>11</v>
      </c>
    </row>
    <row r="9" spans="1:28" ht="11.45" customHeight="1">
      <c r="D9" s="898"/>
      <c r="E9" s="1278" t="s">
        <v>573</v>
      </c>
      <c r="F9" s="1279"/>
      <c r="G9" s="1300" t="str">
        <f>IF(G6="","",INDEX(DIFFERENTIATION_UNMERGE_SYSTEM,MATCH(G6,DIFFERENTIATION_ID_DIFF,0)))</f>
        <v/>
      </c>
      <c r="H9" s="1301"/>
      <c r="I9" s="1300" t="str">
        <f>IF(I6="","",INDEX(DIFFERENTIATION_UNMERGE_SYSTEM,MATCH(I6,DIFFERENTIATION_ID_DIFF,0)))</f>
        <v>Централизованная система водоотведения города Нижнего Новгорода</v>
      </c>
      <c r="J9" s="1301"/>
      <c r="K9" s="1300" t="str">
        <f>IF(K6="","",INDEX(DIFFERENTIATION_UNMERGE_SYSTEM,MATCH(K6,DIFFERENTIATION_ID_DIFF,0)))</f>
        <v>Централизованная система водоотведения Кстовского муниципального района</v>
      </c>
      <c r="L9" s="1301"/>
      <c r="M9" s="1300" t="str">
        <f>IF(M6="","",INDEX(DIFFERENTIATION_UNMERGE_SYSTEM,MATCH(M6,DIFFERENTIATION_ID_DIFF,0)))</f>
        <v>без дифференциации</v>
      </c>
      <c r="N9" s="1301"/>
      <c r="O9" s="1133"/>
      <c r="AB9" s="539">
        <v>11</v>
      </c>
    </row>
    <row r="10" spans="1:28" ht="11.45" customHeight="1">
      <c r="D10" s="1051" t="s">
        <v>308</v>
      </c>
      <c r="E10" s="1056"/>
      <c r="F10" s="1056"/>
      <c r="G10" s="1056"/>
      <c r="H10" s="1056"/>
      <c r="I10" s="1056"/>
      <c r="J10" s="1050"/>
      <c r="K10" s="27"/>
      <c r="L10" s="27"/>
      <c r="M10" s="27"/>
      <c r="N10" s="27"/>
      <c r="O10" s="1133"/>
      <c r="AB10" s="539">
        <v>11</v>
      </c>
    </row>
    <row r="11" spans="1:28" ht="24" customHeight="1">
      <c r="A11" s="1038"/>
      <c r="B11" s="1038"/>
      <c r="D11" s="584" t="s">
        <v>87</v>
      </c>
      <c r="E11" s="584" t="s">
        <v>823</v>
      </c>
      <c r="F11" s="584" t="s">
        <v>574</v>
      </c>
      <c r="G11" s="584" t="s">
        <v>311</v>
      </c>
      <c r="H11" s="584" t="s">
        <v>398</v>
      </c>
      <c r="I11" s="584" t="s">
        <v>311</v>
      </c>
      <c r="J11" s="544" t="s">
        <v>398</v>
      </c>
      <c r="K11" s="35" t="s">
        <v>311</v>
      </c>
      <c r="L11" s="35" t="s">
        <v>398</v>
      </c>
      <c r="M11" s="35" t="s">
        <v>311</v>
      </c>
      <c r="N11" s="35" t="s">
        <v>398</v>
      </c>
      <c r="O11" s="1179"/>
      <c r="AB11" s="539">
        <v>23</v>
      </c>
    </row>
    <row r="12" spans="1:28" ht="10.5" customHeight="1">
      <c r="D12" s="359" t="s">
        <v>114</v>
      </c>
      <c r="E12" s="359" t="s">
        <v>102</v>
      </c>
      <c r="F12" s="359" t="s">
        <v>89</v>
      </c>
      <c r="G12" s="576" t="str">
        <f>G1&amp;".1"</f>
        <v>4.1</v>
      </c>
      <c r="H12" s="576" t="str">
        <f>G1&amp;".2"</f>
        <v>4.2</v>
      </c>
      <c r="I12" s="576" t="str">
        <f>I1&amp;".1"</f>
        <v>4.1</v>
      </c>
      <c r="J12" s="576" t="str">
        <f>I1&amp;".2"</f>
        <v>4.2</v>
      </c>
      <c r="K12" s="26" t="str">
        <f>K1&amp;".1"</f>
        <v>4.1</v>
      </c>
      <c r="L12" s="26" t="str">
        <f>K1&amp;".2"</f>
        <v>4.2</v>
      </c>
      <c r="M12" s="26" t="str">
        <f>M1&amp;".1"</f>
        <v>4.1</v>
      </c>
      <c r="N12" s="26" t="str">
        <f>M1&amp;".2"</f>
        <v>4.2</v>
      </c>
      <c r="AB12" s="578">
        <v>10</v>
      </c>
    </row>
    <row r="13" spans="1:28" ht="22.5" hidden="1" customHeight="1">
      <c r="A13" s="1302" t="s">
        <v>824</v>
      </c>
      <c r="D13" s="55" t="s">
        <v>114</v>
      </c>
      <c r="E13" s="620" t="s">
        <v>825</v>
      </c>
      <c r="F13" s="28" t="s">
        <v>826</v>
      </c>
      <c r="G13" s="407"/>
      <c r="H13" s="436"/>
      <c r="I13" s="407"/>
      <c r="J13" s="436"/>
      <c r="K13" s="407"/>
      <c r="L13" s="436"/>
      <c r="M13" s="407"/>
      <c r="N13" s="436"/>
      <c r="O13" s="796" t="s">
        <v>827</v>
      </c>
      <c r="P13" s="944"/>
      <c r="AB13" s="539">
        <v>0</v>
      </c>
    </row>
    <row r="14" spans="1:28" ht="22.5" hidden="1" customHeight="1">
      <c r="A14" s="1302"/>
      <c r="D14" s="55" t="s">
        <v>102</v>
      </c>
      <c r="E14" s="620" t="s">
        <v>828</v>
      </c>
      <c r="F14" s="28" t="s">
        <v>829</v>
      </c>
      <c r="G14" s="407"/>
      <c r="H14" s="436"/>
      <c r="I14" s="407"/>
      <c r="J14" s="436"/>
      <c r="K14" s="407"/>
      <c r="L14" s="436"/>
      <c r="M14" s="407"/>
      <c r="N14" s="436"/>
      <c r="O14" s="796" t="s">
        <v>830</v>
      </c>
      <c r="P14" s="944"/>
      <c r="AB14" s="539">
        <v>0</v>
      </c>
    </row>
    <row r="15" spans="1:28" ht="78.75" hidden="1" customHeight="1">
      <c r="A15" s="1302"/>
      <c r="D15" s="55" t="s">
        <v>89</v>
      </c>
      <c r="E15" s="620" t="s">
        <v>831</v>
      </c>
      <c r="F15" s="584" t="s">
        <v>314</v>
      </c>
      <c r="G15" s="584" t="s">
        <v>314</v>
      </c>
      <c r="H15" s="106"/>
      <c r="I15" s="584" t="s">
        <v>314</v>
      </c>
      <c r="J15" s="106"/>
      <c r="K15" s="35" t="s">
        <v>314</v>
      </c>
      <c r="L15" s="106"/>
      <c r="M15" s="35" t="s">
        <v>314</v>
      </c>
      <c r="N15" s="106"/>
      <c r="O15" s="796" t="s">
        <v>832</v>
      </c>
      <c r="P15" s="944"/>
      <c r="AB15" s="539">
        <v>0</v>
      </c>
    </row>
    <row r="16" spans="1:28" ht="22.5" hidden="1" customHeight="1">
      <c r="A16" s="1302"/>
      <c r="D16" s="55" t="s">
        <v>332</v>
      </c>
      <c r="E16" s="889" t="s">
        <v>833</v>
      </c>
      <c r="F16" s="584" t="s">
        <v>834</v>
      </c>
      <c r="G16" s="385"/>
      <c r="H16" s="106"/>
      <c r="I16" s="385"/>
      <c r="J16" s="106"/>
      <c r="K16" s="385"/>
      <c r="L16" s="106"/>
      <c r="M16" s="385"/>
      <c r="N16" s="106"/>
      <c r="O16" s="796"/>
      <c r="P16" s="944"/>
      <c r="AB16" s="539">
        <v>0</v>
      </c>
    </row>
    <row r="17" spans="1:28" ht="22.5" hidden="1" customHeight="1">
      <c r="A17" s="1302"/>
      <c r="D17" s="55" t="s">
        <v>340</v>
      </c>
      <c r="E17" s="889" t="s">
        <v>835</v>
      </c>
      <c r="F17" s="584" t="s">
        <v>836</v>
      </c>
      <c r="G17" s="385"/>
      <c r="H17" s="106"/>
      <c r="I17" s="385"/>
      <c r="J17" s="106"/>
      <c r="K17" s="385"/>
      <c r="L17" s="106"/>
      <c r="M17" s="385"/>
      <c r="N17" s="106"/>
      <c r="O17" s="796"/>
      <c r="P17" s="944"/>
      <c r="AB17" s="539">
        <v>0</v>
      </c>
    </row>
    <row r="18" spans="1:28" ht="33.75" hidden="1" customHeight="1">
      <c r="A18" s="1302"/>
      <c r="D18" s="55" t="s">
        <v>342</v>
      </c>
      <c r="E18" s="889" t="s">
        <v>837</v>
      </c>
      <c r="F18" s="584" t="s">
        <v>579</v>
      </c>
      <c r="G18" s="386"/>
      <c r="H18" s="106"/>
      <c r="I18" s="386"/>
      <c r="J18" s="106"/>
      <c r="K18" s="386"/>
      <c r="L18" s="106"/>
      <c r="M18" s="386"/>
      <c r="N18" s="106"/>
      <c r="O18" s="796"/>
      <c r="P18" s="944"/>
      <c r="AB18" s="539">
        <v>0</v>
      </c>
    </row>
    <row r="19" spans="1:28" ht="101.25" hidden="1" customHeight="1">
      <c r="A19" s="1302"/>
      <c r="D19" s="55" t="s">
        <v>90</v>
      </c>
      <c r="E19" s="620" t="s">
        <v>838</v>
      </c>
      <c r="F19" s="28" t="s">
        <v>554</v>
      </c>
      <c r="G19" s="123"/>
      <c r="H19" s="436"/>
      <c r="I19" s="123"/>
      <c r="J19" s="436"/>
      <c r="K19" s="123"/>
      <c r="L19" s="436"/>
      <c r="M19" s="123"/>
      <c r="N19" s="436"/>
      <c r="O19" s="796" t="s">
        <v>839</v>
      </c>
      <c r="P19" s="944"/>
      <c r="AB19" s="539">
        <v>0</v>
      </c>
    </row>
    <row r="20" spans="1:28" ht="18.75" hidden="1" customHeight="1">
      <c r="A20" s="1302"/>
      <c r="D20" s="55" t="s">
        <v>770</v>
      </c>
      <c r="E20" s="889" t="s">
        <v>840</v>
      </c>
      <c r="F20" s="584" t="s">
        <v>314</v>
      </c>
      <c r="G20" s="584" t="s">
        <v>314</v>
      </c>
      <c r="H20" s="618" t="s">
        <v>314</v>
      </c>
      <c r="I20" s="584" t="s">
        <v>314</v>
      </c>
      <c r="J20" s="618" t="s">
        <v>314</v>
      </c>
      <c r="K20" s="35" t="s">
        <v>314</v>
      </c>
      <c r="L20" s="78" t="s">
        <v>314</v>
      </c>
      <c r="M20" s="35" t="s">
        <v>314</v>
      </c>
      <c r="N20" s="78" t="s">
        <v>314</v>
      </c>
      <c r="O20" s="544"/>
      <c r="P20" s="944"/>
      <c r="AB20" s="539">
        <v>0</v>
      </c>
    </row>
    <row r="21" spans="1:28" ht="33.75" hidden="1" customHeight="1">
      <c r="A21" s="1302"/>
      <c r="D21" s="55" t="s">
        <v>773</v>
      </c>
      <c r="E21" s="926" t="s">
        <v>841</v>
      </c>
      <c r="F21" s="584" t="s">
        <v>842</v>
      </c>
      <c r="G21" s="386"/>
      <c r="H21" s="437"/>
      <c r="I21" s="386"/>
      <c r="J21" s="437"/>
      <c r="K21" s="386"/>
      <c r="L21" s="437"/>
      <c r="M21" s="386"/>
      <c r="N21" s="437"/>
      <c r="O21" s="544"/>
      <c r="P21" s="944"/>
      <c r="AB21" s="539">
        <v>0</v>
      </c>
    </row>
    <row r="22" spans="1:28" ht="33.75" hidden="1" customHeight="1">
      <c r="A22" s="1302"/>
      <c r="D22" s="55" t="s">
        <v>776</v>
      </c>
      <c r="E22" s="926" t="s">
        <v>843</v>
      </c>
      <c r="F22" s="584" t="s">
        <v>844</v>
      </c>
      <c r="G22" s="386"/>
      <c r="H22" s="437"/>
      <c r="I22" s="386"/>
      <c r="J22" s="437"/>
      <c r="K22" s="386"/>
      <c r="L22" s="437"/>
      <c r="M22" s="386"/>
      <c r="N22" s="437"/>
      <c r="O22" s="544"/>
      <c r="P22" s="944"/>
      <c r="AB22" s="539">
        <v>0</v>
      </c>
    </row>
    <row r="23" spans="1:28" ht="22.5" hidden="1" customHeight="1">
      <c r="A23" s="1302"/>
      <c r="D23" s="55" t="s">
        <v>812</v>
      </c>
      <c r="E23" s="889" t="s">
        <v>845</v>
      </c>
      <c r="F23" s="584" t="s">
        <v>314</v>
      </c>
      <c r="G23" s="584" t="s">
        <v>314</v>
      </c>
      <c r="H23" s="618" t="s">
        <v>314</v>
      </c>
      <c r="I23" s="584" t="s">
        <v>314</v>
      </c>
      <c r="J23" s="618" t="s">
        <v>314</v>
      </c>
      <c r="K23" s="35" t="s">
        <v>314</v>
      </c>
      <c r="L23" s="78" t="s">
        <v>314</v>
      </c>
      <c r="M23" s="35" t="s">
        <v>314</v>
      </c>
      <c r="N23" s="78" t="s">
        <v>314</v>
      </c>
      <c r="O23" s="544"/>
      <c r="P23" s="944"/>
      <c r="AB23" s="539">
        <v>0</v>
      </c>
    </row>
    <row r="24" spans="1:28" ht="22.5" hidden="1" customHeight="1">
      <c r="A24" s="1302"/>
      <c r="D24" s="55" t="s">
        <v>846</v>
      </c>
      <c r="E24" s="926" t="s">
        <v>847</v>
      </c>
      <c r="F24" s="584" t="s">
        <v>848</v>
      </c>
      <c r="G24" s="386"/>
      <c r="H24" s="438"/>
      <c r="I24" s="386"/>
      <c r="J24" s="438"/>
      <c r="K24" s="386"/>
      <c r="L24" s="438"/>
      <c r="M24" s="386"/>
      <c r="N24" s="438"/>
      <c r="O24" s="544"/>
      <c r="P24" s="944"/>
      <c r="AB24" s="539">
        <v>0</v>
      </c>
    </row>
    <row r="25" spans="1:28" ht="22.5" hidden="1" customHeight="1">
      <c r="A25" s="1302"/>
      <c r="D25" s="55" t="s">
        <v>849</v>
      </c>
      <c r="E25" s="926" t="s">
        <v>850</v>
      </c>
      <c r="F25" s="584" t="s">
        <v>314</v>
      </c>
      <c r="G25" s="584" t="s">
        <v>314</v>
      </c>
      <c r="H25" s="618" t="s">
        <v>314</v>
      </c>
      <c r="I25" s="584" t="s">
        <v>314</v>
      </c>
      <c r="J25" s="618" t="s">
        <v>314</v>
      </c>
      <c r="K25" s="35" t="s">
        <v>314</v>
      </c>
      <c r="L25" s="78" t="s">
        <v>314</v>
      </c>
      <c r="M25" s="35" t="s">
        <v>314</v>
      </c>
      <c r="N25" s="78" t="s">
        <v>314</v>
      </c>
      <c r="O25" s="544"/>
      <c r="P25" s="944"/>
      <c r="AB25" s="539">
        <v>0</v>
      </c>
    </row>
    <row r="26" spans="1:28" ht="18.75" hidden="1" customHeight="1">
      <c r="A26" s="1302"/>
      <c r="D26" s="55" t="s">
        <v>851</v>
      </c>
      <c r="E26" s="915" t="s">
        <v>852</v>
      </c>
      <c r="F26" s="584" t="s">
        <v>853</v>
      </c>
      <c r="G26" s="386"/>
      <c r="H26" s="390"/>
      <c r="I26" s="386"/>
      <c r="J26" s="390"/>
      <c r="K26" s="386"/>
      <c r="L26" s="390"/>
      <c r="M26" s="386"/>
      <c r="N26" s="390"/>
      <c r="O26" s="544"/>
      <c r="P26" s="944"/>
      <c r="AB26" s="539">
        <v>0</v>
      </c>
    </row>
    <row r="27" spans="1:28" ht="18.75" hidden="1" customHeight="1">
      <c r="A27" s="1302"/>
      <c r="D27" s="55" t="s">
        <v>854</v>
      </c>
      <c r="E27" s="915" t="s">
        <v>855</v>
      </c>
      <c r="F27" s="584" t="s">
        <v>856</v>
      </c>
      <c r="G27" s="386"/>
      <c r="H27" s="390"/>
      <c r="I27" s="386"/>
      <c r="J27" s="390"/>
      <c r="K27" s="386"/>
      <c r="L27" s="390"/>
      <c r="M27" s="386"/>
      <c r="N27" s="390"/>
      <c r="O27" s="544"/>
      <c r="P27" s="944"/>
      <c r="AB27" s="539">
        <v>0</v>
      </c>
    </row>
    <row r="28" spans="1:28" ht="18.75" hidden="1" customHeight="1">
      <c r="A28" s="1302"/>
      <c r="D28" s="55" t="s">
        <v>857</v>
      </c>
      <c r="E28" s="926" t="s">
        <v>858</v>
      </c>
      <c r="F28" s="584" t="s">
        <v>314</v>
      </c>
      <c r="G28" s="584" t="s">
        <v>314</v>
      </c>
      <c r="H28" s="618" t="s">
        <v>314</v>
      </c>
      <c r="I28" s="584" t="s">
        <v>314</v>
      </c>
      <c r="J28" s="618" t="s">
        <v>314</v>
      </c>
      <c r="K28" s="35" t="s">
        <v>314</v>
      </c>
      <c r="L28" s="78" t="s">
        <v>314</v>
      </c>
      <c r="M28" s="35" t="s">
        <v>314</v>
      </c>
      <c r="N28" s="78" t="s">
        <v>314</v>
      </c>
      <c r="O28" s="544"/>
      <c r="P28" s="944"/>
      <c r="AB28" s="539">
        <v>0</v>
      </c>
    </row>
    <row r="29" spans="1:28" ht="18.75" hidden="1" customHeight="1">
      <c r="A29" s="1302"/>
      <c r="D29" s="55" t="s">
        <v>859</v>
      </c>
      <c r="E29" s="915" t="s">
        <v>852</v>
      </c>
      <c r="F29" s="584" t="s">
        <v>860</v>
      </c>
      <c r="G29" s="386"/>
      <c r="H29" s="390"/>
      <c r="I29" s="386"/>
      <c r="J29" s="390"/>
      <c r="K29" s="386"/>
      <c r="L29" s="390"/>
      <c r="M29" s="386"/>
      <c r="N29" s="390"/>
      <c r="O29" s="544"/>
      <c r="P29" s="944"/>
      <c r="AB29" s="539">
        <v>0</v>
      </c>
    </row>
    <row r="30" spans="1:28" ht="18.75" hidden="1" customHeight="1">
      <c r="A30" s="1302"/>
      <c r="D30" s="55" t="s">
        <v>861</v>
      </c>
      <c r="E30" s="915" t="s">
        <v>862</v>
      </c>
      <c r="F30" s="584" t="s">
        <v>863</v>
      </c>
      <c r="G30" s="386"/>
      <c r="H30" s="390"/>
      <c r="I30" s="386"/>
      <c r="J30" s="390"/>
      <c r="K30" s="386"/>
      <c r="L30" s="390"/>
      <c r="M30" s="386"/>
      <c r="N30" s="390"/>
      <c r="O30" s="544"/>
      <c r="P30" s="944"/>
      <c r="AB30" s="539">
        <v>0</v>
      </c>
    </row>
    <row r="31" spans="1:28" ht="126.75" hidden="1" customHeight="1">
      <c r="A31" s="1302"/>
      <c r="D31" s="55" t="s">
        <v>115</v>
      </c>
      <c r="E31" s="620" t="s">
        <v>864</v>
      </c>
      <c r="F31" s="28" t="s">
        <v>566</v>
      </c>
      <c r="G31" s="407"/>
      <c r="H31" s="436"/>
      <c r="I31" s="407"/>
      <c r="J31" s="436"/>
      <c r="K31" s="407"/>
      <c r="L31" s="436"/>
      <c r="M31" s="407"/>
      <c r="N31" s="436"/>
      <c r="O31" s="796" t="s">
        <v>865</v>
      </c>
      <c r="P31" s="944"/>
      <c r="AB31" s="539">
        <v>0</v>
      </c>
    </row>
    <row r="32" spans="1:28" ht="56.25" hidden="1" customHeight="1">
      <c r="A32" s="1302"/>
      <c r="D32" s="55" t="s">
        <v>91</v>
      </c>
      <c r="E32" s="620" t="s">
        <v>866</v>
      </c>
      <c r="F32" s="55" t="s">
        <v>836</v>
      </c>
      <c r="G32" s="407"/>
      <c r="H32" s="436"/>
      <c r="I32" s="407"/>
      <c r="J32" s="436"/>
      <c r="K32" s="407"/>
      <c r="L32" s="436"/>
      <c r="M32" s="407"/>
      <c r="N32" s="436"/>
      <c r="O32" s="796" t="s">
        <v>867</v>
      </c>
      <c r="P32" s="944"/>
      <c r="AB32" s="539">
        <v>0</v>
      </c>
    </row>
    <row r="33" spans="1:28" ht="11.25" hidden="1" customHeight="1">
      <c r="A33" s="1302"/>
      <c r="AB33" s="539">
        <v>0</v>
      </c>
    </row>
    <row r="34" spans="1:28" ht="12.75" hidden="1" customHeight="1">
      <c r="A34" s="1302"/>
      <c r="D34" s="826">
        <v>1</v>
      </c>
      <c r="E34" s="737" t="s">
        <v>868</v>
      </c>
      <c r="AB34" s="539">
        <v>0</v>
      </c>
    </row>
    <row r="35" spans="1:28" ht="11.25" hidden="1" customHeight="1">
      <c r="A35" s="1302"/>
      <c r="E35" s="737" t="s">
        <v>869</v>
      </c>
      <c r="AB35" s="539">
        <v>0</v>
      </c>
    </row>
    <row r="36" spans="1:28" ht="11.45" customHeight="1">
      <c r="AB36" s="539">
        <v>11</v>
      </c>
    </row>
    <row r="37" spans="1:28" ht="22.5" hidden="1" customHeight="1">
      <c r="A37" s="1302" t="s">
        <v>870</v>
      </c>
      <c r="D37" s="55">
        <v>1</v>
      </c>
      <c r="E37" s="620" t="s">
        <v>871</v>
      </c>
      <c r="F37" s="28" t="s">
        <v>826</v>
      </c>
      <c r="G37" s="407"/>
      <c r="H37" s="439"/>
      <c r="I37" s="407"/>
      <c r="J37" s="439"/>
      <c r="K37" s="407"/>
      <c r="L37" s="439"/>
      <c r="M37" s="407"/>
      <c r="N37" s="439"/>
      <c r="O37" s="796" t="s">
        <v>872</v>
      </c>
      <c r="AB37" s="539">
        <v>0</v>
      </c>
    </row>
    <row r="38" spans="1:28" ht="22.5" hidden="1" customHeight="1">
      <c r="A38" s="1302"/>
      <c r="D38" s="440" t="s">
        <v>102</v>
      </c>
      <c r="E38" s="945" t="s">
        <v>873</v>
      </c>
      <c r="F38" s="441" t="s">
        <v>554</v>
      </c>
      <c r="G38" s="441" t="s">
        <v>554</v>
      </c>
      <c r="H38" s="442"/>
      <c r="I38" s="441" t="s">
        <v>554</v>
      </c>
      <c r="J38" s="442"/>
      <c r="K38" s="441" t="s">
        <v>554</v>
      </c>
      <c r="L38" s="442"/>
      <c r="M38" s="441" t="s">
        <v>554</v>
      </c>
      <c r="N38" s="442"/>
      <c r="O38" s="823"/>
      <c r="AB38" s="539">
        <v>0</v>
      </c>
    </row>
    <row r="39" spans="1:28" ht="33.75" hidden="1" customHeight="1">
      <c r="A39" s="1302"/>
      <c r="D39" s="443" t="s">
        <v>728</v>
      </c>
      <c r="E39" s="946" t="s">
        <v>874</v>
      </c>
      <c r="F39" s="28" t="s">
        <v>875</v>
      </c>
      <c r="G39" s="237"/>
      <c r="H39" s="444"/>
      <c r="I39" s="237"/>
      <c r="J39" s="444"/>
      <c r="K39" s="237"/>
      <c r="L39" s="444"/>
      <c r="M39" s="237"/>
      <c r="N39" s="444"/>
      <c r="O39" s="796" t="s">
        <v>876</v>
      </c>
      <c r="AB39" s="539">
        <v>0</v>
      </c>
    </row>
    <row r="40" spans="1:28" ht="33.75" hidden="1" customHeight="1">
      <c r="A40" s="1302"/>
      <c r="D40" s="443" t="s">
        <v>731</v>
      </c>
      <c r="E40" s="946" t="s">
        <v>877</v>
      </c>
      <c r="F40" s="445" t="s">
        <v>878</v>
      </c>
      <c r="G40" s="446"/>
      <c r="H40" s="444"/>
      <c r="I40" s="446"/>
      <c r="J40" s="444"/>
      <c r="K40" s="446"/>
      <c r="L40" s="444"/>
      <c r="M40" s="446"/>
      <c r="N40" s="444"/>
      <c r="O40" s="796" t="s">
        <v>879</v>
      </c>
      <c r="AB40" s="539">
        <v>0</v>
      </c>
    </row>
    <row r="41" spans="1:28" ht="22.5" hidden="1" customHeight="1">
      <c r="A41" s="1302"/>
      <c r="D41" s="443" t="s">
        <v>89</v>
      </c>
      <c r="E41" s="947" t="s">
        <v>880</v>
      </c>
      <c r="F41" s="28" t="s">
        <v>554</v>
      </c>
      <c r="G41" s="28" t="s">
        <v>554</v>
      </c>
      <c r="H41" s="447"/>
      <c r="I41" s="28" t="s">
        <v>554</v>
      </c>
      <c r="J41" s="447"/>
      <c r="K41" s="28" t="s">
        <v>554</v>
      </c>
      <c r="L41" s="447"/>
      <c r="M41" s="28" t="s">
        <v>554</v>
      </c>
      <c r="N41" s="447"/>
      <c r="O41" s="853"/>
      <c r="AB41" s="539">
        <v>0</v>
      </c>
    </row>
    <row r="42" spans="1:28" ht="45" hidden="1" customHeight="1">
      <c r="A42" s="1302"/>
      <c r="D42" s="443" t="s">
        <v>332</v>
      </c>
      <c r="E42" s="946" t="s">
        <v>881</v>
      </c>
      <c r="F42" s="28" t="s">
        <v>566</v>
      </c>
      <c r="G42" s="407"/>
      <c r="H42" s="447"/>
      <c r="I42" s="407"/>
      <c r="J42" s="447"/>
      <c r="K42" s="407"/>
      <c r="L42" s="447"/>
      <c r="M42" s="407"/>
      <c r="N42" s="447"/>
      <c r="O42" s="853" t="s">
        <v>882</v>
      </c>
      <c r="AB42" s="539">
        <v>0</v>
      </c>
    </row>
    <row r="43" spans="1:28" ht="45" hidden="1" customHeight="1">
      <c r="A43" s="1302"/>
      <c r="D43" s="443" t="s">
        <v>340</v>
      </c>
      <c r="E43" s="948" t="s">
        <v>883</v>
      </c>
      <c r="F43" s="448" t="s">
        <v>566</v>
      </c>
      <c r="G43" s="420"/>
      <c r="H43" s="444"/>
      <c r="I43" s="420"/>
      <c r="J43" s="444"/>
      <c r="K43" s="420"/>
      <c r="L43" s="444"/>
      <c r="M43" s="420"/>
      <c r="N43" s="444"/>
      <c r="O43" s="853" t="s">
        <v>884</v>
      </c>
      <c r="AB43" s="539">
        <v>0</v>
      </c>
    </row>
    <row r="44" spans="1:28" ht="11.25" hidden="1" customHeight="1">
      <c r="A44" s="1302"/>
      <c r="D44" s="443" t="s">
        <v>90</v>
      </c>
      <c r="E44" s="949" t="s">
        <v>885</v>
      </c>
      <c r="F44" s="28" t="s">
        <v>875</v>
      </c>
      <c r="G44" s="237"/>
      <c r="H44" s="444"/>
      <c r="I44" s="237"/>
      <c r="J44" s="444"/>
      <c r="K44" s="237"/>
      <c r="L44" s="444"/>
      <c r="M44" s="237"/>
      <c r="N44" s="444"/>
      <c r="O44" s="796"/>
      <c r="AB44" s="539">
        <v>0</v>
      </c>
    </row>
    <row r="45" spans="1:28" ht="11.25" hidden="1" customHeight="1">
      <c r="A45" s="1302"/>
      <c r="D45" s="443" t="s">
        <v>770</v>
      </c>
      <c r="E45" s="948" t="s">
        <v>886</v>
      </c>
      <c r="F45" s="28" t="s">
        <v>875</v>
      </c>
      <c r="G45" s="237"/>
      <c r="H45" s="444"/>
      <c r="I45" s="237"/>
      <c r="J45" s="444"/>
      <c r="K45" s="237"/>
      <c r="L45" s="444"/>
      <c r="M45" s="237"/>
      <c r="N45" s="444"/>
      <c r="O45" s="796"/>
      <c r="AB45" s="539">
        <v>0</v>
      </c>
    </row>
    <row r="46" spans="1:28" ht="11.25" hidden="1" customHeight="1">
      <c r="A46" s="1302"/>
      <c r="D46" s="443" t="s">
        <v>812</v>
      </c>
      <c r="E46" s="948" t="s">
        <v>887</v>
      </c>
      <c r="F46" s="28" t="s">
        <v>875</v>
      </c>
      <c r="G46" s="237"/>
      <c r="H46" s="444"/>
      <c r="I46" s="237"/>
      <c r="J46" s="444"/>
      <c r="K46" s="237"/>
      <c r="L46" s="444"/>
      <c r="M46" s="237"/>
      <c r="N46" s="444"/>
      <c r="O46" s="796"/>
      <c r="AB46" s="539">
        <v>0</v>
      </c>
    </row>
    <row r="47" spans="1:28" ht="11.25" hidden="1" customHeight="1">
      <c r="A47" s="1302"/>
      <c r="D47" s="443" t="s">
        <v>815</v>
      </c>
      <c r="E47" s="948" t="s">
        <v>888</v>
      </c>
      <c r="F47" s="28" t="s">
        <v>875</v>
      </c>
      <c r="G47" s="237"/>
      <c r="H47" s="444"/>
      <c r="I47" s="237"/>
      <c r="J47" s="444"/>
      <c r="K47" s="237"/>
      <c r="L47" s="444"/>
      <c r="M47" s="237"/>
      <c r="N47" s="444"/>
      <c r="O47" s="796"/>
      <c r="AB47" s="539">
        <v>0</v>
      </c>
    </row>
    <row r="48" spans="1:28" ht="11.25" hidden="1" customHeight="1">
      <c r="A48" s="1302"/>
      <c r="D48" s="443" t="s">
        <v>889</v>
      </c>
      <c r="E48" s="950" t="s">
        <v>890</v>
      </c>
      <c r="F48" s="28" t="s">
        <v>875</v>
      </c>
      <c r="G48" s="237"/>
      <c r="H48" s="444"/>
      <c r="I48" s="237"/>
      <c r="J48" s="444"/>
      <c r="K48" s="237"/>
      <c r="L48" s="444"/>
      <c r="M48" s="237"/>
      <c r="N48" s="444"/>
      <c r="O48" s="796"/>
      <c r="AB48" s="539">
        <v>0</v>
      </c>
    </row>
    <row r="49" spans="1:28" ht="11.25" hidden="1" customHeight="1">
      <c r="A49" s="1302"/>
      <c r="D49" s="443" t="s">
        <v>891</v>
      </c>
      <c r="E49" s="950" t="s">
        <v>892</v>
      </c>
      <c r="F49" s="28" t="s">
        <v>875</v>
      </c>
      <c r="G49" s="237"/>
      <c r="H49" s="444"/>
      <c r="I49" s="237"/>
      <c r="J49" s="444"/>
      <c r="K49" s="237"/>
      <c r="L49" s="444"/>
      <c r="M49" s="237"/>
      <c r="N49" s="444"/>
      <c r="O49" s="796"/>
      <c r="AB49" s="539">
        <v>0</v>
      </c>
    </row>
    <row r="50" spans="1:28" ht="11.25" hidden="1" customHeight="1">
      <c r="A50" s="1302"/>
      <c r="D50" s="443" t="s">
        <v>893</v>
      </c>
      <c r="E50" s="948" t="s">
        <v>894</v>
      </c>
      <c r="F50" s="28" t="s">
        <v>875</v>
      </c>
      <c r="G50" s="237"/>
      <c r="H50" s="444"/>
      <c r="I50" s="237"/>
      <c r="J50" s="444"/>
      <c r="K50" s="237"/>
      <c r="L50" s="444"/>
      <c r="M50" s="237"/>
      <c r="N50" s="444"/>
      <c r="O50" s="796"/>
      <c r="AB50" s="539">
        <v>0</v>
      </c>
    </row>
    <row r="51" spans="1:28" ht="11.25" hidden="1" customHeight="1">
      <c r="A51" s="1302"/>
      <c r="D51" s="443" t="s">
        <v>895</v>
      </c>
      <c r="E51" s="948" t="s">
        <v>896</v>
      </c>
      <c r="F51" s="28" t="s">
        <v>875</v>
      </c>
      <c r="G51" s="237"/>
      <c r="H51" s="444"/>
      <c r="I51" s="237"/>
      <c r="J51" s="444"/>
      <c r="K51" s="237"/>
      <c r="L51" s="444"/>
      <c r="M51" s="237"/>
      <c r="N51" s="444"/>
      <c r="O51" s="796"/>
      <c r="AB51" s="539">
        <v>0</v>
      </c>
    </row>
    <row r="52" spans="1:28" ht="45" hidden="1" customHeight="1">
      <c r="A52" s="1302"/>
      <c r="D52" s="443" t="s">
        <v>115</v>
      </c>
      <c r="E52" s="949" t="s">
        <v>897</v>
      </c>
      <c r="F52" s="28" t="s">
        <v>875</v>
      </c>
      <c r="G52" s="237"/>
      <c r="H52" s="444"/>
      <c r="I52" s="237"/>
      <c r="J52" s="444"/>
      <c r="K52" s="237"/>
      <c r="L52" s="444"/>
      <c r="M52" s="237"/>
      <c r="N52" s="444"/>
      <c r="O52" s="796"/>
      <c r="AB52" s="539">
        <v>0</v>
      </c>
    </row>
    <row r="53" spans="1:28" ht="11.25" hidden="1" customHeight="1">
      <c r="A53" s="1302"/>
      <c r="D53" s="443" t="s">
        <v>321</v>
      </c>
      <c r="E53" s="948" t="s">
        <v>886</v>
      </c>
      <c r="F53" s="28" t="s">
        <v>875</v>
      </c>
      <c r="G53" s="237"/>
      <c r="H53" s="444"/>
      <c r="I53" s="237"/>
      <c r="J53" s="444"/>
      <c r="K53" s="237"/>
      <c r="L53" s="444"/>
      <c r="M53" s="237"/>
      <c r="N53" s="444"/>
      <c r="O53" s="796"/>
      <c r="AB53" s="539">
        <v>0</v>
      </c>
    </row>
    <row r="54" spans="1:28" ht="11.25" hidden="1" customHeight="1">
      <c r="A54" s="1302"/>
      <c r="D54" s="443" t="s">
        <v>898</v>
      </c>
      <c r="E54" s="948" t="s">
        <v>887</v>
      </c>
      <c r="F54" s="28" t="s">
        <v>875</v>
      </c>
      <c r="G54" s="237"/>
      <c r="H54" s="444"/>
      <c r="I54" s="237"/>
      <c r="J54" s="444"/>
      <c r="K54" s="237"/>
      <c r="L54" s="444"/>
      <c r="M54" s="237"/>
      <c r="N54" s="444"/>
      <c r="O54" s="796"/>
      <c r="AB54" s="539">
        <v>0</v>
      </c>
    </row>
    <row r="55" spans="1:28" ht="11.25" hidden="1" customHeight="1">
      <c r="A55" s="1302"/>
      <c r="D55" s="443" t="s">
        <v>899</v>
      </c>
      <c r="E55" s="948" t="s">
        <v>888</v>
      </c>
      <c r="F55" s="28" t="s">
        <v>875</v>
      </c>
      <c r="G55" s="237"/>
      <c r="H55" s="444"/>
      <c r="I55" s="237"/>
      <c r="J55" s="444"/>
      <c r="K55" s="237"/>
      <c r="L55" s="444"/>
      <c r="M55" s="237"/>
      <c r="N55" s="444"/>
      <c r="O55" s="796"/>
      <c r="AB55" s="539">
        <v>0</v>
      </c>
    </row>
    <row r="56" spans="1:28" ht="11.25" hidden="1" customHeight="1">
      <c r="A56" s="1302"/>
      <c r="D56" s="443" t="s">
        <v>900</v>
      </c>
      <c r="E56" s="950" t="s">
        <v>890</v>
      </c>
      <c r="F56" s="28" t="s">
        <v>875</v>
      </c>
      <c r="G56" s="237"/>
      <c r="H56" s="444"/>
      <c r="I56" s="237"/>
      <c r="J56" s="444"/>
      <c r="K56" s="237"/>
      <c r="L56" s="444"/>
      <c r="M56" s="237"/>
      <c r="N56" s="444"/>
      <c r="O56" s="796"/>
      <c r="AB56" s="539">
        <v>0</v>
      </c>
    </row>
    <row r="57" spans="1:28" ht="11.25" hidden="1" customHeight="1">
      <c r="A57" s="1302"/>
      <c r="D57" s="443" t="s">
        <v>901</v>
      </c>
      <c r="E57" s="950" t="s">
        <v>892</v>
      </c>
      <c r="F57" s="28" t="s">
        <v>875</v>
      </c>
      <c r="G57" s="237"/>
      <c r="H57" s="444"/>
      <c r="I57" s="237"/>
      <c r="J57" s="444"/>
      <c r="K57" s="237"/>
      <c r="L57" s="444"/>
      <c r="M57" s="237"/>
      <c r="N57" s="444"/>
      <c r="O57" s="796"/>
      <c r="AB57" s="539">
        <v>0</v>
      </c>
    </row>
    <row r="58" spans="1:28" ht="11.25" hidden="1" customHeight="1">
      <c r="A58" s="1302"/>
      <c r="D58" s="443" t="s">
        <v>902</v>
      </c>
      <c r="E58" s="948" t="s">
        <v>894</v>
      </c>
      <c r="F58" s="28" t="s">
        <v>875</v>
      </c>
      <c r="G58" s="237"/>
      <c r="H58" s="444"/>
      <c r="I58" s="237"/>
      <c r="J58" s="444"/>
      <c r="K58" s="237"/>
      <c r="L58" s="444"/>
      <c r="M58" s="237"/>
      <c r="N58" s="444"/>
      <c r="O58" s="796"/>
      <c r="AB58" s="539">
        <v>0</v>
      </c>
    </row>
    <row r="59" spans="1:28" ht="11.25" hidden="1" customHeight="1">
      <c r="A59" s="1302"/>
      <c r="D59" s="443" t="s">
        <v>903</v>
      </c>
      <c r="E59" s="948" t="s">
        <v>896</v>
      </c>
      <c r="F59" s="28" t="s">
        <v>875</v>
      </c>
      <c r="G59" s="237"/>
      <c r="H59" s="444"/>
      <c r="I59" s="237"/>
      <c r="J59" s="444"/>
      <c r="K59" s="237"/>
      <c r="L59" s="444"/>
      <c r="M59" s="237"/>
      <c r="N59" s="444"/>
      <c r="O59" s="796"/>
      <c r="AB59" s="539">
        <v>0</v>
      </c>
    </row>
    <row r="60" spans="1:28" ht="33.75" hidden="1" customHeight="1">
      <c r="A60" s="1302"/>
      <c r="D60" s="443" t="s">
        <v>91</v>
      </c>
      <c r="E60" s="949" t="s">
        <v>904</v>
      </c>
      <c r="F60" s="449" t="s">
        <v>566</v>
      </c>
      <c r="G60" s="420"/>
      <c r="H60" s="444"/>
      <c r="I60" s="420"/>
      <c r="J60" s="444"/>
      <c r="K60" s="420"/>
      <c r="L60" s="444"/>
      <c r="M60" s="420"/>
      <c r="N60" s="444"/>
      <c r="O60" s="853" t="s">
        <v>905</v>
      </c>
      <c r="AB60" s="539">
        <v>0</v>
      </c>
    </row>
    <row r="61" spans="1:28" ht="33.75" hidden="1" customHeight="1">
      <c r="A61" s="1302"/>
      <c r="D61" s="443" t="s">
        <v>92</v>
      </c>
      <c r="E61" s="949" t="s">
        <v>906</v>
      </c>
      <c r="F61" s="450" t="s">
        <v>836</v>
      </c>
      <c r="G61" s="237"/>
      <c r="H61" s="444"/>
      <c r="I61" s="237"/>
      <c r="J61" s="444"/>
      <c r="K61" s="237"/>
      <c r="L61" s="444"/>
      <c r="M61" s="237"/>
      <c r="N61" s="444"/>
      <c r="O61" s="796"/>
      <c r="AB61" s="539">
        <v>0</v>
      </c>
    </row>
    <row r="62" spans="1:28" ht="22.5" hidden="1" customHeight="1">
      <c r="A62" s="1302"/>
      <c r="B62" s="578" t="s">
        <v>603</v>
      </c>
      <c r="D62" s="443" t="s">
        <v>116</v>
      </c>
      <c r="E62" s="949" t="s">
        <v>907</v>
      </c>
      <c r="F62" s="450" t="s">
        <v>314</v>
      </c>
      <c r="G62" s="133"/>
      <c r="H62" s="444"/>
      <c r="I62" s="133"/>
      <c r="J62" s="444"/>
      <c r="K62" s="133"/>
      <c r="L62" s="444"/>
      <c r="M62" s="133"/>
      <c r="N62" s="444"/>
      <c r="O62" s="796" t="s">
        <v>648</v>
      </c>
      <c r="AB62" s="539">
        <v>0</v>
      </c>
    </row>
    <row r="63" spans="1:28" ht="45" hidden="1" customHeight="1">
      <c r="A63" s="1302"/>
      <c r="B63" s="578" t="s">
        <v>603</v>
      </c>
      <c r="D63" s="443" t="s">
        <v>908</v>
      </c>
      <c r="E63" s="948" t="s">
        <v>909</v>
      </c>
      <c r="F63" s="449" t="s">
        <v>314</v>
      </c>
      <c r="G63" s="133"/>
      <c r="H63" s="444"/>
      <c r="I63" s="133"/>
      <c r="J63" s="444"/>
      <c r="K63" s="133"/>
      <c r="L63" s="444"/>
      <c r="M63" s="133"/>
      <c r="N63" s="444"/>
      <c r="O63" s="796" t="s">
        <v>648</v>
      </c>
      <c r="AB63" s="539">
        <v>0</v>
      </c>
    </row>
    <row r="64" spans="1:28" ht="11.45" customHeight="1">
      <c r="AB64" s="539">
        <v>11</v>
      </c>
    </row>
    <row r="65" spans="1:28" ht="22.5" hidden="1" customHeight="1">
      <c r="A65" s="1302" t="s">
        <v>910</v>
      </c>
      <c r="D65" s="443">
        <v>1</v>
      </c>
      <c r="E65" s="951" t="s">
        <v>911</v>
      </c>
      <c r="F65" s="451" t="s">
        <v>826</v>
      </c>
      <c r="G65" s="446"/>
      <c r="H65" s="452"/>
      <c r="I65" s="446"/>
      <c r="J65" s="452"/>
      <c r="K65" s="446"/>
      <c r="L65" s="452"/>
      <c r="M65" s="446"/>
      <c r="N65" s="452"/>
      <c r="O65" s="818" t="s">
        <v>912</v>
      </c>
      <c r="AB65" s="539">
        <v>0</v>
      </c>
    </row>
    <row r="66" spans="1:28" ht="56.25" hidden="1" customHeight="1">
      <c r="A66" s="1302"/>
      <c r="D66" s="453" t="s">
        <v>102</v>
      </c>
      <c r="E66" s="620" t="s">
        <v>913</v>
      </c>
      <c r="F66" s="28" t="s">
        <v>554</v>
      </c>
      <c r="G66" s="28" t="s">
        <v>554</v>
      </c>
      <c r="H66" s="439"/>
      <c r="I66" s="28" t="s">
        <v>554</v>
      </c>
      <c r="J66" s="439"/>
      <c r="K66" s="28" t="s">
        <v>554</v>
      </c>
      <c r="L66" s="439"/>
      <c r="M66" s="28" t="s">
        <v>554</v>
      </c>
      <c r="N66" s="439"/>
      <c r="O66" s="796"/>
      <c r="AB66" s="539">
        <v>0</v>
      </c>
    </row>
    <row r="67" spans="1:28" ht="33.75" hidden="1" customHeight="1">
      <c r="A67" s="1302"/>
      <c r="D67" s="453" t="s">
        <v>725</v>
      </c>
      <c r="E67" s="889" t="s">
        <v>914</v>
      </c>
      <c r="F67" s="28" t="s">
        <v>878</v>
      </c>
      <c r="G67" s="454"/>
      <c r="H67" s="439"/>
      <c r="I67" s="454"/>
      <c r="J67" s="439"/>
      <c r="K67" s="454"/>
      <c r="L67" s="439"/>
      <c r="M67" s="454"/>
      <c r="N67" s="439"/>
      <c r="O67" s="796"/>
      <c r="AB67" s="539">
        <v>0</v>
      </c>
    </row>
    <row r="68" spans="1:28" ht="22.5" hidden="1" customHeight="1">
      <c r="A68" s="1302"/>
      <c r="D68" s="453" t="s">
        <v>315</v>
      </c>
      <c r="E68" s="889" t="s">
        <v>915</v>
      </c>
      <c r="F68" s="28" t="s">
        <v>878</v>
      </c>
      <c r="G68" s="454"/>
      <c r="H68" s="439"/>
      <c r="I68" s="454"/>
      <c r="J68" s="439"/>
      <c r="K68" s="454"/>
      <c r="L68" s="439"/>
      <c r="M68" s="454"/>
      <c r="N68" s="439"/>
      <c r="O68" s="796"/>
      <c r="AB68" s="539">
        <v>0</v>
      </c>
    </row>
    <row r="69" spans="1:28" ht="22.5" hidden="1" customHeight="1">
      <c r="A69" s="1302"/>
      <c r="D69" s="453" t="s">
        <v>318</v>
      </c>
      <c r="E69" s="889" t="s">
        <v>916</v>
      </c>
      <c r="F69" s="449" t="s">
        <v>566</v>
      </c>
      <c r="G69" s="420"/>
      <c r="H69" s="439"/>
      <c r="I69" s="420"/>
      <c r="J69" s="439"/>
      <c r="K69" s="420"/>
      <c r="L69" s="439"/>
      <c r="M69" s="420"/>
      <c r="N69" s="439"/>
      <c r="O69" s="796"/>
      <c r="AB69" s="539">
        <v>0</v>
      </c>
    </row>
    <row r="70" spans="1:28" ht="22.5" hidden="1" customHeight="1">
      <c r="A70" s="1302"/>
      <c r="D70" s="453" t="s">
        <v>745</v>
      </c>
      <c r="E70" s="889" t="s">
        <v>917</v>
      </c>
      <c r="F70" s="449" t="s">
        <v>566</v>
      </c>
      <c r="G70" s="420"/>
      <c r="H70" s="439"/>
      <c r="I70" s="420"/>
      <c r="J70" s="439"/>
      <c r="K70" s="420"/>
      <c r="L70" s="439"/>
      <c r="M70" s="420"/>
      <c r="N70" s="439"/>
      <c r="O70" s="796"/>
      <c r="AB70" s="539">
        <v>0</v>
      </c>
    </row>
    <row r="71" spans="1:28" ht="22.5" hidden="1" customHeight="1">
      <c r="A71" s="1302"/>
      <c r="D71" s="443" t="s">
        <v>89</v>
      </c>
      <c r="E71" s="949" t="s">
        <v>918</v>
      </c>
      <c r="F71" s="28" t="s">
        <v>878</v>
      </c>
      <c r="G71" s="407"/>
      <c r="H71" s="442"/>
      <c r="I71" s="407"/>
      <c r="J71" s="442"/>
      <c r="K71" s="407"/>
      <c r="L71" s="442"/>
      <c r="M71" s="407"/>
      <c r="N71" s="442"/>
      <c r="O71" s="853"/>
      <c r="AB71" s="539">
        <v>0</v>
      </c>
    </row>
    <row r="72" spans="1:28" ht="56.25" hidden="1" customHeight="1">
      <c r="A72" s="1302"/>
      <c r="D72" s="443" t="s">
        <v>90</v>
      </c>
      <c r="E72" s="949" t="s">
        <v>919</v>
      </c>
      <c r="F72" s="449" t="s">
        <v>566</v>
      </c>
      <c r="G72" s="420"/>
      <c r="H72" s="444"/>
      <c r="I72" s="420"/>
      <c r="J72" s="444"/>
      <c r="K72" s="420"/>
      <c r="L72" s="444"/>
      <c r="M72" s="420"/>
      <c r="N72" s="444"/>
      <c r="O72" s="853"/>
      <c r="AB72" s="539">
        <v>0</v>
      </c>
    </row>
    <row r="73" spans="1:28" ht="33.75" hidden="1" customHeight="1">
      <c r="A73" s="1302"/>
      <c r="D73" s="443" t="s">
        <v>115</v>
      </c>
      <c r="E73" s="949" t="s">
        <v>920</v>
      </c>
      <c r="F73" s="450" t="s">
        <v>836</v>
      </c>
      <c r="G73" s="237"/>
      <c r="H73" s="444"/>
      <c r="I73" s="237"/>
      <c r="J73" s="444"/>
      <c r="K73" s="237"/>
      <c r="L73" s="444"/>
      <c r="M73" s="237"/>
      <c r="N73" s="444"/>
      <c r="O73" s="796"/>
      <c r="AB73" s="539">
        <v>0</v>
      </c>
    </row>
    <row r="74" spans="1:28" ht="22.5" hidden="1" customHeight="1">
      <c r="A74" s="1302"/>
      <c r="B74" s="578" t="s">
        <v>603</v>
      </c>
      <c r="D74" s="443" t="s">
        <v>91</v>
      </c>
      <c r="E74" s="949" t="s">
        <v>921</v>
      </c>
      <c r="F74" s="450" t="s">
        <v>314</v>
      </c>
      <c r="G74" s="133"/>
      <c r="H74" s="444"/>
      <c r="I74" s="133"/>
      <c r="J74" s="444"/>
      <c r="K74" s="133"/>
      <c r="L74" s="444"/>
      <c r="M74" s="133"/>
      <c r="N74" s="444"/>
      <c r="O74" s="796" t="s">
        <v>648</v>
      </c>
      <c r="AB74" s="539">
        <v>0</v>
      </c>
    </row>
    <row r="75" spans="1:28" ht="45" hidden="1" customHeight="1">
      <c r="A75" s="1302"/>
      <c r="B75" s="578" t="s">
        <v>603</v>
      </c>
      <c r="D75" s="443" t="s">
        <v>669</v>
      </c>
      <c r="E75" s="948" t="s">
        <v>922</v>
      </c>
      <c r="F75" s="449" t="s">
        <v>314</v>
      </c>
      <c r="G75" s="133"/>
      <c r="H75" s="444"/>
      <c r="I75" s="133"/>
      <c r="J75" s="444"/>
      <c r="K75" s="133"/>
      <c r="L75" s="444"/>
      <c r="M75" s="133"/>
      <c r="N75" s="444"/>
      <c r="O75" s="796" t="s">
        <v>648</v>
      </c>
      <c r="AB75" s="539">
        <v>0</v>
      </c>
    </row>
    <row r="76" spans="1:28" ht="11.45" customHeight="1">
      <c r="AB76" s="539">
        <v>11</v>
      </c>
    </row>
    <row r="77" spans="1:28" ht="11.25" customHeight="1">
      <c r="A77" s="1302" t="s">
        <v>923</v>
      </c>
      <c r="D77" s="443">
        <v>1</v>
      </c>
      <c r="E77" s="949" t="s">
        <v>924</v>
      </c>
      <c r="F77" s="449" t="s">
        <v>826</v>
      </c>
      <c r="G77" s="238"/>
      <c r="H77" s="444"/>
      <c r="I77" s="238">
        <v>0.09</v>
      </c>
      <c r="J77" s="444"/>
      <c r="K77" s="238">
        <v>0.1</v>
      </c>
      <c r="L77" s="444"/>
      <c r="M77" s="238">
        <v>0</v>
      </c>
      <c r="N77" s="444"/>
      <c r="O77" s="796" t="s">
        <v>925</v>
      </c>
      <c r="AB77" s="539">
        <v>0</v>
      </c>
    </row>
    <row r="78" spans="1:28" ht="11.25" customHeight="1">
      <c r="A78" s="1302"/>
      <c r="D78" s="443" t="s">
        <v>102</v>
      </c>
      <c r="E78" s="949" t="s">
        <v>926</v>
      </c>
      <c r="F78" s="449" t="s">
        <v>826</v>
      </c>
      <c r="G78" s="238"/>
      <c r="H78" s="444"/>
      <c r="I78" s="238">
        <v>4.0199999999999996</v>
      </c>
      <c r="J78" s="444"/>
      <c r="K78" s="238">
        <v>2.19</v>
      </c>
      <c r="L78" s="444"/>
      <c r="M78" s="238">
        <v>0</v>
      </c>
      <c r="N78" s="444"/>
      <c r="O78" s="796" t="s">
        <v>927</v>
      </c>
      <c r="AB78" s="539">
        <v>0</v>
      </c>
    </row>
    <row r="79" spans="1:28" ht="22.5" customHeight="1">
      <c r="A79" s="1302"/>
      <c r="D79" s="443" t="s">
        <v>89</v>
      </c>
      <c r="E79" s="947" t="s">
        <v>928</v>
      </c>
      <c r="F79" s="28" t="s">
        <v>875</v>
      </c>
      <c r="G79" s="238"/>
      <c r="H79" s="444"/>
      <c r="I79" s="238">
        <v>3090</v>
      </c>
      <c r="J79" s="444"/>
      <c r="K79" s="238">
        <v>594</v>
      </c>
      <c r="L79" s="444"/>
      <c r="M79" s="238">
        <v>0</v>
      </c>
      <c r="N79" s="444"/>
      <c r="O79" s="796" t="s">
        <v>929</v>
      </c>
      <c r="AB79" s="539">
        <v>0</v>
      </c>
    </row>
    <row r="80" spans="1:28" ht="11.25" customHeight="1">
      <c r="A80" s="1302"/>
      <c r="D80" s="443" t="s">
        <v>332</v>
      </c>
      <c r="E80" s="946" t="s">
        <v>930</v>
      </c>
      <c r="F80" s="28" t="s">
        <v>875</v>
      </c>
      <c r="G80" s="238"/>
      <c r="H80" s="444"/>
      <c r="I80" s="238">
        <v>57</v>
      </c>
      <c r="J80" s="444"/>
      <c r="K80" s="238">
        <v>40</v>
      </c>
      <c r="L80" s="444"/>
      <c r="M80" s="238">
        <v>0</v>
      </c>
      <c r="N80" s="444"/>
      <c r="O80" s="796"/>
      <c r="AB80" s="539">
        <v>0</v>
      </c>
    </row>
    <row r="81" spans="1:28" ht="11.25" customHeight="1">
      <c r="A81" s="1302"/>
      <c r="D81" s="443" t="s">
        <v>340</v>
      </c>
      <c r="E81" s="946" t="s">
        <v>931</v>
      </c>
      <c r="F81" s="28" t="s">
        <v>875</v>
      </c>
      <c r="G81" s="238"/>
      <c r="H81" s="444"/>
      <c r="I81" s="238">
        <v>57</v>
      </c>
      <c r="J81" s="444"/>
      <c r="K81" s="238">
        <v>40</v>
      </c>
      <c r="L81" s="444"/>
      <c r="M81" s="238">
        <v>0</v>
      </c>
      <c r="N81" s="444"/>
      <c r="O81" s="796"/>
      <c r="AB81" s="539">
        <v>0</v>
      </c>
    </row>
    <row r="82" spans="1:28" ht="11.25" customHeight="1">
      <c r="A82" s="1302"/>
      <c r="D82" s="443" t="s">
        <v>342</v>
      </c>
      <c r="E82" s="946" t="s">
        <v>932</v>
      </c>
      <c r="F82" s="28" t="s">
        <v>875</v>
      </c>
      <c r="G82" s="238"/>
      <c r="H82" s="444"/>
      <c r="I82" s="238">
        <v>57</v>
      </c>
      <c r="J82" s="444"/>
      <c r="K82" s="238">
        <v>40</v>
      </c>
      <c r="L82" s="444"/>
      <c r="M82" s="238">
        <v>0</v>
      </c>
      <c r="N82" s="444"/>
      <c r="O82" s="796"/>
      <c r="AB82" s="539">
        <v>0</v>
      </c>
    </row>
    <row r="83" spans="1:28" ht="11.25" customHeight="1">
      <c r="A83" s="1302"/>
      <c r="D83" s="443" t="s">
        <v>344</v>
      </c>
      <c r="E83" s="946" t="s">
        <v>933</v>
      </c>
      <c r="F83" s="28" t="s">
        <v>875</v>
      </c>
      <c r="G83" s="238"/>
      <c r="H83" s="444"/>
      <c r="I83" s="238">
        <v>57</v>
      </c>
      <c r="J83" s="444"/>
      <c r="K83" s="238">
        <v>40</v>
      </c>
      <c r="L83" s="444"/>
      <c r="M83" s="238">
        <v>0</v>
      </c>
      <c r="N83" s="444"/>
      <c r="O83" s="796"/>
      <c r="AB83" s="539">
        <v>0</v>
      </c>
    </row>
    <row r="84" spans="1:28" ht="11.25" customHeight="1">
      <c r="A84" s="1302"/>
      <c r="D84" s="443" t="s">
        <v>934</v>
      </c>
      <c r="E84" s="946" t="s">
        <v>935</v>
      </c>
      <c r="F84" s="28" t="s">
        <v>875</v>
      </c>
      <c r="G84" s="238"/>
      <c r="H84" s="444"/>
      <c r="I84" s="238">
        <v>57</v>
      </c>
      <c r="J84" s="444"/>
      <c r="K84" s="238">
        <v>40</v>
      </c>
      <c r="L84" s="444"/>
      <c r="M84" s="238">
        <v>0</v>
      </c>
      <c r="N84" s="444"/>
      <c r="O84" s="796"/>
      <c r="AB84" s="539">
        <v>0</v>
      </c>
    </row>
    <row r="85" spans="1:28" ht="11.25" customHeight="1">
      <c r="A85" s="1302"/>
      <c r="D85" s="443" t="s">
        <v>936</v>
      </c>
      <c r="E85" s="946" t="s">
        <v>937</v>
      </c>
      <c r="F85" s="28" t="s">
        <v>875</v>
      </c>
      <c r="G85" s="238"/>
      <c r="H85" s="444"/>
      <c r="I85" s="238">
        <v>57</v>
      </c>
      <c r="J85" s="444"/>
      <c r="K85" s="238">
        <v>40</v>
      </c>
      <c r="L85" s="444"/>
      <c r="M85" s="238">
        <v>0</v>
      </c>
      <c r="N85" s="444"/>
      <c r="O85" s="796"/>
      <c r="AB85" s="539">
        <v>0</v>
      </c>
    </row>
    <row r="86" spans="1:28" ht="11.25" customHeight="1">
      <c r="A86" s="1302"/>
      <c r="D86" s="443" t="s">
        <v>938</v>
      </c>
      <c r="E86" s="946" t="s">
        <v>939</v>
      </c>
      <c r="F86" s="28" t="s">
        <v>875</v>
      </c>
      <c r="G86" s="238"/>
      <c r="H86" s="444"/>
      <c r="I86" s="238">
        <v>563</v>
      </c>
      <c r="J86" s="444"/>
      <c r="K86" s="238">
        <v>34</v>
      </c>
      <c r="L86" s="444"/>
      <c r="M86" s="238">
        <v>0</v>
      </c>
      <c r="N86" s="444"/>
      <c r="O86" s="796"/>
      <c r="AB86" s="539">
        <v>0</v>
      </c>
    </row>
    <row r="87" spans="1:28" ht="45" customHeight="1">
      <c r="A87" s="1302"/>
      <c r="D87" s="443" t="s">
        <v>90</v>
      </c>
      <c r="E87" s="949" t="s">
        <v>940</v>
      </c>
      <c r="F87" s="28" t="s">
        <v>875</v>
      </c>
      <c r="G87" s="238"/>
      <c r="H87" s="444"/>
      <c r="I87" s="238">
        <v>221</v>
      </c>
      <c r="J87" s="444"/>
      <c r="K87" s="238">
        <v>321</v>
      </c>
      <c r="L87" s="444"/>
      <c r="M87" s="238">
        <v>0</v>
      </c>
      <c r="N87" s="444"/>
      <c r="O87" s="796" t="s">
        <v>941</v>
      </c>
      <c r="AB87" s="539">
        <v>0</v>
      </c>
    </row>
    <row r="88" spans="1:28" ht="11.25" customHeight="1">
      <c r="A88" s="1302"/>
      <c r="D88" s="443" t="s">
        <v>770</v>
      </c>
      <c r="E88" s="946" t="s">
        <v>930</v>
      </c>
      <c r="F88" s="28" t="s">
        <v>875</v>
      </c>
      <c r="G88" s="238"/>
      <c r="H88" s="444"/>
      <c r="I88" s="238">
        <v>12</v>
      </c>
      <c r="J88" s="444"/>
      <c r="K88" s="238">
        <v>35</v>
      </c>
      <c r="L88" s="444"/>
      <c r="M88" s="238">
        <v>0</v>
      </c>
      <c r="N88" s="444"/>
      <c r="O88" s="796"/>
      <c r="AB88" s="539">
        <v>0</v>
      </c>
    </row>
    <row r="89" spans="1:28" ht="11.25" customHeight="1">
      <c r="A89" s="1302"/>
      <c r="D89" s="443" t="s">
        <v>812</v>
      </c>
      <c r="E89" s="946" t="s">
        <v>931</v>
      </c>
      <c r="F89" s="28" t="s">
        <v>875</v>
      </c>
      <c r="G89" s="238"/>
      <c r="H89" s="444"/>
      <c r="I89" s="238">
        <v>7</v>
      </c>
      <c r="J89" s="444"/>
      <c r="K89" s="238">
        <v>40</v>
      </c>
      <c r="L89" s="444"/>
      <c r="M89" s="238">
        <v>0</v>
      </c>
      <c r="N89" s="444"/>
      <c r="O89" s="796"/>
      <c r="AB89" s="539">
        <v>0</v>
      </c>
    </row>
    <row r="90" spans="1:28" ht="11.25" customHeight="1">
      <c r="A90" s="1302"/>
      <c r="D90" s="443" t="s">
        <v>815</v>
      </c>
      <c r="E90" s="946" t="s">
        <v>932</v>
      </c>
      <c r="F90" s="28" t="s">
        <v>875</v>
      </c>
      <c r="G90" s="238"/>
      <c r="H90" s="444"/>
      <c r="I90" s="238">
        <v>10</v>
      </c>
      <c r="J90" s="444"/>
      <c r="K90" s="238">
        <v>28</v>
      </c>
      <c r="L90" s="444"/>
      <c r="M90" s="238">
        <v>0</v>
      </c>
      <c r="N90" s="444"/>
      <c r="O90" s="796"/>
      <c r="AB90" s="539">
        <v>0</v>
      </c>
    </row>
    <row r="91" spans="1:28" ht="11.25" customHeight="1">
      <c r="A91" s="1302"/>
      <c r="D91" s="443" t="s">
        <v>893</v>
      </c>
      <c r="E91" s="946" t="s">
        <v>933</v>
      </c>
      <c r="F91" s="28" t="s">
        <v>875</v>
      </c>
      <c r="G91" s="238"/>
      <c r="H91" s="444"/>
      <c r="I91" s="238">
        <v>0</v>
      </c>
      <c r="J91" s="444"/>
      <c r="K91" s="238">
        <v>4</v>
      </c>
      <c r="L91" s="444"/>
      <c r="M91" s="238">
        <v>0</v>
      </c>
      <c r="N91" s="444"/>
      <c r="O91" s="796"/>
      <c r="AB91" s="539">
        <v>0</v>
      </c>
    </row>
    <row r="92" spans="1:28" ht="11.25" customHeight="1">
      <c r="A92" s="1302"/>
      <c r="D92" s="443" t="s">
        <v>895</v>
      </c>
      <c r="E92" s="946" t="s">
        <v>935</v>
      </c>
      <c r="F92" s="28" t="s">
        <v>875</v>
      </c>
      <c r="G92" s="238"/>
      <c r="H92" s="444"/>
      <c r="I92" s="238">
        <v>11</v>
      </c>
      <c r="J92" s="444"/>
      <c r="K92" s="238">
        <v>21</v>
      </c>
      <c r="L92" s="444"/>
      <c r="M92" s="238">
        <v>0</v>
      </c>
      <c r="N92" s="444"/>
      <c r="O92" s="796"/>
      <c r="AB92" s="539">
        <v>0</v>
      </c>
    </row>
    <row r="93" spans="1:28" ht="11.25" customHeight="1">
      <c r="A93" s="1302"/>
      <c r="D93" s="443" t="s">
        <v>942</v>
      </c>
      <c r="E93" s="946" t="s">
        <v>937</v>
      </c>
      <c r="F93" s="28" t="s">
        <v>875</v>
      </c>
      <c r="G93" s="238"/>
      <c r="H93" s="444"/>
      <c r="I93" s="238">
        <v>15</v>
      </c>
      <c r="J93" s="444"/>
      <c r="K93" s="238">
        <v>31</v>
      </c>
      <c r="L93" s="444"/>
      <c r="M93" s="238">
        <v>0</v>
      </c>
      <c r="N93" s="444"/>
      <c r="O93" s="796"/>
      <c r="AB93" s="539">
        <v>0</v>
      </c>
    </row>
    <row r="94" spans="1:28" ht="11.25" customHeight="1">
      <c r="A94" s="1302"/>
      <c r="D94" s="443" t="s">
        <v>943</v>
      </c>
      <c r="E94" s="946" t="s">
        <v>939</v>
      </c>
      <c r="F94" s="28" t="s">
        <v>875</v>
      </c>
      <c r="G94" s="238"/>
      <c r="H94" s="444"/>
      <c r="I94" s="238">
        <v>0</v>
      </c>
      <c r="J94" s="444"/>
      <c r="K94" s="238">
        <v>22</v>
      </c>
      <c r="L94" s="444"/>
      <c r="M94" s="238">
        <v>0</v>
      </c>
      <c r="N94" s="444"/>
      <c r="O94" s="796"/>
      <c r="AB94" s="539">
        <v>0</v>
      </c>
    </row>
    <row r="95" spans="1:28" ht="24.75" customHeight="1">
      <c r="A95" s="1302"/>
      <c r="D95" s="443" t="s">
        <v>115</v>
      </c>
      <c r="E95" s="949" t="s">
        <v>944</v>
      </c>
      <c r="F95" s="455" t="s">
        <v>566</v>
      </c>
      <c r="G95" s="454"/>
      <c r="H95" s="444"/>
      <c r="I95" s="454">
        <v>5.8</v>
      </c>
      <c r="J95" s="444"/>
      <c r="K95" s="454">
        <v>0</v>
      </c>
      <c r="L95" s="444"/>
      <c r="M95" s="454">
        <v>5.8</v>
      </c>
      <c r="N95" s="444"/>
      <c r="O95" s="796" t="s">
        <v>945</v>
      </c>
      <c r="AB95" s="539">
        <v>0</v>
      </c>
    </row>
    <row r="96" spans="1:28" ht="33.75" customHeight="1">
      <c r="A96" s="1302"/>
      <c r="D96" s="443" t="s">
        <v>91</v>
      </c>
      <c r="E96" s="949" t="s">
        <v>946</v>
      </c>
      <c r="F96" s="450" t="s">
        <v>836</v>
      </c>
      <c r="G96" s="456"/>
      <c r="H96" s="444"/>
      <c r="I96" s="456">
        <v>20</v>
      </c>
      <c r="J96" s="444"/>
      <c r="K96" s="456">
        <v>20</v>
      </c>
      <c r="L96" s="444"/>
      <c r="M96" s="456">
        <v>20</v>
      </c>
      <c r="N96" s="444"/>
      <c r="O96" s="796"/>
      <c r="AB96" s="539">
        <v>0</v>
      </c>
    </row>
    <row r="97" spans="1:28" ht="22.5" customHeight="1">
      <c r="A97" s="1302"/>
      <c r="B97" s="578" t="s">
        <v>603</v>
      </c>
      <c r="D97" s="443" t="s">
        <v>92</v>
      </c>
      <c r="E97" s="949" t="s">
        <v>947</v>
      </c>
      <c r="F97" s="450" t="s">
        <v>314</v>
      </c>
      <c r="G97" s="297"/>
      <c r="H97" s="444"/>
      <c r="I97" s="1004" t="s">
        <v>948</v>
      </c>
      <c r="J97" s="444"/>
      <c r="K97" s="1004" t="s">
        <v>949</v>
      </c>
      <c r="L97" s="444"/>
      <c r="M97" s="1004" t="s">
        <v>948</v>
      </c>
      <c r="N97" s="444"/>
      <c r="O97" s="796" t="s">
        <v>648</v>
      </c>
      <c r="AB97" s="539">
        <v>0</v>
      </c>
    </row>
    <row r="98" spans="1:28" ht="45" customHeight="1">
      <c r="A98" s="1302"/>
      <c r="B98" s="578" t="s">
        <v>603</v>
      </c>
      <c r="D98" s="443" t="s">
        <v>950</v>
      </c>
      <c r="E98" s="948" t="s">
        <v>951</v>
      </c>
      <c r="F98" s="449" t="s">
        <v>314</v>
      </c>
      <c r="G98" s="297"/>
      <c r="H98" s="444"/>
      <c r="I98" s="1004" t="s">
        <v>948</v>
      </c>
      <c r="J98" s="444"/>
      <c r="K98" s="1004" t="s">
        <v>949</v>
      </c>
      <c r="L98" s="444"/>
      <c r="M98" s="297" t="s">
        <v>948</v>
      </c>
      <c r="N98" s="444"/>
      <c r="O98" s="796" t="s">
        <v>648</v>
      </c>
      <c r="AB98" s="539">
        <v>0</v>
      </c>
    </row>
    <row r="99" spans="1:28" ht="95.25" customHeight="1">
      <c r="A99" s="1302"/>
      <c r="B99" s="578" t="s">
        <v>603</v>
      </c>
      <c r="D99" s="443" t="s">
        <v>116</v>
      </c>
      <c r="E99" s="949" t="s">
        <v>952</v>
      </c>
      <c r="F99" s="449" t="s">
        <v>314</v>
      </c>
      <c r="G99" s="297"/>
      <c r="H99" s="444"/>
      <c r="I99" s="1004" t="s">
        <v>953</v>
      </c>
      <c r="J99" s="444"/>
      <c r="K99" s="1004" t="s">
        <v>953</v>
      </c>
      <c r="L99" s="444"/>
      <c r="M99" s="1004" t="s">
        <v>953</v>
      </c>
      <c r="N99" s="444"/>
      <c r="O99" s="796" t="s">
        <v>648</v>
      </c>
      <c r="AB99" s="539">
        <v>0</v>
      </c>
    </row>
    <row r="100" spans="1:28" ht="22.5" customHeight="1">
      <c r="A100" s="1302"/>
      <c r="B100" s="578" t="s">
        <v>603</v>
      </c>
      <c r="D100" s="443" t="s">
        <v>158</v>
      </c>
      <c r="E100" s="949" t="s">
        <v>954</v>
      </c>
      <c r="F100" s="449" t="s">
        <v>314</v>
      </c>
      <c r="G100" s="297"/>
      <c r="H100" s="444"/>
      <c r="I100" s="1004" t="s">
        <v>955</v>
      </c>
      <c r="J100" s="444"/>
      <c r="K100" s="1004" t="s">
        <v>955</v>
      </c>
      <c r="L100" s="444"/>
      <c r="M100" s="1004" t="s">
        <v>955</v>
      </c>
      <c r="N100" s="444"/>
      <c r="O100" s="796" t="s">
        <v>648</v>
      </c>
      <c r="AB100" s="539">
        <v>0</v>
      </c>
    </row>
    <row r="101" spans="1:28" ht="11.45" customHeight="1">
      <c r="AB101" s="539">
        <v>11</v>
      </c>
    </row>
    <row r="102" spans="1:28" ht="22.5" hidden="1" customHeight="1">
      <c r="A102" s="457" t="s">
        <v>81</v>
      </c>
      <c r="B102" s="578">
        <v>0</v>
      </c>
      <c r="C102" s="539">
        <v>3</v>
      </c>
      <c r="D102" s="539">
        <v>7</v>
      </c>
      <c r="E102" s="539">
        <v>69</v>
      </c>
      <c r="F102" s="539">
        <v>10</v>
      </c>
      <c r="G102" s="539">
        <v>0</v>
      </c>
      <c r="H102" s="539">
        <v>0</v>
      </c>
      <c r="I102" s="539">
        <v>43</v>
      </c>
      <c r="J102" s="539">
        <v>43</v>
      </c>
      <c r="K102" s="3">
        <v>0</v>
      </c>
      <c r="L102" s="3">
        <v>0</v>
      </c>
      <c r="M102" s="3">
        <v>0</v>
      </c>
      <c r="N102" s="3">
        <v>0</v>
      </c>
      <c r="O102" s="539">
        <v>73</v>
      </c>
      <c r="P102" s="539">
        <v>3</v>
      </c>
      <c r="Q102" s="539">
        <v>10</v>
      </c>
      <c r="R102" s="539">
        <v>10</v>
      </c>
      <c r="S102" s="539">
        <v>10</v>
      </c>
      <c r="T102" s="539">
        <v>10</v>
      </c>
      <c r="U102" s="539">
        <v>10</v>
      </c>
      <c r="V102" s="539">
        <v>10</v>
      </c>
      <c r="W102" s="539">
        <v>10</v>
      </c>
      <c r="X102" s="539">
        <v>10</v>
      </c>
      <c r="Y102" s="539">
        <v>10</v>
      </c>
      <c r="Z102" s="539">
        <v>10</v>
      </c>
      <c r="AA102" s="539">
        <v>10</v>
      </c>
      <c r="AB102" s="539">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hyperlinks>
    <hyperlink ref="I97" r:id="rId1"/>
    <hyperlink ref="K97" r:id="rId2"/>
    <hyperlink ref="M97" r:id="rId3"/>
    <hyperlink ref="I98" r:id="rId4"/>
    <hyperlink ref="K98" r:id="rId5"/>
    <hyperlink ref="M98" r:id="rId6" tooltip="Кликните по гиперссылке, чтобы перейти по ней или отредактировать её"/>
    <hyperlink ref="I99" r:id="rId7"/>
    <hyperlink ref="K99" r:id="rId8"/>
    <hyperlink ref="M99" r:id="rId9"/>
    <hyperlink ref="I100" r:id="rId10"/>
    <hyperlink ref="K100" r:id="rId11"/>
    <hyperlink ref="M100" r:id="rId12"/>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2"/>
  <sheetViews>
    <sheetView showGridLines="0" zoomScale="90" workbookViewId="0">
      <pane xSplit="4" ySplit="12" topLeftCell="E13" activePane="bottomRight" state="frozen"/>
      <selection pane="topRight" activeCell="E1" sqref="E1"/>
      <selection pane="bottomLeft" activeCell="A13" sqref="A13"/>
      <selection pane="bottomRight" activeCell="E18" sqref="E18:E20"/>
    </sheetView>
  </sheetViews>
  <sheetFormatPr defaultColWidth="9.140625" defaultRowHeight="11.25" customHeight="1"/>
  <cols>
    <col min="1" max="1" width="6.42578125" style="1030" hidden="1" customWidth="1"/>
    <col min="2" max="2" width="2" style="1030" hidden="1" customWidth="1"/>
    <col min="3" max="3" width="3" style="1030" customWidth="1"/>
    <col min="4" max="4" width="4" style="1030" customWidth="1"/>
    <col min="5" max="5" width="44" style="1030" customWidth="1"/>
    <col min="6" max="6" width="6.42578125" style="1030" customWidth="1"/>
    <col min="7" max="7" width="4" style="1030" customWidth="1"/>
    <col min="8" max="8" width="5" style="1030" customWidth="1"/>
    <col min="9" max="9" width="52" style="1030" customWidth="1"/>
    <col min="10" max="10" width="7" style="1030" customWidth="1"/>
    <col min="11" max="11" width="3" style="1030" customWidth="1"/>
    <col min="12" max="12" width="6" style="1030" customWidth="1"/>
    <col min="13" max="13" width="67.42578125" style="1030" customWidth="1"/>
    <col min="14" max="14" width="8" style="1030" customWidth="1"/>
    <col min="15" max="37" width="9.140625" style="1030" hidden="1"/>
    <col min="38" max="38" width="8" style="1030" customWidth="1"/>
    <col min="39" max="39" width="9.140625" style="1030" hidden="1"/>
  </cols>
  <sheetData>
    <row r="1" spans="1:39" ht="11.25" hidden="1" customHeight="1">
      <c r="AM1" s="593" t="s">
        <v>14</v>
      </c>
    </row>
    <row r="2" spans="1:39" ht="11.25" hidden="1" customHeight="1">
      <c r="AM2" s="593">
        <v>0</v>
      </c>
    </row>
    <row r="3" spans="1:39" ht="11.45" customHeight="1">
      <c r="AM3" s="593">
        <v>11</v>
      </c>
    </row>
    <row r="4" spans="1:39" ht="35.65" customHeight="1">
      <c r="D4" s="1063"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064"/>
      <c r="F4" s="1064"/>
      <c r="G4" s="1064"/>
      <c r="H4" s="1064"/>
      <c r="I4" s="1065"/>
      <c r="AM4" s="593">
        <v>34</v>
      </c>
    </row>
    <row r="5" spans="1:39" ht="14.65" customHeight="1">
      <c r="D5" s="1066" t="str">
        <f>IF(org=0,"Не определено",org)</f>
        <v>АО "НИЖЕГОРОДСКИЙ ВОДОКАНАЛ"</v>
      </c>
      <c r="E5" s="1067"/>
      <c r="F5" s="1067"/>
      <c r="G5" s="1067"/>
      <c r="H5" s="1067"/>
      <c r="I5" s="1068"/>
      <c r="AM5" s="595">
        <v>14</v>
      </c>
    </row>
    <row r="6" spans="1:39" ht="6.4" customHeight="1">
      <c r="A6" s="1038"/>
      <c r="B6" s="1038"/>
      <c r="C6" s="1038"/>
      <c r="D6" s="1038"/>
      <c r="E6" s="1038"/>
      <c r="F6" s="1038"/>
      <c r="AM6" s="595">
        <v>6</v>
      </c>
    </row>
    <row r="7" spans="1:39" ht="45.75" hidden="1" customHeight="1">
      <c r="E7" s="107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038"/>
      <c r="G7" s="1038"/>
      <c r="H7" s="1038"/>
      <c r="I7" s="1038"/>
      <c r="J7" s="1038"/>
      <c r="K7" s="1038"/>
      <c r="L7" s="1038"/>
      <c r="M7" s="1038"/>
      <c r="AM7" s="593">
        <v>0</v>
      </c>
    </row>
    <row r="8" spans="1:39" ht="6.4" customHeight="1">
      <c r="AM8" s="595">
        <v>6</v>
      </c>
    </row>
    <row r="9" spans="1:39" ht="18.75" customHeight="1">
      <c r="A9" s="1069"/>
      <c r="D9" s="1070" t="s">
        <v>110</v>
      </c>
      <c r="E9" s="1070"/>
      <c r="F9" s="1071" t="s">
        <v>111</v>
      </c>
      <c r="G9" s="1072"/>
      <c r="H9" s="1072"/>
      <c r="I9" s="1072"/>
      <c r="J9" s="1074" t="s">
        <v>112</v>
      </c>
      <c r="K9" s="1074"/>
      <c r="L9" s="1074"/>
      <c r="M9" s="1074"/>
      <c r="AM9" s="593">
        <v>18</v>
      </c>
    </row>
    <row r="10" spans="1:39" ht="24" customHeight="1">
      <c r="A10" s="1069"/>
      <c r="D10" s="584" t="s">
        <v>87</v>
      </c>
      <c r="E10" s="584" t="s">
        <v>88</v>
      </c>
      <c r="F10" s="584" t="s">
        <v>113</v>
      </c>
      <c r="G10" s="1075" t="s">
        <v>87</v>
      </c>
      <c r="H10" s="1076"/>
      <c r="I10" s="584" t="s">
        <v>88</v>
      </c>
      <c r="J10" s="584" t="s">
        <v>113</v>
      </c>
      <c r="K10" s="1075" t="s">
        <v>87</v>
      </c>
      <c r="L10" s="1076"/>
      <c r="M10" s="584" t="s">
        <v>88</v>
      </c>
      <c r="N10" s="596"/>
      <c r="AM10" s="593">
        <v>23</v>
      </c>
    </row>
    <row r="11" spans="1:39" ht="11.25" hidden="1" customHeight="1">
      <c r="D11" s="51" t="s">
        <v>114</v>
      </c>
      <c r="E11" s="51" t="s">
        <v>102</v>
      </c>
      <c r="F11" s="51" t="s">
        <v>89</v>
      </c>
      <c r="G11" s="1059" t="s">
        <v>90</v>
      </c>
      <c r="H11" s="1060"/>
      <c r="I11" s="51" t="s">
        <v>115</v>
      </c>
      <c r="J11" s="51" t="s">
        <v>91</v>
      </c>
      <c r="K11" s="1061" t="s">
        <v>92</v>
      </c>
      <c r="L11" s="1062"/>
      <c r="M11" s="51" t="s">
        <v>116</v>
      </c>
      <c r="N11" s="596"/>
      <c r="AM11" s="593">
        <v>0</v>
      </c>
    </row>
    <row r="12" spans="1:39" ht="1.1499999999999999" customHeight="1">
      <c r="D12" s="597"/>
      <c r="E12" s="52"/>
      <c r="F12" s="52"/>
      <c r="G12" s="53"/>
      <c r="H12" s="53"/>
      <c r="I12" s="52"/>
      <c r="J12" s="52"/>
      <c r="K12" s="54"/>
      <c r="L12" s="52"/>
      <c r="M12" s="598"/>
      <c r="N12" s="596"/>
      <c r="O12" s="583" t="s">
        <v>117</v>
      </c>
      <c r="P12" s="583" t="s">
        <v>118</v>
      </c>
      <c r="Q12" s="583" t="s">
        <v>119</v>
      </c>
      <c r="R12" s="583" t="s">
        <v>120</v>
      </c>
      <c r="AM12" s="593">
        <v>1</v>
      </c>
    </row>
    <row r="13" spans="1:39" ht="15.75" customHeight="1">
      <c r="D13" s="1080" t="s">
        <v>114</v>
      </c>
      <c r="E13" s="1082" t="str">
        <f>INDEX(VD_NAME_LIST,MATCH("4189714",VD_ID_LIST,0))</f>
        <v>Водоотведение</v>
      </c>
      <c r="F13" s="1085" t="s">
        <v>61</v>
      </c>
      <c r="G13" s="1086"/>
      <c r="H13" s="1087">
        <v>1</v>
      </c>
      <c r="I13" s="1077" t="str">
        <f>IF(U13="","",INDEX(TERRITORY_MR_LIST,MATCH(U13,TERRITORY_LIST_ID,0)))</f>
        <v>Территория 1</v>
      </c>
      <c r="J13" s="1079" t="s">
        <v>61</v>
      </c>
      <c r="K13" s="57"/>
      <c r="L13" s="55" t="s">
        <v>114</v>
      </c>
      <c r="M13" s="1000" t="s">
        <v>121</v>
      </c>
      <c r="N13" s="596"/>
      <c r="O13" s="583" t="s">
        <v>122</v>
      </c>
      <c r="P13" s="583" t="str">
        <f>$E$13</f>
        <v>Водоотведение</v>
      </c>
      <c r="Q13" s="583" t="str">
        <f>IF($F$13="нет","без дифференциации",$I$13)</f>
        <v>Территория 1</v>
      </c>
      <c r="R13" s="583" t="str">
        <f>IF($J$13="нет","без дифференциации",M13)</f>
        <v>Централизованная система водоотведения города Нижнего Новгорода</v>
      </c>
      <c r="U13" t="s">
        <v>97</v>
      </c>
      <c r="V13" t="s">
        <v>123</v>
      </c>
      <c r="Y13" s="599" t="s">
        <v>124</v>
      </c>
      <c r="Z13" s="599">
        <v>1705000</v>
      </c>
      <c r="AM13" s="593">
        <v>15</v>
      </c>
    </row>
    <row r="14" spans="1:39" ht="15.75" customHeight="1">
      <c r="D14" s="1080"/>
      <c r="E14" s="1083"/>
      <c r="F14" s="1079"/>
      <c r="G14" s="1086"/>
      <c r="H14" s="1087"/>
      <c r="I14" s="1078"/>
      <c r="J14" s="1079"/>
      <c r="K14" s="42"/>
      <c r="L14" s="43"/>
      <c r="M14" s="59" t="s">
        <v>125</v>
      </c>
      <c r="N14" s="596"/>
      <c r="AM14" s="593">
        <v>15</v>
      </c>
    </row>
    <row r="15" spans="1:39" ht="15" customHeight="1">
      <c r="A15"/>
      <c r="B15"/>
      <c r="C15"/>
      <c r="D15" s="1081"/>
      <c r="E15" s="1081"/>
      <c r="F15" s="1081"/>
      <c r="G15" s="1088" t="s">
        <v>103</v>
      </c>
      <c r="H15" s="1050" t="s">
        <v>102</v>
      </c>
      <c r="I15" s="1089" t="str">
        <f>IF(U15="","",INDEX(TERRITORY_MR_LIST,MATCH(U15,TERRITORY_LIST_ID,0)))</f>
        <v>Территория 2</v>
      </c>
      <c r="J15" s="1079" t="s">
        <v>61</v>
      </c>
      <c r="K15" s="752"/>
      <c r="L15" s="55" t="s">
        <v>114</v>
      </c>
      <c r="M15" s="1000" t="s">
        <v>126</v>
      </c>
      <c r="N15"/>
      <c r="O15" t="s">
        <v>127</v>
      </c>
      <c r="P15" t="str">
        <f>$E$13</f>
        <v>Водоотведение</v>
      </c>
      <c r="Q15" t="str">
        <f>IF($F$15="нет","без дифференциации",$I$15)</f>
        <v>Территория 2</v>
      </c>
      <c r="R15" t="str">
        <f>IF($J$15="нет","без дифференциации",$M$15)</f>
        <v>Централизованная система водоотведения Кстовского муниципального района</v>
      </c>
      <c r="S15"/>
      <c r="T15"/>
      <c r="U15" t="s">
        <v>104</v>
      </c>
      <c r="V15"/>
      <c r="W15"/>
      <c r="X15"/>
      <c r="Y15" s="599" t="s">
        <v>124</v>
      </c>
      <c r="Z15" s="599">
        <v>1705000</v>
      </c>
      <c r="AA15"/>
      <c r="AB15"/>
      <c r="AC15"/>
      <c r="AD15"/>
      <c r="AE15"/>
      <c r="AF15"/>
      <c r="AG15"/>
      <c r="AH15"/>
      <c r="AI15"/>
      <c r="AJ15"/>
      <c r="AK15"/>
      <c r="AL15"/>
      <c r="AM15"/>
    </row>
    <row r="16" spans="1:39" ht="15" customHeight="1">
      <c r="A16"/>
      <c r="B16"/>
      <c r="C16"/>
      <c r="D16" s="1081"/>
      <c r="E16" s="1081"/>
      <c r="F16" s="1081"/>
      <c r="G16" s="1088"/>
      <c r="H16" s="1050"/>
      <c r="I16" s="1089"/>
      <c r="J16" s="1079"/>
      <c r="K16" s="42"/>
      <c r="L16" s="43"/>
      <c r="M16" s="59" t="s">
        <v>125</v>
      </c>
      <c r="N16"/>
      <c r="O16"/>
      <c r="P16"/>
      <c r="Q16"/>
      <c r="R16"/>
      <c r="S16"/>
      <c r="T16"/>
      <c r="U16"/>
      <c r="V16"/>
      <c r="W16"/>
      <c r="X16"/>
      <c r="Y16"/>
      <c r="Z16"/>
      <c r="AA16"/>
      <c r="AB16"/>
      <c r="AC16"/>
      <c r="AD16"/>
      <c r="AE16"/>
      <c r="AF16"/>
      <c r="AG16"/>
      <c r="AH16"/>
      <c r="AI16"/>
      <c r="AJ16"/>
      <c r="AK16"/>
      <c r="AL16"/>
      <c r="AM16"/>
    </row>
    <row r="17" spans="1:39" ht="15.75" customHeight="1">
      <c r="D17" s="1080"/>
      <c r="E17" s="1084"/>
      <c r="F17" s="1079"/>
      <c r="G17" s="60"/>
      <c r="H17" s="61"/>
      <c r="I17" s="44" t="s">
        <v>128</v>
      </c>
      <c r="J17" s="43"/>
      <c r="K17" s="43"/>
      <c r="L17" s="43"/>
      <c r="M17" s="62"/>
      <c r="N17" s="596"/>
      <c r="AM17" s="593">
        <v>15</v>
      </c>
    </row>
    <row r="18" spans="1:39" ht="15" customHeight="1">
      <c r="A18"/>
      <c r="B18"/>
      <c r="C18" s="1094" t="s">
        <v>103</v>
      </c>
      <c r="D18" s="1080" t="s">
        <v>102</v>
      </c>
      <c r="E18" s="1082" t="str">
        <f>INDEX(VD_NAME_LIST,MATCH("4189712",VD_ID_LIST,0))</f>
        <v>Подключение (технологическое присоединение) к централизованной системе водоотведения</v>
      </c>
      <c r="F18" s="1079" t="s">
        <v>19</v>
      </c>
      <c r="G18" s="1090"/>
      <c r="H18" s="1070">
        <v>1</v>
      </c>
      <c r="I18" s="1092" t="str">
        <f>IF(U18="","",INDEX(TERRITORY_MR_LIST,MATCH(U18,TERRITORY_LIST_ID,0)))</f>
        <v/>
      </c>
      <c r="J18" s="1079" t="s">
        <v>19</v>
      </c>
      <c r="K18" s="752"/>
      <c r="L18" s="55" t="s">
        <v>114</v>
      </c>
      <c r="M18" s="58"/>
      <c r="N18"/>
      <c r="O18" t="s">
        <v>129</v>
      </c>
      <c r="P18" t="str">
        <f>$E$18</f>
        <v>Подключение (технологическое присоединение) к централизованной системе водоотведения</v>
      </c>
      <c r="Q18" t="str">
        <f>IF($F$18="нет","без дифференциации",$I$18)</f>
        <v>без дифференциации</v>
      </c>
      <c r="R18" t="str">
        <f>IF($J$18="нет","без дифференциации",$M$18)</f>
        <v>без дифференциации</v>
      </c>
      <c r="S18"/>
      <c r="T18"/>
      <c r="U18"/>
      <c r="V18" t="s">
        <v>130</v>
      </c>
      <c r="W18"/>
      <c r="X18"/>
      <c r="Y18" s="599" t="s">
        <v>124</v>
      </c>
      <c r="Z18" s="599">
        <v>1705000</v>
      </c>
      <c r="AA18"/>
      <c r="AB18"/>
      <c r="AC18"/>
      <c r="AD18"/>
      <c r="AE18"/>
      <c r="AF18"/>
      <c r="AG18"/>
      <c r="AH18"/>
      <c r="AI18"/>
      <c r="AJ18"/>
      <c r="AK18"/>
      <c r="AL18"/>
      <c r="AM18"/>
    </row>
    <row r="19" spans="1:39" ht="15" customHeight="1">
      <c r="A19"/>
      <c r="B19"/>
      <c r="C19" s="1038"/>
      <c r="D19" s="1080"/>
      <c r="E19" s="1083"/>
      <c r="F19" s="1079"/>
      <c r="G19" s="1091"/>
      <c r="H19" s="1070"/>
      <c r="I19" s="1093"/>
      <c r="J19" s="1079"/>
      <c r="K19" s="42"/>
      <c r="L19" s="43"/>
      <c r="M19" s="59" t="s">
        <v>125</v>
      </c>
      <c r="N19"/>
      <c r="O19"/>
      <c r="P19"/>
      <c r="Q19"/>
      <c r="R19"/>
      <c r="S19"/>
      <c r="T19"/>
      <c r="U19"/>
      <c r="V19"/>
      <c r="W19"/>
      <c r="X19"/>
      <c r="Y19"/>
      <c r="Z19"/>
      <c r="AA19"/>
      <c r="AB19"/>
      <c r="AC19"/>
      <c r="AD19"/>
      <c r="AE19"/>
      <c r="AF19"/>
      <c r="AG19"/>
      <c r="AH19"/>
      <c r="AI19"/>
      <c r="AJ19"/>
      <c r="AK19"/>
      <c r="AL19"/>
      <c r="AM19"/>
    </row>
    <row r="20" spans="1:39" ht="15" customHeight="1">
      <c r="A20"/>
      <c r="B20"/>
      <c r="C20" s="1038"/>
      <c r="D20" s="1080"/>
      <c r="E20" s="1084"/>
      <c r="F20" s="1079"/>
      <c r="G20" s="42"/>
      <c r="H20" s="43"/>
      <c r="I20" s="44" t="s">
        <v>128</v>
      </c>
      <c r="J20" s="43"/>
      <c r="K20" s="43"/>
      <c r="L20" s="43"/>
      <c r="M20" s="62"/>
      <c r="N20"/>
      <c r="O20"/>
      <c r="P20"/>
      <c r="Q20"/>
      <c r="R20"/>
      <c r="S20"/>
      <c r="T20"/>
      <c r="U20"/>
      <c r="V20"/>
      <c r="W20"/>
      <c r="X20"/>
      <c r="Y20"/>
      <c r="Z20"/>
      <c r="AA20"/>
      <c r="AB20"/>
      <c r="AC20"/>
      <c r="AD20"/>
      <c r="AE20"/>
      <c r="AF20"/>
      <c r="AG20"/>
      <c r="AH20"/>
      <c r="AI20"/>
      <c r="AJ20"/>
      <c r="AK20"/>
      <c r="AL20"/>
      <c r="AM20"/>
    </row>
    <row r="21" spans="1:39" ht="15.75" customHeight="1">
      <c r="A21" s="600"/>
      <c r="D21" s="42"/>
      <c r="E21" s="63" t="s">
        <v>131</v>
      </c>
      <c r="F21" s="43"/>
      <c r="G21" s="43"/>
      <c r="H21" s="43"/>
      <c r="I21" s="43"/>
      <c r="J21" s="43"/>
      <c r="K21" s="43" t="s">
        <v>22</v>
      </c>
      <c r="L21" s="43"/>
      <c r="M21" s="62"/>
      <c r="N21" s="596"/>
      <c r="AM21" s="593">
        <v>15</v>
      </c>
    </row>
    <row r="22" spans="1:39" ht="11.25" hidden="1" customHeight="1">
      <c r="A22" s="593" t="s">
        <v>81</v>
      </c>
      <c r="B22" s="593">
        <v>0</v>
      </c>
      <c r="C22" s="593">
        <v>3</v>
      </c>
      <c r="D22" s="593"/>
      <c r="E22" s="593">
        <v>44</v>
      </c>
      <c r="F22" s="593">
        <v>6</v>
      </c>
      <c r="G22" s="593">
        <v>4</v>
      </c>
      <c r="H22" s="593">
        <v>5</v>
      </c>
      <c r="I22" s="593">
        <v>52</v>
      </c>
      <c r="J22" s="593">
        <v>6</v>
      </c>
      <c r="K22" s="593">
        <v>3</v>
      </c>
      <c r="L22" s="593">
        <v>6</v>
      </c>
      <c r="M22" s="593">
        <v>56</v>
      </c>
      <c r="N22" s="599">
        <v>8</v>
      </c>
      <c r="O22" s="583">
        <v>0</v>
      </c>
      <c r="P22" s="583">
        <v>0</v>
      </c>
      <c r="Q22" s="583">
        <v>0</v>
      </c>
      <c r="R22" s="583">
        <v>0</v>
      </c>
      <c r="S22" s="583">
        <v>0</v>
      </c>
      <c r="T22" s="583">
        <v>0</v>
      </c>
      <c r="U22" s="601">
        <v>0</v>
      </c>
      <c r="V22" s="601">
        <v>0</v>
      </c>
      <c r="W22" s="601">
        <v>0</v>
      </c>
      <c r="X22" s="601">
        <v>0</v>
      </c>
      <c r="Y22" s="599">
        <v>0</v>
      </c>
      <c r="Z22" s="599">
        <v>0</v>
      </c>
      <c r="AA22" s="599">
        <v>0</v>
      </c>
      <c r="AB22" s="599">
        <v>0</v>
      </c>
      <c r="AC22" s="599">
        <v>0</v>
      </c>
      <c r="AD22" s="599">
        <v>0</v>
      </c>
      <c r="AE22" s="599">
        <v>0</v>
      </c>
      <c r="AF22" s="599">
        <v>0</v>
      </c>
      <c r="AG22" s="599">
        <v>0</v>
      </c>
      <c r="AH22" s="599">
        <v>0</v>
      </c>
      <c r="AI22" s="599">
        <v>0</v>
      </c>
      <c r="AJ22" s="599">
        <v>0</v>
      </c>
      <c r="AK22" s="599">
        <v>0</v>
      </c>
      <c r="AL22" s="599">
        <v>8</v>
      </c>
      <c r="AM22" s="593">
        <v>11</v>
      </c>
    </row>
  </sheetData>
  <sheetProtection formatColumns="0" formatRows="0" insertRows="0" deleteColumns="0" deleteRows="0" sort="0" autoFilter="0"/>
  <mergeCells count="31">
    <mergeCell ref="I18:I19"/>
    <mergeCell ref="J18:J19"/>
    <mergeCell ref="C18:C20"/>
    <mergeCell ref="D18:D20"/>
    <mergeCell ref="E18:E20"/>
    <mergeCell ref="F18:F20"/>
    <mergeCell ref="G18:G19"/>
    <mergeCell ref="H18:H19"/>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8">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2" width="9.140625" style="1030" hidden="1" customWidth="1"/>
    <col min="3" max="3" width="4" style="1030" customWidth="1"/>
    <col min="4" max="4" width="6" style="1030" customWidth="1"/>
    <col min="5" max="5" width="36" style="1030" customWidth="1"/>
    <col min="6" max="6" width="9" style="1030" customWidth="1"/>
    <col min="7" max="7" width="25.7109375" style="1030" hidden="1" customWidth="1"/>
    <col min="8" max="8" width="33.7109375" style="1030" hidden="1" customWidth="1"/>
    <col min="9" max="9" width="25.7109375" style="1030" customWidth="1"/>
    <col min="10" max="10" width="33" style="1030" customWidth="1"/>
    <col min="11" max="11" width="25.7109375" style="1030" customWidth="1"/>
    <col min="12" max="12" width="33.7109375" style="1030" customWidth="1"/>
    <col min="13" max="13" width="25.7109375" style="1030" customWidth="1"/>
    <col min="14" max="14" width="33.7109375" style="1030" customWidth="1"/>
    <col min="15" max="15" width="93" style="1030" customWidth="1"/>
    <col min="16" max="25" width="10" style="1030" customWidth="1"/>
    <col min="26" max="26" width="10.5703125" style="1030" hidden="1"/>
  </cols>
  <sheetData>
    <row r="1" spans="2:26" ht="22.5" hidden="1" customHeight="1">
      <c r="G1" s="556">
        <v>4</v>
      </c>
      <c r="I1" s="556">
        <v>4</v>
      </c>
      <c r="K1" s="9">
        <v>4</v>
      </c>
      <c r="L1"/>
      <c r="M1" s="9">
        <v>4</v>
      </c>
      <c r="N1"/>
      <c r="Z1" s="556" t="s">
        <v>14</v>
      </c>
    </row>
    <row r="2" spans="2:26" ht="15" hidden="1" customHeight="1">
      <c r="K2"/>
      <c r="L2"/>
      <c r="M2"/>
      <c r="N2"/>
      <c r="Z2" s="556">
        <v>0</v>
      </c>
    </row>
    <row r="3" spans="2:26" ht="22.5" hidden="1" customHeight="1">
      <c r="B3" s="1038"/>
      <c r="C3" s="1094" t="s">
        <v>103</v>
      </c>
      <c r="D3" s="905" t="str">
        <f>B3&amp;".1"</f>
        <v>.1</v>
      </c>
      <c r="E3" s="102" t="s">
        <v>956</v>
      </c>
      <c r="F3" s="543" t="s">
        <v>314</v>
      </c>
      <c r="G3" s="390"/>
      <c r="H3" s="308"/>
      <c r="I3" s="390"/>
      <c r="J3" s="308"/>
      <c r="K3" s="390"/>
      <c r="L3" s="308"/>
      <c r="M3" s="390"/>
      <c r="N3" s="308"/>
      <c r="O3" s="796" t="s">
        <v>957</v>
      </c>
      <c r="Z3" s="539">
        <v>0</v>
      </c>
    </row>
    <row r="4" spans="2:26" ht="15" hidden="1" customHeight="1">
      <c r="B4" s="1038"/>
      <c r="C4" s="1094"/>
      <c r="D4" s="905" t="str">
        <f>B3&amp;".2"</f>
        <v>.2</v>
      </c>
      <c r="E4" s="102" t="s">
        <v>958</v>
      </c>
      <c r="F4" s="543" t="s">
        <v>314</v>
      </c>
      <c r="G4" s="392" t="s">
        <v>22</v>
      </c>
      <c r="H4" s="308"/>
      <c r="I4" s="392" t="s">
        <v>22</v>
      </c>
      <c r="J4" s="308"/>
      <c r="K4" s="392" t="s">
        <v>22</v>
      </c>
      <c r="L4" s="308"/>
      <c r="M4" s="392" t="s">
        <v>22</v>
      </c>
      <c r="N4" s="308"/>
      <c r="O4" s="796" t="s">
        <v>959</v>
      </c>
      <c r="Z4" s="539">
        <v>0</v>
      </c>
    </row>
    <row r="5" spans="2:26" ht="15" hidden="1" customHeight="1">
      <c r="K5"/>
      <c r="L5"/>
      <c r="M5"/>
      <c r="N5"/>
      <c r="Z5" s="556">
        <v>0</v>
      </c>
    </row>
    <row r="6" spans="2:26" ht="22.5" hidden="1" customHeight="1">
      <c r="B6" s="1038"/>
      <c r="C6" s="1094" t="s">
        <v>103</v>
      </c>
      <c r="D6" s="905" t="str">
        <f>B6&amp;".1"</f>
        <v>.1</v>
      </c>
      <c r="E6" s="102" t="s">
        <v>960</v>
      </c>
      <c r="F6" s="543" t="s">
        <v>314</v>
      </c>
      <c r="G6" s="390"/>
      <c r="H6" s="308"/>
      <c r="I6" s="390"/>
      <c r="J6" s="308"/>
      <c r="K6" s="390"/>
      <c r="L6" s="308"/>
      <c r="M6" s="390"/>
      <c r="N6" s="308"/>
      <c r="O6" s="796" t="s">
        <v>961</v>
      </c>
      <c r="Z6" s="539">
        <v>0</v>
      </c>
    </row>
    <row r="7" spans="2:26" ht="15" hidden="1" customHeight="1">
      <c r="B7" s="1038"/>
      <c r="C7" s="1094"/>
      <c r="D7" s="905" t="str">
        <f>B6&amp;".2"</f>
        <v>.2</v>
      </c>
      <c r="E7" s="102" t="s">
        <v>958</v>
      </c>
      <c r="F7" s="543" t="s">
        <v>314</v>
      </c>
      <c r="G7" s="392" t="s">
        <v>22</v>
      </c>
      <c r="H7" s="308"/>
      <c r="I7" s="392" t="s">
        <v>22</v>
      </c>
      <c r="J7" s="308"/>
      <c r="K7" s="392" t="s">
        <v>22</v>
      </c>
      <c r="L7" s="308"/>
      <c r="M7" s="392" t="s">
        <v>22</v>
      </c>
      <c r="N7" s="308"/>
      <c r="O7" s="796" t="s">
        <v>959</v>
      </c>
      <c r="Z7" s="539">
        <v>0</v>
      </c>
    </row>
    <row r="8" spans="2:26" ht="15" hidden="1" customHeight="1">
      <c r="K8"/>
      <c r="L8"/>
      <c r="M8"/>
      <c r="N8"/>
      <c r="Z8" s="556">
        <v>0</v>
      </c>
    </row>
    <row r="9" spans="2:26" ht="22.5" hidden="1" customHeight="1">
      <c r="B9" s="1038"/>
      <c r="C9" s="1094" t="s">
        <v>103</v>
      </c>
      <c r="D9" s="905" t="str">
        <f>B9&amp;".1"</f>
        <v>.1</v>
      </c>
      <c r="E9" s="102" t="s">
        <v>962</v>
      </c>
      <c r="F9" s="543" t="s">
        <v>314</v>
      </c>
      <c r="G9" s="104" t="s">
        <v>22</v>
      </c>
      <c r="H9" s="308" t="s">
        <v>22</v>
      </c>
      <c r="I9" s="104" t="s">
        <v>22</v>
      </c>
      <c r="J9" s="308" t="s">
        <v>22</v>
      </c>
      <c r="K9" s="104" t="s">
        <v>22</v>
      </c>
      <c r="L9" s="308" t="s">
        <v>22</v>
      </c>
      <c r="M9" s="104" t="s">
        <v>22</v>
      </c>
      <c r="N9" s="308" t="s">
        <v>22</v>
      </c>
      <c r="O9" s="796"/>
      <c r="Z9" s="539">
        <v>0</v>
      </c>
    </row>
    <row r="10" spans="2:26" ht="15" hidden="1" customHeight="1">
      <c r="B10" s="1038"/>
      <c r="C10" s="1094"/>
      <c r="D10" s="905" t="str">
        <f>B9&amp;".2"</f>
        <v>.2</v>
      </c>
      <c r="E10" s="102" t="s">
        <v>963</v>
      </c>
      <c r="F10" s="543" t="s">
        <v>314</v>
      </c>
      <c r="G10" s="8" t="s">
        <v>22</v>
      </c>
      <c r="H10" s="308" t="s">
        <v>22</v>
      </c>
      <c r="I10" s="8" t="s">
        <v>22</v>
      </c>
      <c r="J10" s="308" t="s">
        <v>22</v>
      </c>
      <c r="K10" s="8" t="s">
        <v>22</v>
      </c>
      <c r="L10" s="308" t="s">
        <v>22</v>
      </c>
      <c r="M10" s="8" t="s">
        <v>22</v>
      </c>
      <c r="N10" s="308" t="s">
        <v>22</v>
      </c>
      <c r="O10" s="796" t="s">
        <v>964</v>
      </c>
      <c r="Z10" s="539">
        <v>0</v>
      </c>
    </row>
    <row r="11" spans="2:26" ht="15" hidden="1" customHeight="1">
      <c r="B11" s="1038"/>
      <c r="C11" s="1094"/>
      <c r="D11" s="905" t="str">
        <f>B9&amp;".3"</f>
        <v>.3</v>
      </c>
      <c r="E11" s="102" t="s">
        <v>965</v>
      </c>
      <c r="F11" s="543" t="s">
        <v>314</v>
      </c>
      <c r="G11" s="8" t="s">
        <v>22</v>
      </c>
      <c r="H11" s="308" t="s">
        <v>22</v>
      </c>
      <c r="I11" s="8" t="s">
        <v>22</v>
      </c>
      <c r="J11" s="308" t="s">
        <v>22</v>
      </c>
      <c r="K11" s="8" t="s">
        <v>22</v>
      </c>
      <c r="L11" s="308" t="s">
        <v>22</v>
      </c>
      <c r="M11" s="8" t="s">
        <v>22</v>
      </c>
      <c r="N11" s="308" t="s">
        <v>22</v>
      </c>
      <c r="O11" s="796" t="s">
        <v>966</v>
      </c>
      <c r="Z11" s="539">
        <v>0</v>
      </c>
    </row>
    <row r="12" spans="2:26" ht="15" hidden="1" customHeight="1">
      <c r="K12"/>
      <c r="L12"/>
      <c r="M12"/>
      <c r="N12"/>
      <c r="Z12" s="556">
        <v>0</v>
      </c>
    </row>
    <row r="13" spans="2:26" ht="33.75" hidden="1" customHeight="1">
      <c r="B13" s="1038"/>
      <c r="C13" s="1094" t="s">
        <v>103</v>
      </c>
      <c r="D13" s="905" t="str">
        <f>B13&amp;".1"</f>
        <v>.1</v>
      </c>
      <c r="E13" s="102" t="s">
        <v>967</v>
      </c>
      <c r="F13" s="543" t="s">
        <v>314</v>
      </c>
      <c r="G13" s="104" t="s">
        <v>22</v>
      </c>
      <c r="H13" s="308" t="s">
        <v>22</v>
      </c>
      <c r="I13" s="104" t="s">
        <v>22</v>
      </c>
      <c r="J13" s="308" t="s">
        <v>22</v>
      </c>
      <c r="K13" s="104" t="s">
        <v>22</v>
      </c>
      <c r="L13" s="308" t="s">
        <v>22</v>
      </c>
      <c r="M13" s="104" t="s">
        <v>22</v>
      </c>
      <c r="N13" s="308" t="s">
        <v>22</v>
      </c>
      <c r="O13" s="796" t="s">
        <v>968</v>
      </c>
      <c r="Z13" s="539">
        <v>0</v>
      </c>
    </row>
    <row r="14" spans="2:26" ht="15" hidden="1" customHeight="1">
      <c r="B14" s="1038"/>
      <c r="C14" s="1094"/>
      <c r="D14" s="905" t="str">
        <f>B13&amp;".2"</f>
        <v>.2</v>
      </c>
      <c r="E14" s="102" t="s">
        <v>969</v>
      </c>
      <c r="F14" s="543" t="s">
        <v>314</v>
      </c>
      <c r="G14" s="8" t="s">
        <v>22</v>
      </c>
      <c r="H14" s="308" t="s">
        <v>22</v>
      </c>
      <c r="I14" s="8" t="s">
        <v>22</v>
      </c>
      <c r="J14" s="308" t="s">
        <v>22</v>
      </c>
      <c r="K14" s="8" t="s">
        <v>22</v>
      </c>
      <c r="L14" s="308" t="s">
        <v>22</v>
      </c>
      <c r="M14" s="8" t="s">
        <v>22</v>
      </c>
      <c r="N14" s="308" t="s">
        <v>22</v>
      </c>
      <c r="O14" s="796" t="s">
        <v>970</v>
      </c>
      <c r="Z14" s="539">
        <v>0</v>
      </c>
    </row>
    <row r="15" spans="2:26" ht="15" hidden="1" customHeight="1">
      <c r="K15"/>
      <c r="L15"/>
      <c r="M15"/>
      <c r="N15"/>
      <c r="Z15" s="556">
        <v>0</v>
      </c>
    </row>
    <row r="16" spans="2:26" ht="15" hidden="1" customHeight="1">
      <c r="K16"/>
      <c r="L16"/>
      <c r="M16"/>
      <c r="N16"/>
      <c r="Z16" s="556">
        <v>0</v>
      </c>
    </row>
    <row r="17" spans="2:26" ht="15" hidden="1" customHeight="1">
      <c r="K17"/>
      <c r="L17"/>
      <c r="M17"/>
      <c r="N17"/>
      <c r="Z17" s="556">
        <v>0</v>
      </c>
    </row>
    <row r="18" spans="2:26" ht="15" hidden="1" customHeight="1">
      <c r="K18"/>
      <c r="L18"/>
      <c r="M18"/>
      <c r="N18"/>
      <c r="Z18" s="556">
        <v>0</v>
      </c>
    </row>
    <row r="19" spans="2:26" ht="15" hidden="1" customHeight="1">
      <c r="K19"/>
      <c r="L19"/>
      <c r="M19"/>
      <c r="N19"/>
      <c r="Z19" s="556">
        <v>0</v>
      </c>
    </row>
    <row r="20" spans="2:26" ht="15" hidden="1" customHeight="1">
      <c r="K20"/>
      <c r="L20"/>
      <c r="M20"/>
      <c r="N20"/>
      <c r="Z20" s="556">
        <v>0</v>
      </c>
    </row>
    <row r="21" spans="2:26" ht="15.75" customHeight="1">
      <c r="K21"/>
      <c r="L21"/>
      <c r="M21"/>
      <c r="N21"/>
      <c r="Z21" s="539">
        <v>15</v>
      </c>
    </row>
    <row r="22" spans="2:26" ht="23.25" customHeight="1">
      <c r="D22" s="11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174"/>
      <c r="F22" s="1174"/>
      <c r="G22" s="1174"/>
      <c r="H22" s="1174"/>
      <c r="I22" s="1174"/>
      <c r="K22" s="125"/>
      <c r="L22" s="125"/>
      <c r="M22" s="125"/>
      <c r="N22" s="125"/>
      <c r="Z22" s="539">
        <v>22</v>
      </c>
    </row>
    <row r="23" spans="2:26" ht="15.75" customHeight="1">
      <c r="D23" s="1148" t="str">
        <f>IF(org=0,"Не определено",org)</f>
        <v>АО "НИЖЕГОРОДСКИЙ ВОДОКАНАЛ"</v>
      </c>
      <c r="E23" s="1148"/>
      <c r="F23" s="1148"/>
      <c r="G23" s="1148"/>
      <c r="H23" s="1148"/>
      <c r="I23" s="1148"/>
      <c r="K23" s="77"/>
      <c r="L23" s="77"/>
      <c r="M23" s="77"/>
      <c r="N23" s="77"/>
      <c r="Z23" s="539">
        <v>15</v>
      </c>
    </row>
    <row r="24" spans="2:26" ht="15.75" customHeight="1">
      <c r="G24" s="556">
        <v>22</v>
      </c>
      <c r="H24" s="630"/>
      <c r="I24" s="556">
        <v>22</v>
      </c>
      <c r="J24" s="630"/>
      <c r="K24" s="9" t="s">
        <v>22</v>
      </c>
      <c r="L24" s="90"/>
      <c r="M24" s="9" t="s">
        <v>22</v>
      </c>
      <c r="N24" s="90"/>
      <c r="Z24" s="539">
        <v>15</v>
      </c>
    </row>
    <row r="25" spans="2:26" ht="1.1499999999999999" customHeight="1">
      <c r="H25" s="630"/>
      <c r="I25" s="556" t="s">
        <v>122</v>
      </c>
      <c r="J25" s="630"/>
      <c r="K25" t="s">
        <v>127</v>
      </c>
      <c r="L25" s="90"/>
      <c r="M25" t="s">
        <v>129</v>
      </c>
      <c r="N25" s="90"/>
      <c r="Z25" s="539">
        <v>1</v>
      </c>
    </row>
    <row r="26" spans="2:26" ht="15.75" customHeight="1">
      <c r="D26" s="898"/>
      <c r="E26" s="1278" t="s">
        <v>110</v>
      </c>
      <c r="F26" s="1279"/>
      <c r="G26" s="1303" t="str">
        <f>IF(G25="","",INDEX(DIFFERENTIATION_UNMERGE_VD,MATCH(G25,DIFFERENTIATION_ID_DIFF,0)))</f>
        <v/>
      </c>
      <c r="H26" s="1304"/>
      <c r="I26" s="1303" t="str">
        <f>IF(I25="","",INDEX(DIFFERENTIATION_UNMERGE_VD,MATCH(I25,DIFFERENTIATION_ID_DIFF,0)))</f>
        <v>Водоотведение</v>
      </c>
      <c r="J26" s="1304"/>
      <c r="K26" s="1303" t="str">
        <f>IF(K25="","",INDEX(DIFFERENTIATION_UNMERGE_VD,MATCH(K25,DIFFERENTIATION_ID_DIFF,0)))</f>
        <v>Водоотведение</v>
      </c>
      <c r="L26" s="1304"/>
      <c r="M26" s="1303" t="str">
        <f>IF(M25="","",INDEX(DIFFERENTIATION_UNMERGE_VD,MATCH(M25,DIFFERENTIATION_ID_DIFF,0)))</f>
        <v>Подключение (технологическое присоединение) к централизованной системе водоотведения</v>
      </c>
      <c r="N26" s="1304"/>
      <c r="O26" s="1128" t="s">
        <v>309</v>
      </c>
      <c r="Z26" s="539">
        <v>15</v>
      </c>
    </row>
    <row r="27" spans="2:26" ht="15.75" customHeight="1">
      <c r="D27" s="898"/>
      <c r="E27" s="1278" t="s">
        <v>572</v>
      </c>
      <c r="F27" s="1279"/>
      <c r="G27" s="1303" t="str">
        <f>IF(G25="","",INDEX(DIFFERENTIATION_UNMERGE_AREA,MATCH(G25,DIFFERENTIATION_ID_DIFF,0)))</f>
        <v/>
      </c>
      <c r="H27" s="1304"/>
      <c r="I27" s="1303" t="str">
        <f>IF(I25="","",INDEX(DIFFERENTIATION_UNMERGE_AREA,MATCH(I25,DIFFERENTIATION_ID_DIFF,0)))</f>
        <v>Территория 1</v>
      </c>
      <c r="J27" s="1304"/>
      <c r="K27" s="1303" t="str">
        <f>IF(K25="","",INDEX(DIFFERENTIATION_UNMERGE_AREA,MATCH(K25,DIFFERENTIATION_ID_DIFF,0)))</f>
        <v>Территория 2</v>
      </c>
      <c r="L27" s="1304"/>
      <c r="M27" s="1303" t="str">
        <f>IF(M25="","",INDEX(DIFFERENTIATION_UNMERGE_AREA,MATCH(M25,DIFFERENTIATION_ID_DIFF,0)))</f>
        <v>без дифференциации</v>
      </c>
      <c r="N27" s="1304"/>
      <c r="O27" s="1132"/>
      <c r="Z27" s="539">
        <v>15</v>
      </c>
    </row>
    <row r="28" spans="2:26" ht="15.75" customHeight="1">
      <c r="D28" s="898"/>
      <c r="E28" s="1278" t="s">
        <v>573</v>
      </c>
      <c r="F28" s="1279"/>
      <c r="G28" s="1303" t="str">
        <f>IF(G25="","",INDEX(DIFFERENTIATION_UNMERGE_SYSTEM,MATCH(G25,DIFFERENTIATION_ID_DIFF,0)))</f>
        <v/>
      </c>
      <c r="H28" s="1304"/>
      <c r="I28" s="1303" t="str">
        <f>IF(I25="","",INDEX(DIFFERENTIATION_UNMERGE_SYSTEM,MATCH(I25,DIFFERENTIATION_ID_DIFF,0)))</f>
        <v>Централизованная система водоотведения города Нижнего Новгорода</v>
      </c>
      <c r="J28" s="1304"/>
      <c r="K28" s="1303" t="str">
        <f>IF(K25="","",INDEX(DIFFERENTIATION_UNMERGE_SYSTEM,MATCH(K25,DIFFERENTIATION_ID_DIFF,0)))</f>
        <v>Централизованная система водоотведения Кстовского муниципального района</v>
      </c>
      <c r="L28" s="1304"/>
      <c r="M28" s="1303" t="str">
        <f>IF(M25="","",INDEX(DIFFERENTIATION_UNMERGE_SYSTEM,MATCH(M25,DIFFERENTIATION_ID_DIFF,0)))</f>
        <v>без дифференциации</v>
      </c>
      <c r="N28" s="1304"/>
      <c r="O28" s="1132"/>
      <c r="Z28" s="539">
        <v>15</v>
      </c>
    </row>
    <row r="29" spans="2:26" ht="15.75" customHeight="1">
      <c r="D29" s="1280" t="s">
        <v>308</v>
      </c>
      <c r="E29" s="1281"/>
      <c r="F29" s="1281"/>
      <c r="G29" s="899"/>
      <c r="H29" s="899"/>
      <c r="I29" s="899"/>
      <c r="J29" s="900"/>
      <c r="K29" s="381"/>
      <c r="L29" s="381"/>
      <c r="M29" s="381"/>
      <c r="N29" s="381"/>
      <c r="O29" s="1132"/>
      <c r="Z29" s="539">
        <v>15</v>
      </c>
    </row>
    <row r="30" spans="2:26" ht="35.65" customHeight="1">
      <c r="D30" s="584" t="s">
        <v>87</v>
      </c>
      <c r="E30" s="584" t="s">
        <v>310</v>
      </c>
      <c r="F30" s="584" t="s">
        <v>574</v>
      </c>
      <c r="G30" s="544" t="s">
        <v>311</v>
      </c>
      <c r="H30" s="584" t="s">
        <v>398</v>
      </c>
      <c r="I30" s="544" t="s">
        <v>311</v>
      </c>
      <c r="J30" s="584" t="s">
        <v>398</v>
      </c>
      <c r="K30" s="5" t="s">
        <v>311</v>
      </c>
      <c r="L30" s="35" t="s">
        <v>398</v>
      </c>
      <c r="M30" s="5" t="s">
        <v>311</v>
      </c>
      <c r="N30" s="35" t="s">
        <v>398</v>
      </c>
      <c r="O30" s="1135"/>
      <c r="Z30" s="539">
        <v>34</v>
      </c>
    </row>
    <row r="31" spans="2:26" ht="15" hidden="1" customHeight="1">
      <c r="O31" s="796"/>
      <c r="Z31" s="539">
        <v>0</v>
      </c>
    </row>
    <row r="32" spans="2:26" ht="24" customHeight="1">
      <c r="B32" s="539" t="s">
        <v>971</v>
      </c>
      <c r="D32" s="393">
        <v>1</v>
      </c>
      <c r="E32" s="394" t="s">
        <v>972</v>
      </c>
      <c r="F32" s="543" t="s">
        <v>314</v>
      </c>
      <c r="G32" s="543" t="s">
        <v>314</v>
      </c>
      <c r="H32" s="543" t="s">
        <v>314</v>
      </c>
      <c r="I32" s="543" t="s">
        <v>314</v>
      </c>
      <c r="J32" s="543" t="s">
        <v>314</v>
      </c>
      <c r="K32" s="4" t="s">
        <v>314</v>
      </c>
      <c r="L32" s="4" t="s">
        <v>314</v>
      </c>
      <c r="M32" s="4" t="s">
        <v>314</v>
      </c>
      <c r="N32" s="4" t="s">
        <v>314</v>
      </c>
      <c r="O32" s="796"/>
      <c r="Z32" s="539">
        <v>23</v>
      </c>
    </row>
    <row r="33" spans="1:26" ht="11.45" customHeight="1">
      <c r="D33" s="761"/>
      <c r="E33" s="44" t="s">
        <v>601</v>
      </c>
      <c r="F33" s="762"/>
      <c r="G33" s="762"/>
      <c r="H33" s="762"/>
      <c r="I33" s="762"/>
      <c r="J33" s="762"/>
      <c r="K33" s="206"/>
      <c r="L33" s="206"/>
      <c r="M33" s="206"/>
      <c r="N33" s="206"/>
      <c r="O33" s="906"/>
      <c r="Z33" s="539">
        <v>11</v>
      </c>
    </row>
    <row r="34" spans="1:26" ht="24" customHeight="1">
      <c r="B34" s="554" t="s">
        <v>653</v>
      </c>
      <c r="D34" s="393">
        <v>2</v>
      </c>
      <c r="E34" s="394" t="s">
        <v>973</v>
      </c>
      <c r="F34" s="543" t="s">
        <v>314</v>
      </c>
      <c r="G34" s="543" t="s">
        <v>314</v>
      </c>
      <c r="H34" s="543" t="s">
        <v>314</v>
      </c>
      <c r="I34" s="543"/>
      <c r="J34" s="543"/>
      <c r="K34" s="4" t="s">
        <v>314</v>
      </c>
      <c r="L34" s="4" t="s">
        <v>314</v>
      </c>
      <c r="M34" s="4" t="s">
        <v>314</v>
      </c>
      <c r="N34" s="4" t="s">
        <v>314</v>
      </c>
      <c r="O34" s="796"/>
      <c r="Z34" s="539">
        <v>23</v>
      </c>
    </row>
    <row r="35" spans="1:26" ht="11.45" customHeight="1">
      <c r="D35" s="761"/>
      <c r="E35" s="44" t="s">
        <v>974</v>
      </c>
      <c r="F35" s="762"/>
      <c r="G35" s="907"/>
      <c r="H35" s="762"/>
      <c r="I35" s="907"/>
      <c r="J35" s="762"/>
      <c r="K35" s="396"/>
      <c r="L35" s="206"/>
      <c r="M35" s="396"/>
      <c r="N35" s="206"/>
      <c r="O35" s="906"/>
      <c r="Z35" s="539">
        <v>11</v>
      </c>
    </row>
    <row r="36" spans="1:26" ht="71.25" customHeight="1">
      <c r="B36" s="539" t="s">
        <v>975</v>
      </c>
      <c r="D36" s="393">
        <v>3</v>
      </c>
      <c r="E36" s="394" t="s">
        <v>976</v>
      </c>
      <c r="F36" s="581" t="s">
        <v>314</v>
      </c>
      <c r="G36" s="56" t="s">
        <v>977</v>
      </c>
      <c r="H36" s="543" t="s">
        <v>314</v>
      </c>
      <c r="I36" s="56" t="s">
        <v>977</v>
      </c>
      <c r="J36" s="543" t="s">
        <v>314</v>
      </c>
      <c r="K36" s="56" t="s">
        <v>977</v>
      </c>
      <c r="L36" s="4" t="s">
        <v>314</v>
      </c>
      <c r="M36" s="56" t="s">
        <v>977</v>
      </c>
      <c r="N36" s="4" t="s">
        <v>314</v>
      </c>
      <c r="O36" s="796" t="s">
        <v>978</v>
      </c>
      <c r="Z36" s="539">
        <v>68</v>
      </c>
    </row>
    <row r="37" spans="1:26" ht="11.45" customHeight="1">
      <c r="D37" s="761"/>
      <c r="E37" s="44" t="s">
        <v>979</v>
      </c>
      <c r="F37" s="762"/>
      <c r="G37" s="907"/>
      <c r="H37" s="907"/>
      <c r="I37" s="907"/>
      <c r="J37" s="907"/>
      <c r="K37" s="396"/>
      <c r="L37" s="396"/>
      <c r="M37" s="396"/>
      <c r="N37" s="396"/>
      <c r="O37" s="906"/>
      <c r="Z37" s="539">
        <v>11</v>
      </c>
    </row>
    <row r="38" spans="1:26" ht="71.25" customHeight="1">
      <c r="B38" s="539" t="s">
        <v>980</v>
      </c>
      <c r="D38" s="393">
        <v>4</v>
      </c>
      <c r="E38" s="394" t="s">
        <v>981</v>
      </c>
      <c r="F38" s="581" t="s">
        <v>314</v>
      </c>
      <c r="G38" s="56" t="s">
        <v>977</v>
      </c>
      <c r="H38" s="584" t="s">
        <v>314</v>
      </c>
      <c r="I38" s="56" t="s">
        <v>977</v>
      </c>
      <c r="J38" s="584" t="s">
        <v>314</v>
      </c>
      <c r="K38" s="56" t="s">
        <v>977</v>
      </c>
      <c r="L38" s="35" t="s">
        <v>314</v>
      </c>
      <c r="M38" s="56" t="s">
        <v>977</v>
      </c>
      <c r="N38" s="35" t="s">
        <v>314</v>
      </c>
      <c r="O38" s="902" t="s">
        <v>982</v>
      </c>
      <c r="Z38" s="539">
        <v>68</v>
      </c>
    </row>
    <row r="39" spans="1:26" ht="11.45" customHeight="1">
      <c r="D39" s="761"/>
      <c r="E39" s="44" t="s">
        <v>983</v>
      </c>
      <c r="F39" s="762"/>
      <c r="G39" s="762"/>
      <c r="H39" s="908"/>
      <c r="I39" s="762"/>
      <c r="J39" s="908"/>
      <c r="K39" s="206"/>
      <c r="L39" s="397"/>
      <c r="M39" s="206"/>
      <c r="N39" s="397"/>
      <c r="O39" s="906"/>
      <c r="Z39" s="539">
        <v>11</v>
      </c>
    </row>
    <row r="40" spans="1:26" ht="22.5" hidden="1" customHeight="1">
      <c r="A40" s="537" t="s">
        <v>81</v>
      </c>
      <c r="B40" s="539">
        <v>0</v>
      </c>
      <c r="C40" s="732">
        <v>4</v>
      </c>
      <c r="D40" s="539">
        <v>6</v>
      </c>
      <c r="E40" s="539">
        <v>36</v>
      </c>
      <c r="F40" s="539">
        <v>9</v>
      </c>
      <c r="G40" s="539">
        <v>0</v>
      </c>
      <c r="H40" s="539">
        <v>0</v>
      </c>
      <c r="I40" s="539">
        <v>25</v>
      </c>
      <c r="J40" s="539">
        <v>33</v>
      </c>
      <c r="K40" s="3">
        <v>0</v>
      </c>
      <c r="L40" s="3">
        <v>0</v>
      </c>
      <c r="M40" s="3">
        <v>0</v>
      </c>
      <c r="N40" s="3">
        <v>0</v>
      </c>
      <c r="O40" s="556">
        <v>93</v>
      </c>
      <c r="P40" s="539">
        <v>10</v>
      </c>
      <c r="Q40" s="539">
        <v>10</v>
      </c>
      <c r="R40" s="539">
        <v>10</v>
      </c>
      <c r="S40" s="539">
        <v>10</v>
      </c>
      <c r="T40" s="539">
        <v>10</v>
      </c>
      <c r="U40" s="539">
        <v>10</v>
      </c>
      <c r="V40" s="539">
        <v>10</v>
      </c>
      <c r="W40" s="539">
        <v>10</v>
      </c>
      <c r="X40" s="539">
        <v>10</v>
      </c>
      <c r="Y40" s="903">
        <v>10</v>
      </c>
      <c r="Z40" s="539">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O13" activePane="bottomRight" state="frozen"/>
      <selection pane="topRight" activeCell="H1" sqref="H1"/>
      <selection pane="bottomLeft" activeCell="A11" sqref="A11"/>
      <selection pane="bottomRight" activeCell="X13" sqref="X13:X14"/>
    </sheetView>
  </sheetViews>
  <sheetFormatPr defaultColWidth="9.140625" defaultRowHeight="10.5" customHeight="1"/>
  <cols>
    <col min="1" max="4" width="6.7109375" style="1030" hidden="1" customWidth="1"/>
    <col min="5" max="5" width="3" style="1030" customWidth="1"/>
    <col min="6" max="6" width="6" style="1030" customWidth="1"/>
    <col min="7" max="7" width="54" style="1030" customWidth="1"/>
    <col min="8" max="8" width="16" style="1030" customWidth="1"/>
    <col min="9" max="10" width="19" style="1030" customWidth="1"/>
    <col min="11" max="11" width="24" style="1030" customWidth="1"/>
    <col min="12" max="13" width="25" style="1030" customWidth="1"/>
    <col min="14" max="16" width="17" style="1030" customWidth="1"/>
    <col min="17" max="24" width="19" style="1030" customWidth="1"/>
    <col min="25" max="25" width="7" style="1030" customWidth="1"/>
    <col min="26" max="26" width="3" style="1030" customWidth="1"/>
    <col min="27" max="27" width="6" style="1030" customWidth="1"/>
    <col min="28" max="28" width="34" style="1030" customWidth="1"/>
    <col min="29" max="30" width="8" style="1030" customWidth="1"/>
    <col min="31" max="31" width="9.140625" style="1030" hidden="1"/>
  </cols>
  <sheetData>
    <row r="1" spans="1:31" ht="10.5" hidden="1" customHeight="1">
      <c r="AE1" s="556" t="s">
        <v>14</v>
      </c>
    </row>
    <row r="2" spans="1:31" ht="10.5" hidden="1" customHeight="1">
      <c r="AE2" s="539">
        <v>0</v>
      </c>
    </row>
    <row r="3" spans="1:31" ht="10.5" hidden="1" customHeight="1">
      <c r="G3" s="537" t="s">
        <v>984</v>
      </c>
      <c r="AE3" s="537">
        <v>0</v>
      </c>
    </row>
    <row r="4" spans="1:31" ht="3" customHeight="1">
      <c r="AE4" s="539">
        <v>3</v>
      </c>
    </row>
    <row r="5" spans="1:31" ht="27.4" customHeight="1">
      <c r="F5" s="1174" t="str">
        <f>IP_NAME_FORM</f>
        <v>Форма 7. Информация об инвестиционных программах организации водоотведения и отчетах об их исполнении</v>
      </c>
      <c r="G5" s="1174"/>
      <c r="H5" s="1174"/>
      <c r="I5" s="1174"/>
      <c r="J5" s="1174"/>
      <c r="K5" s="1174"/>
      <c r="AE5" s="539">
        <v>26</v>
      </c>
    </row>
    <row r="6" spans="1:31" ht="16.899999999999999" customHeight="1">
      <c r="F6" s="1148" t="str">
        <f>IF(org=0,"Не определено",org)</f>
        <v>АО "НИЖЕГОРОДСКИЙ ВОДОКАНАЛ"</v>
      </c>
      <c r="G6" s="1148"/>
      <c r="H6" s="1148"/>
      <c r="I6" s="1148"/>
      <c r="J6" s="1148"/>
      <c r="K6" s="1148"/>
      <c r="AE6" s="539">
        <v>16</v>
      </c>
    </row>
    <row r="7" spans="1:31" ht="10.5" customHeight="1">
      <c r="AE7" s="539">
        <v>10</v>
      </c>
    </row>
    <row r="8" spans="1:31" ht="10.5" customHeight="1">
      <c r="F8" s="1051" t="s">
        <v>308</v>
      </c>
      <c r="G8" s="1056"/>
      <c r="H8" s="1056"/>
      <c r="I8" s="1056"/>
      <c r="J8" s="1056"/>
      <c r="K8" s="1056"/>
      <c r="L8" s="1056"/>
      <c r="M8" s="1056"/>
      <c r="N8" s="1056"/>
      <c r="O8" s="1056"/>
      <c r="P8" s="1056"/>
      <c r="Q8" s="1056"/>
      <c r="R8" s="1056"/>
      <c r="S8" s="1056"/>
      <c r="T8" s="1056"/>
      <c r="U8" s="1056"/>
      <c r="V8" s="1056"/>
      <c r="W8" s="1056"/>
      <c r="X8" s="1056"/>
      <c r="Y8" s="1056"/>
      <c r="Z8" s="1056"/>
      <c r="AA8" s="1056"/>
      <c r="AB8" s="1050"/>
      <c r="AE8" s="539">
        <v>10</v>
      </c>
    </row>
    <row r="9" spans="1:31" ht="43.15" customHeight="1">
      <c r="F9" s="1070" t="s">
        <v>87</v>
      </c>
      <c r="G9" s="1070" t="s">
        <v>984</v>
      </c>
      <c r="H9" s="1128" t="s">
        <v>985</v>
      </c>
      <c r="I9" s="1070" t="s">
        <v>986</v>
      </c>
      <c r="J9" s="1070" t="s">
        <v>987</v>
      </c>
      <c r="K9" s="1070" t="s">
        <v>988</v>
      </c>
      <c r="L9" s="1070" t="s">
        <v>989</v>
      </c>
      <c r="M9" s="1070" t="s">
        <v>990</v>
      </c>
      <c r="N9" s="1155" t="s">
        <v>991</v>
      </c>
      <c r="O9" s="1155"/>
      <c r="P9" s="1155"/>
      <c r="Q9" s="1206" t="s">
        <v>992</v>
      </c>
      <c r="R9" s="1207"/>
      <c r="S9" s="1207"/>
      <c r="T9" s="1208"/>
      <c r="U9" s="1206" t="s">
        <v>993</v>
      </c>
      <c r="V9" s="1207"/>
      <c r="W9" s="1207"/>
      <c r="X9" s="1208"/>
      <c r="Y9" s="1051" t="s">
        <v>994</v>
      </c>
      <c r="Z9" s="1056"/>
      <c r="AA9" s="1056"/>
      <c r="AB9" s="1050"/>
      <c r="AE9" s="539">
        <v>41</v>
      </c>
    </row>
    <row r="10" spans="1:31" ht="43.15" customHeight="1">
      <c r="F10" s="1128"/>
      <c r="G10" s="1128"/>
      <c r="H10" s="1179"/>
      <c r="I10" s="1128"/>
      <c r="J10" s="1128"/>
      <c r="K10" s="1128"/>
      <c r="L10" s="1128"/>
      <c r="M10" s="1128"/>
      <c r="N10" s="956" t="s">
        <v>995</v>
      </c>
      <c r="O10" s="956" t="s">
        <v>996</v>
      </c>
      <c r="P10" s="830" t="s">
        <v>997</v>
      </c>
      <c r="Q10" s="956" t="s">
        <v>88</v>
      </c>
      <c r="R10" s="956" t="s">
        <v>998</v>
      </c>
      <c r="S10" s="956" t="s">
        <v>999</v>
      </c>
      <c r="T10" s="887" t="s">
        <v>1000</v>
      </c>
      <c r="U10" s="956" t="s">
        <v>88</v>
      </c>
      <c r="V10" s="956" t="s">
        <v>1001</v>
      </c>
      <c r="W10" s="956" t="s">
        <v>999</v>
      </c>
      <c r="X10" s="887" t="s">
        <v>1000</v>
      </c>
      <c r="Y10" s="818" t="s">
        <v>1002</v>
      </c>
      <c r="Z10" s="1051" t="s">
        <v>87</v>
      </c>
      <c r="AA10" s="1050"/>
      <c r="AB10" s="584" t="s">
        <v>1003</v>
      </c>
      <c r="AE10" s="539">
        <v>41</v>
      </c>
    </row>
    <row r="11" spans="1:31" ht="5.25" hidden="1" customHeight="1">
      <c r="F11" s="1307" t="s">
        <v>384</v>
      </c>
      <c r="G11" s="1309"/>
      <c r="H11" s="1305"/>
      <c r="I11" s="1305"/>
      <c r="J11" s="1305"/>
      <c r="K11" s="1308"/>
      <c r="L11" s="1308"/>
      <c r="M11" s="1308"/>
      <c r="N11" s="1305"/>
      <c r="O11" s="1305"/>
      <c r="P11" s="1070"/>
      <c r="Q11" s="1138"/>
      <c r="R11" s="1138"/>
      <c r="S11" s="1138"/>
      <c r="T11" s="1305"/>
      <c r="U11" s="1138"/>
      <c r="V11" s="1138"/>
      <c r="W11" s="1138"/>
      <c r="X11" s="1305"/>
      <c r="Y11" s="1080"/>
      <c r="Z11" s="1080"/>
      <c r="AA11" s="1080"/>
      <c r="AB11" s="1080"/>
      <c r="AD11" s="578" t="s">
        <v>1004</v>
      </c>
      <c r="AE11" s="578">
        <v>0</v>
      </c>
    </row>
    <row r="12" spans="1:31" ht="5.25" hidden="1" customHeight="1">
      <c r="F12" s="1307"/>
      <c r="G12" s="1309"/>
      <c r="H12" s="1305"/>
      <c r="I12" s="1305"/>
      <c r="J12" s="1305"/>
      <c r="K12" s="1308"/>
      <c r="L12" s="1308"/>
      <c r="M12" s="1308"/>
      <c r="N12" s="1305"/>
      <c r="O12" s="1305"/>
      <c r="P12" s="1070"/>
      <c r="Q12" s="1138"/>
      <c r="R12" s="1138"/>
      <c r="S12" s="1138"/>
      <c r="T12" s="1305"/>
      <c r="U12" s="1138"/>
      <c r="V12" s="1138"/>
      <c r="W12" s="1138"/>
      <c r="X12" s="1305"/>
      <c r="Y12" s="1306"/>
      <c r="Z12" s="1306"/>
      <c r="AA12" s="1306"/>
      <c r="AB12" s="1306"/>
      <c r="AE12" s="578">
        <v>0</v>
      </c>
    </row>
    <row r="13" spans="1:31" ht="48" customHeight="1">
      <c r="A13"/>
      <c r="B13"/>
      <c r="C13"/>
      <c r="D13"/>
      <c r="E13" s="1325" t="s">
        <v>103</v>
      </c>
      <c r="F13" s="1310" t="s">
        <v>114</v>
      </c>
      <c r="G13" s="1311" t="s">
        <v>1005</v>
      </c>
      <c r="H13" s="1312" t="s">
        <v>61</v>
      </c>
      <c r="I13" s="1314">
        <v>41627.616226851853</v>
      </c>
      <c r="J13" s="1316">
        <v>45245.616412037038</v>
      </c>
      <c r="K13" s="1318" t="s">
        <v>1006</v>
      </c>
      <c r="L13" s="1319" t="s">
        <v>1007</v>
      </c>
      <c r="M13" s="1319" t="s">
        <v>1008</v>
      </c>
      <c r="N13" s="1323" t="s">
        <v>1009</v>
      </c>
      <c r="O13" s="1323" t="s">
        <v>1010</v>
      </c>
      <c r="P13" s="1324" t="str">
        <f>DATEDIF(DATEVALUE(N13),DATEVALUE(O13),"y")&amp;"г. "&amp;DATEDIF(DATEVALUE(N13),DATEVALUE(O13),"ym")&amp;"мес. "&amp;DATEVALUE(O13)-DATE(YEAR(DATEVALUE(O13)),MONTH(DATEVALUE(O13)),1)&amp;"дн. "</f>
        <v xml:space="preserve">16г. 11мес. 30дн. </v>
      </c>
      <c r="Q13" s="1320" t="s">
        <v>1011</v>
      </c>
      <c r="R13" s="1320" t="s">
        <v>1012</v>
      </c>
      <c r="S13" s="1320" t="s">
        <v>1013</v>
      </c>
      <c r="T13" s="1316" t="s">
        <v>1014</v>
      </c>
      <c r="U13" s="1320" t="s">
        <v>1015</v>
      </c>
      <c r="V13" s="1320" t="s">
        <v>1016</v>
      </c>
      <c r="W13" s="1320" t="s">
        <v>1017</v>
      </c>
      <c r="X13" s="1316">
        <v>45245.617303240739</v>
      </c>
      <c r="Y13" s="1321" t="s">
        <v>61</v>
      </c>
      <c r="Z13" s="617"/>
      <c r="AA13" s="584">
        <v>1</v>
      </c>
      <c r="AB13" s="205" t="s">
        <v>1018</v>
      </c>
      <c r="AC13"/>
      <c r="AD13" s="578" t="s">
        <v>1019</v>
      </c>
      <c r="AE13"/>
    </row>
    <row r="14" spans="1:31" ht="10.5" customHeight="1">
      <c r="A14"/>
      <c r="B14"/>
      <c r="C14"/>
      <c r="D14"/>
      <c r="E14" s="1326"/>
      <c r="F14" s="1310" t="s">
        <v>384</v>
      </c>
      <c r="G14" s="1311"/>
      <c r="H14" s="1313"/>
      <c r="I14" s="1315"/>
      <c r="J14" s="1317"/>
      <c r="K14" s="1318"/>
      <c r="L14" s="1319"/>
      <c r="M14" s="1319"/>
      <c r="N14" s="1323"/>
      <c r="O14" s="1323"/>
      <c r="P14" s="1324"/>
      <c r="Q14" s="1320"/>
      <c r="R14" s="1320"/>
      <c r="S14" s="1320"/>
      <c r="T14" s="1317"/>
      <c r="U14" s="1320"/>
      <c r="V14" s="1320"/>
      <c r="W14" s="1320"/>
      <c r="X14" s="1317"/>
      <c r="Y14" s="1322"/>
      <c r="Z14" s="761"/>
      <c r="AA14" s="762"/>
      <c r="AB14" s="59" t="s">
        <v>1020</v>
      </c>
      <c r="AC14"/>
      <c r="AD14"/>
      <c r="AE14"/>
    </row>
    <row r="15" spans="1:31" ht="10.5" customHeight="1">
      <c r="F15" s="354"/>
      <c r="G15" s="44" t="s">
        <v>1021</v>
      </c>
      <c r="H15" s="44"/>
      <c r="I15" s="762"/>
      <c r="J15" s="762"/>
      <c r="K15" s="762"/>
      <c r="L15" s="762"/>
      <c r="M15" s="762"/>
      <c r="N15" s="762"/>
      <c r="O15" s="762"/>
      <c r="P15" s="762"/>
      <c r="Q15" s="762"/>
      <c r="R15" s="762"/>
      <c r="S15" s="762"/>
      <c r="T15" s="762"/>
      <c r="U15" s="762"/>
      <c r="V15" s="762"/>
      <c r="W15" s="762"/>
      <c r="X15" s="762"/>
      <c r="Y15" s="762"/>
      <c r="Z15" s="908"/>
      <c r="AA15" s="908"/>
      <c r="AB15" s="957"/>
      <c r="AE15" s="539">
        <v>10</v>
      </c>
    </row>
    <row r="16" spans="1:31" ht="10.5" customHeight="1">
      <c r="AE16" s="539">
        <v>10</v>
      </c>
    </row>
    <row r="17" spans="1:31" ht="10.5" customHeight="1">
      <c r="H17" s="578">
        <f>IFERROR(MATCH("нет",IP_MAIN_DIFFERENTIATION_EVENTS_FLAG,0),0)</f>
        <v>0</v>
      </c>
      <c r="AE17" s="578">
        <v>10</v>
      </c>
    </row>
    <row r="18" spans="1:31" ht="10.5" hidden="1" customHeight="1">
      <c r="A18" s="457" t="s">
        <v>81</v>
      </c>
      <c r="B18" s="457">
        <v>0</v>
      </c>
      <c r="C18" s="457">
        <v>0</v>
      </c>
      <c r="D18" s="556">
        <v>0</v>
      </c>
      <c r="E18" s="539">
        <v>3</v>
      </c>
      <c r="F18" s="539">
        <v>6</v>
      </c>
      <c r="G18" s="539">
        <v>37</v>
      </c>
      <c r="H18" s="539">
        <v>16</v>
      </c>
      <c r="I18" s="539">
        <v>19</v>
      </c>
      <c r="J18" s="539">
        <v>19</v>
      </c>
      <c r="K18" s="539">
        <v>24</v>
      </c>
      <c r="L18" s="539">
        <v>25</v>
      </c>
      <c r="M18" s="539">
        <v>25</v>
      </c>
      <c r="N18" s="539">
        <v>17</v>
      </c>
      <c r="O18" s="539">
        <v>17</v>
      </c>
      <c r="P18" s="539">
        <v>17</v>
      </c>
      <c r="Q18" s="539">
        <v>19</v>
      </c>
      <c r="R18" s="539">
        <v>19</v>
      </c>
      <c r="S18" s="539">
        <v>19</v>
      </c>
      <c r="T18" s="539">
        <v>19</v>
      </c>
      <c r="U18" s="539">
        <v>19</v>
      </c>
      <c r="V18" s="539">
        <v>19</v>
      </c>
      <c r="W18" s="539">
        <v>19</v>
      </c>
      <c r="X18" s="539">
        <v>19</v>
      </c>
      <c r="Y18" s="539">
        <v>7</v>
      </c>
      <c r="Z18" s="539">
        <v>3</v>
      </c>
      <c r="AA18" s="539">
        <v>6</v>
      </c>
      <c r="AB18" s="539">
        <v>34</v>
      </c>
      <c r="AC18" s="539">
        <v>8</v>
      </c>
      <c r="AD18" s="539">
        <v>8</v>
      </c>
      <c r="AE18" s="539">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448"/>
  <sheetViews>
    <sheetView showGridLines="0" zoomScale="70" workbookViewId="0">
      <pane xSplit="8" ySplit="12" topLeftCell="I960" activePane="bottomRight" state="frozen"/>
      <selection pane="topRight" activeCell="I1" sqref="I1"/>
      <selection pane="bottomLeft" activeCell="A13" sqref="A13"/>
      <selection pane="bottomRight" activeCell="AI976" sqref="AI976"/>
    </sheetView>
  </sheetViews>
  <sheetFormatPr defaultColWidth="9.140625" defaultRowHeight="10.5" customHeight="1"/>
  <cols>
    <col min="1" max="4" width="4.140625" style="1030" hidden="1" customWidth="1"/>
    <col min="5" max="5" width="3" style="1030" customWidth="1"/>
    <col min="6" max="6" width="14" style="1030" customWidth="1"/>
    <col min="7" max="7" width="3" style="1030" customWidth="1"/>
    <col min="8" max="8" width="7" style="1030" customWidth="1"/>
    <col min="9" max="10" width="16" style="1030" customWidth="1"/>
    <col min="11" max="11" width="25" style="1030" customWidth="1"/>
    <col min="12" max="12" width="7" style="1030" customWidth="1"/>
    <col min="13" max="13" width="15" style="1030" customWidth="1"/>
    <col min="14" max="14" width="3" style="1030" customWidth="1"/>
    <col min="15" max="15" width="4" style="1030" customWidth="1"/>
    <col min="16" max="16" width="8" style="1030" customWidth="1"/>
    <col min="17" max="17" width="21" style="1030" customWidth="1"/>
    <col min="18" max="18" width="14" style="1030" customWidth="1"/>
    <col min="19" max="20" width="17" style="1030" customWidth="1"/>
    <col min="21" max="21" width="9" style="1030" customWidth="1"/>
    <col min="22" max="22" width="12" style="1030" customWidth="1"/>
    <col min="23" max="23" width="9" style="1030" customWidth="1"/>
    <col min="24" max="24" width="21" style="1030" customWidth="1"/>
    <col min="25" max="25" width="12" style="1030" customWidth="1"/>
    <col min="26" max="26" width="3" style="1030" customWidth="1"/>
    <col min="27" max="27" width="6" style="1030" customWidth="1"/>
    <col min="28" max="28" width="38" style="1030" customWidth="1"/>
    <col min="29" max="29" width="15" style="1030" customWidth="1"/>
    <col min="30" max="30" width="37.5703125" style="1030" customWidth="1"/>
    <col min="31" max="31" width="15.7109375" style="1030" customWidth="1"/>
    <col min="32" max="34" width="16" style="1030" customWidth="1"/>
    <col min="35" max="37" width="16.7109375" style="1030" customWidth="1"/>
    <col min="38" max="58" width="8" style="1030" customWidth="1"/>
    <col min="59" max="59" width="9.140625" style="1030" hidden="1"/>
  </cols>
  <sheetData>
    <row r="1" spans="1:59" ht="10.5" hidden="1" customHeight="1">
      <c r="BG1" s="556" t="s">
        <v>14</v>
      </c>
    </row>
    <row r="2" spans="1:59" ht="10.5" hidden="1" customHeight="1">
      <c r="BG2" s="539">
        <v>0</v>
      </c>
    </row>
    <row r="3" spans="1:59" ht="10.5" hidden="1" customHeight="1">
      <c r="BG3" s="537">
        <v>0</v>
      </c>
    </row>
    <row r="4" spans="1:59" ht="3" customHeight="1">
      <c r="BG4" s="539">
        <v>3</v>
      </c>
    </row>
    <row r="5" spans="1:59" ht="27.4" customHeight="1">
      <c r="F5" s="1174" t="str">
        <f>IP_NAME_FORM</f>
        <v>Форма 7. Информация об инвестиционных программах организации водоотведения и отчетах об их исполнении</v>
      </c>
      <c r="G5" s="1174"/>
      <c r="H5" s="1174"/>
      <c r="I5" s="1174"/>
      <c r="J5" s="1174"/>
      <c r="K5" s="1174"/>
      <c r="BG5" s="539">
        <v>26</v>
      </c>
    </row>
    <row r="6" spans="1:59" ht="10.5" customHeight="1">
      <c r="F6" s="1148" t="str">
        <f>IF(org=0,"Не определено",org)</f>
        <v>АО "НИЖЕГОРОДСКИЙ ВОДОКАНАЛ"</v>
      </c>
      <c r="G6" s="1148"/>
      <c r="H6" s="1148"/>
      <c r="I6" s="1148"/>
      <c r="J6" s="1148"/>
      <c r="K6" s="1148"/>
      <c r="BG6" s="539">
        <v>10</v>
      </c>
    </row>
    <row r="7" spans="1:59" ht="11.45" customHeight="1">
      <c r="E7" s="557"/>
      <c r="F7" s="958"/>
      <c r="G7" s="958"/>
      <c r="H7" s="958"/>
      <c r="I7" s="958"/>
      <c r="J7" s="958"/>
      <c r="K7" s="464"/>
      <c r="L7" s="464"/>
      <c r="M7" s="464"/>
      <c r="N7" s="958"/>
      <c r="O7" s="958"/>
      <c r="P7" s="958"/>
      <c r="Q7" s="464"/>
      <c r="R7" s="958"/>
      <c r="S7" s="958"/>
      <c r="T7" s="958"/>
      <c r="U7" s="958"/>
      <c r="V7" s="958"/>
      <c r="W7" s="958"/>
      <c r="X7" s="958"/>
      <c r="Y7" s="958"/>
      <c r="Z7" s="958"/>
      <c r="AA7" s="958"/>
      <c r="AB7" s="958"/>
      <c r="AC7" s="959"/>
      <c r="AD7" s="959"/>
      <c r="AE7" s="959"/>
      <c r="AF7" s="958"/>
      <c r="AG7" s="958"/>
      <c r="AH7" s="958"/>
      <c r="AI7" s="958"/>
      <c r="AJ7" s="958"/>
      <c r="AK7" s="958"/>
      <c r="BG7" s="539">
        <v>11</v>
      </c>
    </row>
    <row r="8" spans="1:59" ht="10.5" customHeight="1">
      <c r="E8" s="557"/>
      <c r="F8" s="1328" t="s">
        <v>308</v>
      </c>
      <c r="G8" s="1329"/>
      <c r="H8" s="1329"/>
      <c r="I8" s="1329"/>
      <c r="J8" s="1329"/>
      <c r="K8" s="1329"/>
      <c r="L8" s="1329"/>
      <c r="M8" s="1329"/>
      <c r="N8" s="1329"/>
      <c r="O8" s="1329"/>
      <c r="P8" s="1329"/>
      <c r="Q8" s="1329"/>
      <c r="R8" s="1329"/>
      <c r="S8" s="1329"/>
      <c r="T8" s="1329"/>
      <c r="U8" s="1329"/>
      <c r="V8" s="1329"/>
      <c r="W8" s="1329"/>
      <c r="X8" s="1329"/>
      <c r="Y8" s="1329"/>
      <c r="Z8" s="1329"/>
      <c r="AA8" s="1329"/>
      <c r="AB8" s="1329"/>
      <c r="AC8" s="1329"/>
      <c r="AD8" s="1329"/>
      <c r="AE8" s="1329"/>
      <c r="AF8" s="1329"/>
      <c r="AG8" s="1329"/>
      <c r="AH8" s="1329"/>
      <c r="AI8" s="1329"/>
      <c r="AJ8" s="1329"/>
      <c r="AK8" s="1330"/>
      <c r="AL8" s="960"/>
      <c r="BG8" s="539">
        <v>10</v>
      </c>
    </row>
    <row r="9" spans="1:59" ht="24" customHeight="1">
      <c r="E9" s="557"/>
      <c r="F9" s="1155" t="s">
        <v>1022</v>
      </c>
      <c r="G9" s="1254" t="s">
        <v>1023</v>
      </c>
      <c r="H9" s="1295"/>
      <c r="I9" s="1070" t="s">
        <v>1024</v>
      </c>
      <c r="J9" s="1070"/>
      <c r="K9" s="1070" t="s">
        <v>1025</v>
      </c>
      <c r="L9" s="1070"/>
      <c r="M9" s="1070"/>
      <c r="N9" s="1070"/>
      <c r="O9" s="1070"/>
      <c r="P9" s="1070"/>
      <c r="Q9" s="1070"/>
      <c r="R9" s="1070"/>
      <c r="S9" s="1070"/>
      <c r="T9" s="1070"/>
      <c r="U9" s="1070"/>
      <c r="V9" s="1070"/>
      <c r="W9" s="1070"/>
      <c r="X9" s="1070"/>
      <c r="Y9" s="1070"/>
      <c r="Z9" s="1129" t="s">
        <v>1026</v>
      </c>
      <c r="AA9" s="1130"/>
      <c r="AB9" s="1070" t="s">
        <v>1027</v>
      </c>
      <c r="AC9" s="1070"/>
      <c r="AD9" s="1070"/>
      <c r="AE9" s="1070"/>
      <c r="AF9" s="1128" t="s">
        <v>1028</v>
      </c>
      <c r="AG9" s="1070" t="s">
        <v>1029</v>
      </c>
      <c r="AH9" s="1070"/>
      <c r="AI9" s="1128" t="s">
        <v>1030</v>
      </c>
      <c r="AJ9" s="1070" t="s">
        <v>1031</v>
      </c>
      <c r="AK9" s="1070"/>
      <c r="BG9" s="539">
        <v>23</v>
      </c>
    </row>
    <row r="10" spans="1:59" ht="25.15" customHeight="1">
      <c r="E10" s="557"/>
      <c r="F10" s="1155"/>
      <c r="G10" s="1255"/>
      <c r="H10" s="1159"/>
      <c r="I10" s="1070"/>
      <c r="J10" s="1070"/>
      <c r="K10" s="1070" t="s">
        <v>1032</v>
      </c>
      <c r="L10" s="1051" t="s">
        <v>1033</v>
      </c>
      <c r="M10" s="1050"/>
      <c r="N10" s="1070" t="s">
        <v>1034</v>
      </c>
      <c r="O10" s="1070"/>
      <c r="P10" s="1070"/>
      <c r="Q10" s="1070"/>
      <c r="R10" s="1070"/>
      <c r="S10" s="1070"/>
      <c r="T10" s="1070"/>
      <c r="U10" s="1070"/>
      <c r="V10" s="1070"/>
      <c r="W10" s="1070"/>
      <c r="X10" s="1070"/>
      <c r="Y10" s="1070"/>
      <c r="Z10" s="1131"/>
      <c r="AA10" s="1132"/>
      <c r="AB10" s="1070"/>
      <c r="AC10" s="1070"/>
      <c r="AD10" s="1070"/>
      <c r="AE10" s="1070"/>
      <c r="AF10" s="1133"/>
      <c r="AG10" s="1070"/>
      <c r="AH10" s="1070"/>
      <c r="AI10" s="1133"/>
      <c r="AJ10" s="1070"/>
      <c r="AK10" s="1070"/>
      <c r="BG10" s="539">
        <v>24</v>
      </c>
    </row>
    <row r="11" spans="1:59" ht="25.15" customHeight="1">
      <c r="E11" s="557"/>
      <c r="F11" s="1155"/>
      <c r="G11" s="1255"/>
      <c r="H11" s="1159"/>
      <c r="I11" s="1070"/>
      <c r="J11" s="1070"/>
      <c r="K11" s="1070"/>
      <c r="L11" s="1128" t="s">
        <v>1035</v>
      </c>
      <c r="M11" s="1128" t="s">
        <v>1036</v>
      </c>
      <c r="N11" s="1070" t="s">
        <v>1037</v>
      </c>
      <c r="O11" s="1070"/>
      <c r="P11" s="1126" t="s">
        <v>1002</v>
      </c>
      <c r="Q11" s="1126" t="s">
        <v>1038</v>
      </c>
      <c r="R11" s="1126" t="s">
        <v>1039</v>
      </c>
      <c r="S11" s="1126" t="s">
        <v>1040</v>
      </c>
      <c r="T11" s="1126"/>
      <c r="U11" s="1126"/>
      <c r="V11" s="1126"/>
      <c r="W11" s="1126"/>
      <c r="X11" s="1126"/>
      <c r="Y11" s="1126"/>
      <c r="Z11" s="1131"/>
      <c r="AA11" s="1132"/>
      <c r="AB11" s="1070" t="s">
        <v>1041</v>
      </c>
      <c r="AC11" s="1070"/>
      <c r="AD11" s="1051" t="s">
        <v>1042</v>
      </c>
      <c r="AE11" s="1050"/>
      <c r="AF11" s="1133"/>
      <c r="AG11" s="1070"/>
      <c r="AH11" s="1070"/>
      <c r="AI11" s="1133"/>
      <c r="AJ11" s="1070"/>
      <c r="AK11" s="1070"/>
      <c r="BG11" s="539">
        <v>24</v>
      </c>
    </row>
    <row r="12" spans="1:59" ht="35.65" customHeight="1">
      <c r="E12" s="557"/>
      <c r="F12" s="1155"/>
      <c r="G12" s="1256"/>
      <c r="H12" s="1327"/>
      <c r="I12" s="584" t="s">
        <v>88</v>
      </c>
      <c r="J12" s="584" t="s">
        <v>1043</v>
      </c>
      <c r="K12" s="1070"/>
      <c r="L12" s="1179"/>
      <c r="M12" s="1179"/>
      <c r="N12" s="1070"/>
      <c r="O12" s="1070"/>
      <c r="P12" s="1126"/>
      <c r="Q12" s="1126"/>
      <c r="R12" s="1126"/>
      <c r="S12" s="603" t="s">
        <v>85</v>
      </c>
      <c r="T12" s="603" t="s">
        <v>86</v>
      </c>
      <c r="U12" s="603" t="s">
        <v>84</v>
      </c>
      <c r="V12" s="603" t="s">
        <v>1044</v>
      </c>
      <c r="W12" s="603" t="s">
        <v>84</v>
      </c>
      <c r="X12" s="603" t="s">
        <v>1045</v>
      </c>
      <c r="Y12" s="603" t="s">
        <v>1046</v>
      </c>
      <c r="Z12" s="1134"/>
      <c r="AA12" s="1135"/>
      <c r="AB12" s="584" t="s">
        <v>1047</v>
      </c>
      <c r="AC12" s="584" t="s">
        <v>1048</v>
      </c>
      <c r="AD12" s="584" t="s">
        <v>1047</v>
      </c>
      <c r="AE12" s="584" t="s">
        <v>1048</v>
      </c>
      <c r="AF12" s="1179"/>
      <c r="AG12" s="584" t="s">
        <v>1049</v>
      </c>
      <c r="AH12" s="584" t="s">
        <v>1050</v>
      </c>
      <c r="AI12" s="1179"/>
      <c r="AJ12" s="584" t="s">
        <v>1049</v>
      </c>
      <c r="AK12" s="584" t="s">
        <v>1050</v>
      </c>
      <c r="BG12" s="539">
        <v>34</v>
      </c>
    </row>
    <row r="13" spans="1:59" ht="1.1499999999999999" customHeight="1">
      <c r="E13" s="557"/>
      <c r="F13" s="557">
        <v>0</v>
      </c>
      <c r="G13" s="557"/>
      <c r="H13" s="557"/>
      <c r="I13" s="557"/>
      <c r="J13" s="557"/>
      <c r="AL13" s="960"/>
      <c r="BG13" s="539">
        <v>1</v>
      </c>
    </row>
    <row r="14" spans="1:59" ht="21" customHeight="1">
      <c r="A14" t="s">
        <v>1019</v>
      </c>
      <c r="B14"/>
      <c r="C14"/>
      <c r="D14"/>
      <c r="E14" s="557" t="s">
        <v>22</v>
      </c>
      <c r="F14" s="766" t="str">
        <f>INDEX(IP_MAIN_LIST_NAME_IP,MATCH(A14,IP_MAIN_LIST_IP_ID,0))&amp;" ("&amp;INDEX(IP_MAIN_START_DATE,MATCH(A14,IP_MAIN_LIST_IP_ID,0))&amp;"-"&amp;INDEX(IP_MAIN_END_DATE,MATCH(A14,IP_MAIN_LIST_IP_ID,0))&amp;")"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G14" s="767"/>
      <c r="H14" s="767"/>
      <c r="I14" s="768"/>
      <c r="J14" s="768"/>
      <c r="K14" s="769"/>
      <c r="L14" s="769"/>
      <c r="M14" s="769"/>
      <c r="N14" s="770"/>
      <c r="O14" s="770"/>
      <c r="P14" s="770"/>
      <c r="Q14" s="770"/>
      <c r="R14" s="770"/>
      <c r="S14" s="770"/>
      <c r="T14" s="770"/>
      <c r="U14" s="770"/>
      <c r="V14" s="770"/>
      <c r="W14" s="770"/>
      <c r="X14" s="770"/>
      <c r="Y14" s="770"/>
      <c r="Z14" s="770"/>
      <c r="AA14" s="770"/>
      <c r="AB14" s="770"/>
      <c r="AC14" s="770"/>
      <c r="AD14" s="770"/>
      <c r="AE14" s="771"/>
      <c r="AF14" s="769"/>
      <c r="AG14" s="769"/>
      <c r="AH14" s="769"/>
      <c r="AI14" s="769"/>
      <c r="AJ14" s="769"/>
      <c r="AK14" s="769"/>
      <c r="AL14" s="772"/>
      <c r="AM14"/>
      <c r="AN14"/>
      <c r="AO14"/>
      <c r="AP14"/>
      <c r="AQ14"/>
      <c r="AR14"/>
      <c r="AS14"/>
      <c r="AT14"/>
      <c r="AU14"/>
      <c r="AV14"/>
      <c r="AW14"/>
      <c r="AX14"/>
      <c r="AY14"/>
      <c r="AZ14"/>
      <c r="BA14"/>
      <c r="BB14"/>
      <c r="BC14"/>
      <c r="BD14"/>
      <c r="BE14"/>
      <c r="BF14"/>
      <c r="BG14"/>
    </row>
    <row r="15" spans="1:59" ht="0.75" customHeight="1">
      <c r="A15" t="s">
        <v>1019</v>
      </c>
      <c r="B15"/>
      <c r="C15"/>
      <c r="D15"/>
      <c r="E15" s="557"/>
      <c r="F15" s="1338">
        <v>2014</v>
      </c>
      <c r="G15" s="1335"/>
      <c r="H15" s="1343" t="s">
        <v>384</v>
      </c>
      <c r="I15" s="1344"/>
      <c r="J15" s="1334"/>
      <c r="K15" s="1334"/>
      <c r="L15" s="1336"/>
      <c r="M15" s="1190"/>
      <c r="N15" s="214"/>
      <c r="O15" s="215"/>
      <c r="P15" s="214"/>
      <c r="Q15" s="214"/>
      <c r="R15" s="214"/>
      <c r="S15" s="214"/>
      <c r="T15" s="214"/>
      <c r="U15" s="214"/>
      <c r="V15" s="214"/>
      <c r="W15" s="214"/>
      <c r="X15" s="214"/>
      <c r="Y15" s="214"/>
      <c r="Z15" s="214"/>
      <c r="AA15" s="214"/>
      <c r="AB15" s="214"/>
      <c r="AC15" s="214"/>
      <c r="AD15" s="214"/>
      <c r="AE15" s="214"/>
      <c r="AF15" s="1342"/>
      <c r="AG15" s="1336"/>
      <c r="AH15" s="1336"/>
      <c r="AI15" s="1342"/>
      <c r="AJ15" s="1336"/>
      <c r="AK15" s="1336"/>
      <c r="AL15" s="772"/>
      <c r="AM15"/>
      <c r="AN15"/>
      <c r="AO15"/>
      <c r="AP15"/>
      <c r="AQ15"/>
      <c r="AR15"/>
      <c r="AS15"/>
      <c r="AT15"/>
      <c r="AU15"/>
      <c r="AV15"/>
      <c r="AW15"/>
      <c r="AX15"/>
      <c r="AY15"/>
      <c r="AZ15"/>
      <c r="BA15"/>
      <c r="BB15"/>
      <c r="BC15"/>
      <c r="BD15"/>
      <c r="BE15"/>
      <c r="BF15"/>
      <c r="BG15"/>
    </row>
    <row r="16" spans="1:59" ht="0.75" customHeight="1">
      <c r="A16" t="s">
        <v>1019</v>
      </c>
      <c r="B16"/>
      <c r="C16"/>
      <c r="D16"/>
      <c r="E16" s="557"/>
      <c r="F16" s="1338"/>
      <c r="G16" s="1335"/>
      <c r="H16" s="1343"/>
      <c r="I16" s="1344"/>
      <c r="J16" s="1334"/>
      <c r="K16" s="1334"/>
      <c r="L16" s="1336"/>
      <c r="M16" s="1190"/>
      <c r="N16" s="1345"/>
      <c r="O16" s="1346"/>
      <c r="P16" s="1331"/>
      <c r="Q16" s="1334"/>
      <c r="R16" s="1334"/>
      <c r="S16" s="1334"/>
      <c r="T16" s="1334"/>
      <c r="U16" s="1334"/>
      <c r="V16" s="1334"/>
      <c r="W16" s="1334"/>
      <c r="X16" s="1334"/>
      <c r="Y16" s="1334"/>
      <c r="Z16" s="216"/>
      <c r="AA16" s="217"/>
      <c r="AB16" s="217"/>
      <c r="AC16" s="218"/>
      <c r="AD16" s="218"/>
      <c r="AE16" s="219"/>
      <c r="AF16" s="1342"/>
      <c r="AG16" s="1336"/>
      <c r="AH16" s="1336"/>
      <c r="AI16" s="1342"/>
      <c r="AJ16" s="1336"/>
      <c r="AK16" s="1336"/>
      <c r="AL16" s="772"/>
      <c r="AM16"/>
      <c r="AN16"/>
      <c r="AO16"/>
      <c r="AP16"/>
      <c r="AQ16"/>
      <c r="AR16"/>
      <c r="AS16"/>
      <c r="AT16"/>
      <c r="AU16"/>
      <c r="AV16"/>
      <c r="AW16"/>
      <c r="AX16"/>
      <c r="AY16"/>
      <c r="AZ16"/>
      <c r="BA16"/>
      <c r="BB16"/>
      <c r="BC16"/>
      <c r="BD16"/>
      <c r="BE16"/>
      <c r="BF16"/>
      <c r="BG16"/>
    </row>
    <row r="17" spans="1:59" ht="0.75" customHeight="1">
      <c r="A17" t="s">
        <v>1019</v>
      </c>
      <c r="B17"/>
      <c r="C17"/>
      <c r="D17"/>
      <c r="E17" s="557"/>
      <c r="F17" s="1338"/>
      <c r="G17" s="1335"/>
      <c r="H17" s="1343"/>
      <c r="I17" s="1344"/>
      <c r="J17" s="1334"/>
      <c r="K17" s="1334"/>
      <c r="L17" s="1336"/>
      <c r="M17" s="1190"/>
      <c r="N17" s="1345"/>
      <c r="O17" s="1346"/>
      <c r="P17" s="1332"/>
      <c r="Q17" s="1334"/>
      <c r="R17" s="1334"/>
      <c r="S17" s="1334"/>
      <c r="T17" s="1334"/>
      <c r="U17" s="1334"/>
      <c r="V17" s="1334"/>
      <c r="W17" s="1334"/>
      <c r="X17" s="1334"/>
      <c r="Y17" s="1334"/>
      <c r="Z17"/>
      <c r="AA17" s="773"/>
      <c r="AB17" s="774"/>
      <c r="AC17" s="220"/>
      <c r="AD17" s="774"/>
      <c r="AE17" s="220"/>
      <c r="AF17" s="1342"/>
      <c r="AG17" s="1336"/>
      <c r="AH17" s="1336"/>
      <c r="AI17" s="1342"/>
      <c r="AJ17" s="1336"/>
      <c r="AK17" s="1336"/>
      <c r="AL17" s="772"/>
      <c r="AM17"/>
      <c r="AN17"/>
      <c r="AO17"/>
      <c r="AP17"/>
      <c r="AQ17"/>
      <c r="AR17"/>
      <c r="AS17"/>
      <c r="AT17"/>
      <c r="AU17"/>
      <c r="AV17"/>
      <c r="AW17"/>
      <c r="AX17"/>
      <c r="AY17"/>
      <c r="AZ17"/>
      <c r="BA17"/>
      <c r="BB17"/>
      <c r="BC17"/>
      <c r="BD17"/>
      <c r="BE17"/>
      <c r="BF17"/>
      <c r="BG17"/>
    </row>
    <row r="18" spans="1:59" ht="0.75" customHeight="1">
      <c r="A18" t="s">
        <v>1019</v>
      </c>
      <c r="B18"/>
      <c r="C18"/>
      <c r="D18"/>
      <c r="E18" s="557"/>
      <c r="F18" s="1338"/>
      <c r="G18" s="1335"/>
      <c r="H18" s="1343"/>
      <c r="I18" s="1344"/>
      <c r="J18" s="1334"/>
      <c r="K18" s="1334"/>
      <c r="L18" s="1336"/>
      <c r="M18" s="1190"/>
      <c r="N18" s="1345"/>
      <c r="O18" s="1346"/>
      <c r="P18" s="1333"/>
      <c r="Q18" s="1334"/>
      <c r="R18" s="1334"/>
      <c r="S18" s="1334"/>
      <c r="T18" s="1334"/>
      <c r="U18" s="1334"/>
      <c r="V18" s="1334"/>
      <c r="W18" s="1334"/>
      <c r="X18" s="1334"/>
      <c r="Y18" s="1334"/>
      <c r="Z18" s="216"/>
      <c r="AA18" s="217"/>
      <c r="AB18" s="221"/>
      <c r="AC18" s="218"/>
      <c r="AD18" s="218"/>
      <c r="AE18" s="222"/>
      <c r="AF18" s="1342"/>
      <c r="AG18" s="1336"/>
      <c r="AH18" s="1336"/>
      <c r="AI18" s="1342"/>
      <c r="AJ18" s="1336"/>
      <c r="AK18" s="1336"/>
      <c r="AL18" s="772"/>
      <c r="AM18"/>
      <c r="AN18"/>
      <c r="AO18"/>
      <c r="AP18"/>
      <c r="AQ18"/>
      <c r="AR18"/>
      <c r="AS18"/>
      <c r="AT18"/>
      <c r="AU18"/>
      <c r="AV18"/>
      <c r="AW18"/>
      <c r="AX18"/>
      <c r="AY18"/>
      <c r="AZ18"/>
      <c r="BA18"/>
      <c r="BB18"/>
      <c r="BC18"/>
      <c r="BD18"/>
      <c r="BE18"/>
      <c r="BF18"/>
      <c r="BG18"/>
    </row>
    <row r="19" spans="1:59" ht="0.75" customHeight="1">
      <c r="A19" t="s">
        <v>1019</v>
      </c>
      <c r="B19"/>
      <c r="C19"/>
      <c r="D19"/>
      <c r="E19" s="557"/>
      <c r="F19" s="1338"/>
      <c r="G19" s="1335"/>
      <c r="H19" s="1343"/>
      <c r="I19" s="1344"/>
      <c r="J19" s="1334"/>
      <c r="K19" s="1334"/>
      <c r="L19" s="1336"/>
      <c r="M19" s="1190"/>
      <c r="N19" s="217"/>
      <c r="O19" s="217"/>
      <c r="P19" s="221"/>
      <c r="Q19" s="217"/>
      <c r="R19" s="217"/>
      <c r="S19" s="217"/>
      <c r="T19" s="217"/>
      <c r="U19" s="217"/>
      <c r="V19" s="217"/>
      <c r="W19" s="217"/>
      <c r="X19" s="217"/>
      <c r="Y19" s="217"/>
      <c r="Z19" s="217"/>
      <c r="AA19" s="217"/>
      <c r="AB19" s="217"/>
      <c r="AC19" s="217"/>
      <c r="AD19" s="217"/>
      <c r="AE19" s="223"/>
      <c r="AF19" s="1342"/>
      <c r="AG19" s="1336"/>
      <c r="AH19" s="1336"/>
      <c r="AI19" s="1342"/>
      <c r="AJ19" s="1336"/>
      <c r="AK19" s="1336"/>
      <c r="AL19" s="772"/>
      <c r="AM19"/>
      <c r="AN19"/>
      <c r="AO19"/>
      <c r="AP19"/>
      <c r="AQ19"/>
      <c r="AR19"/>
      <c r="AS19"/>
      <c r="AT19"/>
      <c r="AU19"/>
      <c r="AV19"/>
      <c r="AW19"/>
      <c r="AX19"/>
      <c r="AY19"/>
      <c r="AZ19"/>
      <c r="BA19"/>
      <c r="BB19"/>
      <c r="BC19"/>
      <c r="BD19"/>
      <c r="BE19"/>
      <c r="BF19"/>
      <c r="BG19"/>
    </row>
    <row r="20" spans="1:59" ht="11.25" customHeight="1">
      <c r="A20" t="s">
        <v>1019</v>
      </c>
      <c r="B20" t="s">
        <v>1051</v>
      </c>
      <c r="C20"/>
      <c r="D20"/>
      <c r="E20" s="557"/>
      <c r="F20" s="1339"/>
      <c r="G20" s="1325" t="s">
        <v>103</v>
      </c>
      <c r="H20" s="1335" t="s">
        <v>114</v>
      </c>
      <c r="I20" s="1347" t="s">
        <v>1052</v>
      </c>
      <c r="J20" s="1348" t="s">
        <v>1053</v>
      </c>
      <c r="K20" s="1349" t="s">
        <v>1054</v>
      </c>
      <c r="L20" s="1079" t="s">
        <v>19</v>
      </c>
      <c r="M20" s="1080"/>
      <c r="N20" s="242"/>
      <c r="O20" s="243" t="s">
        <v>384</v>
      </c>
      <c r="P20" s="244"/>
      <c r="Q20" s="244"/>
      <c r="R20" s="244"/>
      <c r="S20" s="244"/>
      <c r="T20" s="244"/>
      <c r="U20" s="244"/>
      <c r="V20" s="244"/>
      <c r="W20" s="244"/>
      <c r="X20" s="244"/>
      <c r="Y20" s="244"/>
      <c r="Z20" s="244"/>
      <c r="AA20" s="244"/>
      <c r="AB20" s="244"/>
      <c r="AC20" s="244"/>
      <c r="AD20" s="244"/>
      <c r="AE20" s="244"/>
      <c r="AF20" s="1350">
        <v>2</v>
      </c>
      <c r="AG20" s="1352" t="s">
        <v>1055</v>
      </c>
      <c r="AH20" s="1352" t="s">
        <v>1056</v>
      </c>
      <c r="AI20" s="1350">
        <v>2</v>
      </c>
      <c r="AJ20" s="1352" t="s">
        <v>1055</v>
      </c>
      <c r="AK20" s="1352" t="s">
        <v>1056</v>
      </c>
      <c r="AL20" s="772"/>
      <c r="AM20"/>
      <c r="AN20"/>
      <c r="AO20"/>
      <c r="AP20"/>
      <c r="AQ20"/>
      <c r="AR20"/>
      <c r="AS20"/>
      <c r="AT20"/>
      <c r="AU20"/>
      <c r="AV20"/>
      <c r="AW20"/>
      <c r="AX20"/>
      <c r="AY20"/>
      <c r="AZ20"/>
      <c r="BA20"/>
      <c r="BB20"/>
      <c r="BC20"/>
      <c r="BD20"/>
      <c r="BE20"/>
      <c r="BF20"/>
      <c r="BG20"/>
    </row>
    <row r="21" spans="1:59" ht="11.25" customHeight="1">
      <c r="A21" t="s">
        <v>1019</v>
      </c>
      <c r="B21"/>
      <c r="C21"/>
      <c r="D21"/>
      <c r="E21" s="557"/>
      <c r="F21" s="1339"/>
      <c r="G21" s="1340"/>
      <c r="H21" s="1335" t="s">
        <v>384</v>
      </c>
      <c r="I21" s="1347"/>
      <c r="J21" s="1348"/>
      <c r="K21" s="1349"/>
      <c r="L21" s="1079"/>
      <c r="M21" s="1080"/>
      <c r="N21" s="1355"/>
      <c r="O21" s="1356">
        <v>1</v>
      </c>
      <c r="P21" s="1357" t="s">
        <v>19</v>
      </c>
      <c r="Q21" s="1360" t="s">
        <v>22</v>
      </c>
      <c r="R21" s="1360" t="s">
        <v>22</v>
      </c>
      <c r="S21" s="1360" t="s">
        <v>22</v>
      </c>
      <c r="T21" s="1360" t="s">
        <v>22</v>
      </c>
      <c r="U21" s="1360" t="s">
        <v>22</v>
      </c>
      <c r="V21" s="1360" t="s">
        <v>22</v>
      </c>
      <c r="W21" s="1360" t="s">
        <v>22</v>
      </c>
      <c r="X21" s="1360" t="s">
        <v>22</v>
      </c>
      <c r="Y21" s="1360" t="s">
        <v>22</v>
      </c>
      <c r="Z21" s="229"/>
      <c r="AA21" s="230"/>
      <c r="AB21" s="230"/>
      <c r="AC21" s="231"/>
      <c r="AD21" s="231"/>
      <c r="AE21" s="245"/>
      <c r="AF21" s="1350"/>
      <c r="AG21" s="1352"/>
      <c r="AH21" s="1352"/>
      <c r="AI21" s="1350"/>
      <c r="AJ21" s="1352"/>
      <c r="AK21" s="1352"/>
      <c r="AL21" s="772"/>
      <c r="AM21"/>
      <c r="AN21"/>
      <c r="AO21"/>
      <c r="AP21"/>
      <c r="AQ21"/>
      <c r="AR21"/>
      <c r="AS21"/>
      <c r="AT21"/>
      <c r="AU21"/>
      <c r="AV21"/>
      <c r="AW21"/>
      <c r="AX21"/>
      <c r="AY21"/>
      <c r="AZ21"/>
      <c r="BA21"/>
      <c r="BB21"/>
      <c r="BC21"/>
      <c r="BD21"/>
      <c r="BE21"/>
      <c r="BF21"/>
      <c r="BG21"/>
    </row>
    <row r="22" spans="1:59" ht="11.25" customHeight="1">
      <c r="A22" t="s">
        <v>1019</v>
      </c>
      <c r="B22"/>
      <c r="C22"/>
      <c r="D22"/>
      <c r="E22" s="557"/>
      <c r="F22" s="1339"/>
      <c r="G22" s="1340"/>
      <c r="H22" s="1335" t="s">
        <v>384</v>
      </c>
      <c r="I22" s="1347"/>
      <c r="J22" s="1348"/>
      <c r="K22" s="1349"/>
      <c r="L22" s="1079"/>
      <c r="M22" s="1080"/>
      <c r="N22" s="1355"/>
      <c r="O22" s="1356"/>
      <c r="P22" s="1358"/>
      <c r="Q22" s="1348"/>
      <c r="R22" s="1308"/>
      <c r="S22" s="1361"/>
      <c r="T22" s="1308"/>
      <c r="U22" s="1308"/>
      <c r="V22" s="1308"/>
      <c r="W22" s="1308"/>
      <c r="X22" s="1308"/>
      <c r="Y22" s="1308"/>
      <c r="Z22"/>
      <c r="AA22" s="778">
        <v>1</v>
      </c>
      <c r="AB22" s="779" t="s">
        <v>1057</v>
      </c>
      <c r="AC22" s="237">
        <v>72410.231331877905</v>
      </c>
      <c r="AD22" s="779" t="str">
        <f>AB22</f>
        <v xml:space="preserve">  Кредиты</v>
      </c>
      <c r="AE22" s="237">
        <f>AC22</f>
        <v>72410.231331877905</v>
      </c>
      <c r="AF22" s="1350"/>
      <c r="AG22" s="1352"/>
      <c r="AH22" s="1352"/>
      <c r="AI22" s="1350"/>
      <c r="AJ22" s="1352"/>
      <c r="AK22" s="1352"/>
      <c r="AL22" s="772"/>
      <c r="AM22"/>
      <c r="AN22"/>
      <c r="AO22"/>
      <c r="AP22"/>
      <c r="AQ22"/>
      <c r="AR22"/>
      <c r="AS22"/>
      <c r="AT22"/>
      <c r="AU22"/>
      <c r="AV22"/>
      <c r="AW22"/>
      <c r="AX22"/>
      <c r="AY22"/>
      <c r="AZ22"/>
      <c r="BA22"/>
      <c r="BB22"/>
      <c r="BC22"/>
      <c r="BD22"/>
      <c r="BE22"/>
      <c r="BF22"/>
      <c r="BG22"/>
    </row>
    <row r="23" spans="1:59" ht="11.25" customHeight="1">
      <c r="A23" t="s">
        <v>1019</v>
      </c>
      <c r="B23"/>
      <c r="C23"/>
      <c r="D23"/>
      <c r="E23" s="557"/>
      <c r="F23" s="1340"/>
      <c r="G23" s="1340"/>
      <c r="H23" s="1340"/>
      <c r="I23" s="1340"/>
      <c r="J23" s="1340"/>
      <c r="K23" s="1340"/>
      <c r="L23" s="1340"/>
      <c r="M23" s="1340"/>
      <c r="N23" s="1340"/>
      <c r="O23" s="1340"/>
      <c r="P23" s="1340"/>
      <c r="Q23" s="1340"/>
      <c r="R23" s="1340"/>
      <c r="S23" s="1340"/>
      <c r="T23" s="1340"/>
      <c r="U23" s="1340"/>
      <c r="V23" s="1340"/>
      <c r="W23" s="1340"/>
      <c r="X23" s="1340"/>
      <c r="Y23" s="1340"/>
      <c r="Z23" s="181" t="s">
        <v>103</v>
      </c>
      <c r="AA23" s="780" t="s">
        <v>102</v>
      </c>
      <c r="AB23" s="779" t="s">
        <v>1058</v>
      </c>
      <c r="AC23" s="237">
        <v>68902.263638122095</v>
      </c>
      <c r="AD23" s="779" t="str">
        <f>AB23</f>
        <v xml:space="preserve">  Лизинг</v>
      </c>
      <c r="AE23" s="237">
        <f>AC23</f>
        <v>68902.263638122095</v>
      </c>
      <c r="AF23" s="1351"/>
      <c r="AG23" s="1353"/>
      <c r="AH23" s="1353"/>
      <c r="AI23" s="1351"/>
      <c r="AJ23" s="1353"/>
      <c r="AK23" s="1354"/>
      <c r="AL23" s="772"/>
      <c r="AM23"/>
      <c r="AN23"/>
      <c r="AO23"/>
      <c r="AP23"/>
      <c r="AQ23"/>
      <c r="AR23"/>
      <c r="AS23"/>
      <c r="AT23"/>
      <c r="AU23"/>
      <c r="AV23"/>
      <c r="AW23"/>
      <c r="AX23"/>
      <c r="AY23"/>
      <c r="AZ23"/>
      <c r="BA23"/>
      <c r="BB23"/>
      <c r="BC23"/>
      <c r="BD23"/>
      <c r="BE23"/>
      <c r="BF23"/>
      <c r="BG23"/>
    </row>
    <row r="24" spans="1:59" ht="11.25" customHeight="1">
      <c r="A24" t="s">
        <v>1019</v>
      </c>
      <c r="B24"/>
      <c r="C24"/>
      <c r="D24"/>
      <c r="E24" s="557"/>
      <c r="F24" s="1339"/>
      <c r="G24" s="1340"/>
      <c r="H24" s="1335" t="s">
        <v>384</v>
      </c>
      <c r="I24" s="1347"/>
      <c r="J24" s="1348"/>
      <c r="K24" s="1349"/>
      <c r="L24" s="1079"/>
      <c r="M24" s="1080"/>
      <c r="N24" s="1355"/>
      <c r="O24" s="1356"/>
      <c r="P24" s="1359"/>
      <c r="Q24" s="1348"/>
      <c r="R24" s="1308"/>
      <c r="S24" s="1361"/>
      <c r="T24" s="1308"/>
      <c r="U24" s="1308"/>
      <c r="V24" s="1308"/>
      <c r="W24" s="1308"/>
      <c r="X24" s="1308"/>
      <c r="Y24" s="1308"/>
      <c r="Z24" s="229"/>
      <c r="AA24" s="230"/>
      <c r="AB24" s="44" t="s">
        <v>1059</v>
      </c>
      <c r="AC24" s="231"/>
      <c r="AD24" s="231"/>
      <c r="AE24" s="246"/>
      <c r="AF24" s="1350"/>
      <c r="AG24" s="1352"/>
      <c r="AH24" s="1352"/>
      <c r="AI24" s="1350"/>
      <c r="AJ24" s="1352"/>
      <c r="AK24" s="1352"/>
      <c r="AL24" s="772"/>
      <c r="AM24"/>
      <c r="AN24"/>
      <c r="AO24"/>
      <c r="AP24"/>
      <c r="AQ24"/>
      <c r="AR24"/>
      <c r="AS24"/>
      <c r="AT24"/>
      <c r="AU24"/>
      <c r="AV24"/>
      <c r="AW24"/>
      <c r="AX24"/>
      <c r="AY24"/>
      <c r="AZ24"/>
      <c r="BA24"/>
      <c r="BB24"/>
      <c r="BC24"/>
      <c r="BD24"/>
      <c r="BE24"/>
      <c r="BF24"/>
      <c r="BG24"/>
    </row>
    <row r="25" spans="1:59" ht="11.25" customHeight="1">
      <c r="A25" t="s">
        <v>1019</v>
      </c>
      <c r="B25"/>
      <c r="C25"/>
      <c r="D25"/>
      <c r="E25" s="557"/>
      <c r="F25" s="1339"/>
      <c r="G25" s="1340"/>
      <c r="H25" s="1335" t="s">
        <v>384</v>
      </c>
      <c r="I25" s="1347"/>
      <c r="J25" s="1348"/>
      <c r="K25" s="1349"/>
      <c r="L25" s="1079"/>
      <c r="M25" s="1080"/>
      <c r="N25" s="229"/>
      <c r="O25" s="230"/>
      <c r="P25" s="44" t="s">
        <v>1060</v>
      </c>
      <c r="Q25" s="230"/>
      <c r="R25" s="230"/>
      <c r="S25" s="230"/>
      <c r="T25" s="230"/>
      <c r="U25" s="230"/>
      <c r="V25" s="230"/>
      <c r="W25" s="230"/>
      <c r="X25" s="230"/>
      <c r="Y25" s="230"/>
      <c r="Z25" s="230"/>
      <c r="AA25" s="230"/>
      <c r="AB25" s="230"/>
      <c r="AC25" s="230"/>
      <c r="AD25" s="230"/>
      <c r="AE25" s="247"/>
      <c r="AF25" s="1350"/>
      <c r="AG25" s="1352"/>
      <c r="AH25" s="1352"/>
      <c r="AI25" s="1350"/>
      <c r="AJ25" s="1352"/>
      <c r="AK25" s="1352"/>
      <c r="AL25" s="772"/>
      <c r="AM25"/>
      <c r="AN25"/>
      <c r="AO25"/>
      <c r="AP25"/>
      <c r="AQ25"/>
      <c r="AR25"/>
      <c r="AS25"/>
      <c r="AT25"/>
      <c r="AU25"/>
      <c r="AV25"/>
      <c r="AW25"/>
      <c r="AX25"/>
      <c r="AY25"/>
      <c r="AZ25"/>
      <c r="BA25"/>
      <c r="BB25"/>
      <c r="BC25"/>
      <c r="BD25"/>
      <c r="BE25"/>
      <c r="BF25"/>
      <c r="BG25"/>
    </row>
    <row r="26" spans="1:59" ht="11.25" customHeight="1">
      <c r="A26" t="s">
        <v>1019</v>
      </c>
      <c r="B26" t="s">
        <v>22</v>
      </c>
      <c r="C26"/>
      <c r="D26"/>
      <c r="E26" s="557"/>
      <c r="F26" s="1339"/>
      <c r="G26" s="1325" t="s">
        <v>103</v>
      </c>
      <c r="H26" s="1335" t="s">
        <v>102</v>
      </c>
      <c r="I26" s="1347" t="s">
        <v>1061</v>
      </c>
      <c r="J26" s="1360" t="s">
        <v>22</v>
      </c>
      <c r="K26" s="1349" t="s">
        <v>1062</v>
      </c>
      <c r="L26" s="1079" t="s">
        <v>19</v>
      </c>
      <c r="M26" s="1080"/>
      <c r="N26" s="242"/>
      <c r="O26" s="243" t="s">
        <v>384</v>
      </c>
      <c r="P26" s="244"/>
      <c r="Q26" s="244"/>
      <c r="R26" s="244"/>
      <c r="S26" s="244"/>
      <c r="T26" s="244"/>
      <c r="U26" s="244"/>
      <c r="V26" s="244"/>
      <c r="W26" s="244"/>
      <c r="X26" s="244"/>
      <c r="Y26" s="244"/>
      <c r="Z26" s="244"/>
      <c r="AA26" s="244"/>
      <c r="AB26" s="244"/>
      <c r="AC26" s="244"/>
      <c r="AD26" s="244"/>
      <c r="AE26" s="244"/>
      <c r="AF26" s="1350">
        <v>3</v>
      </c>
      <c r="AG26" s="1352" t="s">
        <v>1055</v>
      </c>
      <c r="AH26" s="1352" t="s">
        <v>1063</v>
      </c>
      <c r="AI26" s="1350">
        <v>3</v>
      </c>
      <c r="AJ26" s="1352" t="s">
        <v>1055</v>
      </c>
      <c r="AK26" s="1352" t="s">
        <v>1063</v>
      </c>
      <c r="AL26" s="772"/>
      <c r="AM26"/>
      <c r="AN26"/>
      <c r="AO26"/>
      <c r="AP26"/>
      <c r="AQ26"/>
      <c r="AR26"/>
      <c r="AS26"/>
      <c r="AT26"/>
      <c r="AU26"/>
      <c r="AV26"/>
      <c r="AW26"/>
      <c r="AX26"/>
      <c r="AY26"/>
      <c r="AZ26"/>
      <c r="BA26"/>
      <c r="BB26"/>
      <c r="BC26"/>
      <c r="BD26"/>
      <c r="BE26"/>
      <c r="BF26"/>
      <c r="BG26"/>
    </row>
    <row r="27" spans="1:59" ht="11.25" customHeight="1">
      <c r="A27" t="s">
        <v>1019</v>
      </c>
      <c r="B27"/>
      <c r="C27"/>
      <c r="D27"/>
      <c r="E27" s="557"/>
      <c r="F27" s="1339"/>
      <c r="G27" s="1340"/>
      <c r="H27" s="1335" t="s">
        <v>114</v>
      </c>
      <c r="I27" s="1347"/>
      <c r="J27" s="1360"/>
      <c r="K27" s="1349"/>
      <c r="L27" s="1079"/>
      <c r="M27" s="1080"/>
      <c r="N27" s="1355"/>
      <c r="O27" s="1356">
        <v>1</v>
      </c>
      <c r="P27" s="1357" t="s">
        <v>61</v>
      </c>
      <c r="Q27" s="1348" t="s">
        <v>1064</v>
      </c>
      <c r="R27" s="1362" t="s">
        <v>1065</v>
      </c>
      <c r="S27" s="1362" t="s">
        <v>99</v>
      </c>
      <c r="T27" s="1362" t="s">
        <v>99</v>
      </c>
      <c r="U27" s="1362" t="s">
        <v>100</v>
      </c>
      <c r="V27" s="1362" t="s">
        <v>1066</v>
      </c>
      <c r="W27" s="1362" t="s">
        <v>1067</v>
      </c>
      <c r="X27" s="1362" t="s">
        <v>1068</v>
      </c>
      <c r="Y27" s="1362" t="s">
        <v>1069</v>
      </c>
      <c r="Z27" s="229"/>
      <c r="AA27" s="230"/>
      <c r="AB27" s="230"/>
      <c r="AC27" s="231"/>
      <c r="AD27" s="231"/>
      <c r="AE27" s="245"/>
      <c r="AF27" s="1350"/>
      <c r="AG27" s="1352"/>
      <c r="AH27" s="1352"/>
      <c r="AI27" s="1350"/>
      <c r="AJ27" s="1352"/>
      <c r="AK27" s="1352"/>
      <c r="AL27" s="772"/>
      <c r="AM27"/>
      <c r="AN27"/>
      <c r="AO27"/>
      <c r="AP27"/>
      <c r="AQ27"/>
      <c r="AR27"/>
      <c r="AS27"/>
      <c r="AT27"/>
      <c r="AU27"/>
      <c r="AV27"/>
      <c r="AW27"/>
      <c r="AX27"/>
      <c r="AY27"/>
      <c r="AZ27"/>
      <c r="BA27"/>
      <c r="BB27"/>
      <c r="BC27"/>
      <c r="BD27"/>
      <c r="BE27"/>
      <c r="BF27"/>
      <c r="BG27"/>
    </row>
    <row r="28" spans="1:59" ht="11.25" customHeight="1">
      <c r="A28" t="s">
        <v>1019</v>
      </c>
      <c r="B28"/>
      <c r="C28"/>
      <c r="D28"/>
      <c r="E28" s="557"/>
      <c r="F28" s="1339"/>
      <c r="G28" s="1340"/>
      <c r="H28" s="1335" t="s">
        <v>114</v>
      </c>
      <c r="I28" s="1347"/>
      <c r="J28" s="1360"/>
      <c r="K28" s="1349"/>
      <c r="L28" s="1079"/>
      <c r="M28" s="1080"/>
      <c r="N28" s="1355"/>
      <c r="O28" s="1356"/>
      <c r="P28" s="1358"/>
      <c r="Q28" s="1348"/>
      <c r="R28" s="1308"/>
      <c r="S28" s="1361"/>
      <c r="T28" s="1308"/>
      <c r="U28" s="1308"/>
      <c r="V28" s="1308"/>
      <c r="W28" s="1308"/>
      <c r="X28" s="1308"/>
      <c r="Y28" s="1308"/>
      <c r="Z28"/>
      <c r="AA28" s="778">
        <v>1</v>
      </c>
      <c r="AB28" s="779" t="s">
        <v>1057</v>
      </c>
      <c r="AC28" s="237">
        <v>34210.068668122098</v>
      </c>
      <c r="AD28" s="779" t="str">
        <f>AB28</f>
        <v xml:space="preserve">  Кредиты</v>
      </c>
      <c r="AE28" s="237">
        <f>AC28</f>
        <v>34210.068668122098</v>
      </c>
      <c r="AF28" s="1350"/>
      <c r="AG28" s="1352"/>
      <c r="AH28" s="1352"/>
      <c r="AI28" s="1350"/>
      <c r="AJ28" s="1352"/>
      <c r="AK28" s="1352"/>
      <c r="AL28" s="772"/>
      <c r="AM28"/>
      <c r="AN28"/>
      <c r="AO28"/>
      <c r="AP28"/>
      <c r="AQ28"/>
      <c r="AR28"/>
      <c r="AS28"/>
      <c r="AT28"/>
      <c r="AU28"/>
      <c r="AV28"/>
      <c r="AW28"/>
      <c r="AX28"/>
      <c r="AY28"/>
      <c r="AZ28"/>
      <c r="BA28"/>
      <c r="BB28"/>
      <c r="BC28"/>
      <c r="BD28"/>
      <c r="BE28"/>
      <c r="BF28"/>
      <c r="BG28"/>
    </row>
    <row r="29" spans="1:59" ht="11.25" customHeight="1">
      <c r="A29" t="s">
        <v>1019</v>
      </c>
      <c r="B29"/>
      <c r="C29"/>
      <c r="D29"/>
      <c r="E29" s="557"/>
      <c r="F29" s="1340"/>
      <c r="G29" s="1340"/>
      <c r="H29" s="1340"/>
      <c r="I29" s="1340"/>
      <c r="J29" s="1340"/>
      <c r="K29" s="1340"/>
      <c r="L29" s="1340"/>
      <c r="M29" s="1340"/>
      <c r="N29" s="1340"/>
      <c r="O29" s="1340"/>
      <c r="P29" s="1340"/>
      <c r="Q29" s="1340"/>
      <c r="R29" s="1340"/>
      <c r="S29" s="1340"/>
      <c r="T29" s="1340"/>
      <c r="U29" s="1340"/>
      <c r="V29" s="1340"/>
      <c r="W29" s="1340"/>
      <c r="X29" s="1340"/>
      <c r="Y29" s="1340"/>
      <c r="Z29" s="181" t="s">
        <v>103</v>
      </c>
      <c r="AA29" s="780" t="s">
        <v>102</v>
      </c>
      <c r="AB29" s="779" t="s">
        <v>1058</v>
      </c>
      <c r="AC29" s="237">
        <v>32552.736361877902</v>
      </c>
      <c r="AD29" s="779" t="str">
        <f>AB29</f>
        <v xml:space="preserve">  Лизинг</v>
      </c>
      <c r="AE29" s="237">
        <f>AC29</f>
        <v>32552.736361877902</v>
      </c>
      <c r="AF29" s="1351"/>
      <c r="AG29" s="1353"/>
      <c r="AH29" s="1353"/>
      <c r="AI29" s="1351"/>
      <c r="AJ29" s="1353"/>
      <c r="AK29" s="1354"/>
      <c r="AL29" s="772"/>
      <c r="AM29"/>
      <c r="AN29"/>
      <c r="AO29"/>
      <c r="AP29"/>
      <c r="AQ29"/>
      <c r="AR29"/>
      <c r="AS29"/>
      <c r="AT29"/>
      <c r="AU29"/>
      <c r="AV29"/>
      <c r="AW29"/>
      <c r="AX29"/>
      <c r="AY29"/>
      <c r="AZ29"/>
      <c r="BA29"/>
      <c r="BB29"/>
      <c r="BC29"/>
      <c r="BD29"/>
      <c r="BE29"/>
      <c r="BF29"/>
      <c r="BG29"/>
    </row>
    <row r="30" spans="1:59" ht="11.25" customHeight="1">
      <c r="A30" t="s">
        <v>1019</v>
      </c>
      <c r="B30"/>
      <c r="C30"/>
      <c r="D30"/>
      <c r="E30" s="557"/>
      <c r="F30" s="1339"/>
      <c r="G30" s="1340"/>
      <c r="H30" s="1335" t="s">
        <v>114</v>
      </c>
      <c r="I30" s="1347"/>
      <c r="J30" s="1360"/>
      <c r="K30" s="1349"/>
      <c r="L30" s="1079"/>
      <c r="M30" s="1080"/>
      <c r="N30" s="1355"/>
      <c r="O30" s="1356"/>
      <c r="P30" s="1359"/>
      <c r="Q30" s="1348"/>
      <c r="R30" s="1308"/>
      <c r="S30" s="1361"/>
      <c r="T30" s="1308"/>
      <c r="U30" s="1308"/>
      <c r="V30" s="1308"/>
      <c r="W30" s="1308"/>
      <c r="X30" s="1308"/>
      <c r="Y30" s="1308"/>
      <c r="Z30" s="229"/>
      <c r="AA30" s="230"/>
      <c r="AB30" s="44" t="s">
        <v>1059</v>
      </c>
      <c r="AC30" s="231"/>
      <c r="AD30" s="231"/>
      <c r="AE30" s="246"/>
      <c r="AF30" s="1350"/>
      <c r="AG30" s="1352"/>
      <c r="AH30" s="1352"/>
      <c r="AI30" s="1350"/>
      <c r="AJ30" s="1352"/>
      <c r="AK30" s="1352"/>
      <c r="AL30" s="772"/>
      <c r="AM30"/>
      <c r="AN30"/>
      <c r="AO30"/>
      <c r="AP30"/>
      <c r="AQ30"/>
      <c r="AR30"/>
      <c r="AS30"/>
      <c r="AT30"/>
      <c r="AU30"/>
      <c r="AV30"/>
      <c r="AW30"/>
      <c r="AX30"/>
      <c r="AY30"/>
      <c r="AZ30"/>
      <c r="BA30"/>
      <c r="BB30"/>
      <c r="BC30"/>
      <c r="BD30"/>
      <c r="BE30"/>
      <c r="BF30"/>
      <c r="BG30"/>
    </row>
    <row r="31" spans="1:59" ht="11.25" customHeight="1">
      <c r="A31" t="s">
        <v>1019</v>
      </c>
      <c r="B31"/>
      <c r="C31"/>
      <c r="D31"/>
      <c r="E31" s="557"/>
      <c r="F31" s="1339"/>
      <c r="G31" s="1340"/>
      <c r="H31" s="1335" t="s">
        <v>114</v>
      </c>
      <c r="I31" s="1347"/>
      <c r="J31" s="1360"/>
      <c r="K31" s="1349"/>
      <c r="L31" s="1079"/>
      <c r="M31" s="1080"/>
      <c r="N31" s="229"/>
      <c r="O31" s="230"/>
      <c r="P31" s="44" t="s">
        <v>1060</v>
      </c>
      <c r="Q31" s="230"/>
      <c r="R31" s="230"/>
      <c r="S31" s="230"/>
      <c r="T31" s="230"/>
      <c r="U31" s="230"/>
      <c r="V31" s="230"/>
      <c r="W31" s="230"/>
      <c r="X31" s="230"/>
      <c r="Y31" s="230"/>
      <c r="Z31" s="230"/>
      <c r="AA31" s="230"/>
      <c r="AB31" s="230"/>
      <c r="AC31" s="230"/>
      <c r="AD31" s="230"/>
      <c r="AE31" s="247"/>
      <c r="AF31" s="1350"/>
      <c r="AG31" s="1352"/>
      <c r="AH31" s="1352"/>
      <c r="AI31" s="1350"/>
      <c r="AJ31" s="1352"/>
      <c r="AK31" s="1352"/>
      <c r="AL31" s="772"/>
      <c r="AM31"/>
      <c r="AN31"/>
      <c r="AO31"/>
      <c r="AP31"/>
      <c r="AQ31"/>
      <c r="AR31"/>
      <c r="AS31"/>
      <c r="AT31"/>
      <c r="AU31"/>
      <c r="AV31"/>
      <c r="AW31"/>
      <c r="AX31"/>
      <c r="AY31"/>
      <c r="AZ31"/>
      <c r="BA31"/>
      <c r="BB31"/>
      <c r="BC31"/>
      <c r="BD31"/>
      <c r="BE31"/>
      <c r="BF31"/>
      <c r="BG31"/>
    </row>
    <row r="32" spans="1:59" ht="12" customHeight="1">
      <c r="A32" t="s">
        <v>1019</v>
      </c>
      <c r="B32"/>
      <c r="C32"/>
      <c r="D32"/>
      <c r="E32" s="557"/>
      <c r="F32" s="1341"/>
      <c r="G32" s="775"/>
      <c r="H32" s="775"/>
      <c r="I32" s="1337" t="s">
        <v>1070</v>
      </c>
      <c r="J32" s="1337"/>
      <c r="K32" s="1337"/>
      <c r="L32" s="776"/>
      <c r="M32" s="776"/>
      <c r="N32" s="777"/>
      <c r="O32" s="777"/>
      <c r="P32" s="777"/>
      <c r="Q32" s="777"/>
      <c r="R32" s="777"/>
      <c r="S32" s="777"/>
      <c r="T32" s="777"/>
      <c r="U32" s="777"/>
      <c r="V32" s="777"/>
      <c r="W32" s="777"/>
      <c r="X32" s="777"/>
      <c r="Y32" s="777"/>
      <c r="Z32" s="777"/>
      <c r="AA32" s="777"/>
      <c r="AB32" s="777"/>
      <c r="AC32" s="777"/>
      <c r="AD32" s="777"/>
      <c r="AE32" s="777"/>
      <c r="AF32" s="777"/>
      <c r="AG32" s="776"/>
      <c r="AH32" s="776"/>
      <c r="AI32" s="777"/>
      <c r="AJ32" s="776"/>
      <c r="AK32" s="777"/>
      <c r="AL32" s="772"/>
      <c r="AM32"/>
      <c r="AN32"/>
      <c r="AO32"/>
      <c r="AP32"/>
      <c r="AQ32"/>
      <c r="AR32"/>
      <c r="AS32"/>
      <c r="AT32"/>
      <c r="AU32"/>
      <c r="AV32"/>
      <c r="AW32"/>
      <c r="AX32"/>
      <c r="AY32"/>
      <c r="AZ32"/>
      <c r="BA32"/>
      <c r="BB32"/>
      <c r="BC32"/>
      <c r="BD32"/>
      <c r="BE32"/>
      <c r="BF32"/>
      <c r="BG32"/>
    </row>
    <row r="33" spans="1:59" ht="0.75" customHeight="1">
      <c r="A33" t="s">
        <v>1019</v>
      </c>
      <c r="B33"/>
      <c r="C33"/>
      <c r="D33"/>
      <c r="E33" s="557"/>
      <c r="F33" s="1338">
        <v>2015</v>
      </c>
      <c r="G33" s="1335"/>
      <c r="H33" s="1343" t="s">
        <v>384</v>
      </c>
      <c r="I33" s="1344"/>
      <c r="J33" s="1334"/>
      <c r="K33" s="1334"/>
      <c r="L33" s="1336"/>
      <c r="M33" s="1190"/>
      <c r="N33" s="214"/>
      <c r="O33" s="215"/>
      <c r="P33" s="214"/>
      <c r="Q33" s="214"/>
      <c r="R33" s="214"/>
      <c r="S33" s="214"/>
      <c r="T33" s="214"/>
      <c r="U33" s="214"/>
      <c r="V33" s="214"/>
      <c r="W33" s="214"/>
      <c r="X33" s="214"/>
      <c r="Y33" s="214"/>
      <c r="Z33" s="214"/>
      <c r="AA33" s="214"/>
      <c r="AB33" s="214"/>
      <c r="AC33" s="214"/>
      <c r="AD33" s="214"/>
      <c r="AE33" s="214"/>
      <c r="AF33" s="1342"/>
      <c r="AG33" s="1336"/>
      <c r="AH33" s="1336"/>
      <c r="AI33" s="1342"/>
      <c r="AJ33" s="1336"/>
      <c r="AK33" s="1336"/>
      <c r="AL33" s="772"/>
      <c r="AM33"/>
      <c r="AN33"/>
      <c r="AO33"/>
      <c r="AP33"/>
      <c r="AQ33"/>
      <c r="AR33"/>
      <c r="AS33"/>
      <c r="AT33"/>
      <c r="AU33"/>
      <c r="AV33"/>
      <c r="AW33"/>
      <c r="AX33"/>
      <c r="AY33"/>
      <c r="AZ33"/>
      <c r="BA33"/>
      <c r="BB33"/>
      <c r="BC33"/>
      <c r="BD33"/>
      <c r="BE33"/>
      <c r="BF33"/>
      <c r="BG33"/>
    </row>
    <row r="34" spans="1:59" ht="0.75" customHeight="1">
      <c r="A34" t="s">
        <v>1019</v>
      </c>
      <c r="B34"/>
      <c r="C34"/>
      <c r="D34"/>
      <c r="E34" s="557"/>
      <c r="F34" s="1338"/>
      <c r="G34" s="1335"/>
      <c r="H34" s="1343"/>
      <c r="I34" s="1344"/>
      <c r="J34" s="1334"/>
      <c r="K34" s="1334"/>
      <c r="L34" s="1336"/>
      <c r="M34" s="1190"/>
      <c r="N34" s="1345"/>
      <c r="O34" s="1346"/>
      <c r="P34" s="1331"/>
      <c r="Q34" s="1334"/>
      <c r="R34" s="1334"/>
      <c r="S34" s="1334"/>
      <c r="T34" s="1334"/>
      <c r="U34" s="1334"/>
      <c r="V34" s="1334"/>
      <c r="W34" s="1334"/>
      <c r="X34" s="1334"/>
      <c r="Y34" s="1334"/>
      <c r="Z34" s="216"/>
      <c r="AA34" s="217"/>
      <c r="AB34" s="217"/>
      <c r="AC34" s="218"/>
      <c r="AD34" s="218"/>
      <c r="AE34" s="219"/>
      <c r="AF34" s="1342"/>
      <c r="AG34" s="1336"/>
      <c r="AH34" s="1336"/>
      <c r="AI34" s="1342"/>
      <c r="AJ34" s="1336"/>
      <c r="AK34" s="1336"/>
      <c r="AL34" s="772"/>
      <c r="AM34"/>
      <c r="AN34"/>
      <c r="AO34"/>
      <c r="AP34"/>
      <c r="AQ34"/>
      <c r="AR34"/>
      <c r="AS34"/>
      <c r="AT34"/>
      <c r="AU34"/>
      <c r="AV34"/>
      <c r="AW34"/>
      <c r="AX34"/>
      <c r="AY34"/>
      <c r="AZ34"/>
      <c r="BA34"/>
      <c r="BB34"/>
      <c r="BC34"/>
      <c r="BD34"/>
      <c r="BE34"/>
      <c r="BF34"/>
      <c r="BG34"/>
    </row>
    <row r="35" spans="1:59" ht="0.75" customHeight="1">
      <c r="A35" t="s">
        <v>1019</v>
      </c>
      <c r="B35"/>
      <c r="C35"/>
      <c r="D35"/>
      <c r="E35" s="557"/>
      <c r="F35" s="1338"/>
      <c r="G35" s="1335"/>
      <c r="H35" s="1343"/>
      <c r="I35" s="1344"/>
      <c r="J35" s="1334"/>
      <c r="K35" s="1334"/>
      <c r="L35" s="1336"/>
      <c r="M35" s="1190"/>
      <c r="N35" s="1345"/>
      <c r="O35" s="1346"/>
      <c r="P35" s="1332"/>
      <c r="Q35" s="1334"/>
      <c r="R35" s="1334"/>
      <c r="S35" s="1334"/>
      <c r="T35" s="1334"/>
      <c r="U35" s="1334"/>
      <c r="V35" s="1334"/>
      <c r="W35" s="1334"/>
      <c r="X35" s="1334"/>
      <c r="Y35" s="1334"/>
      <c r="Z35"/>
      <c r="AA35" s="773"/>
      <c r="AB35" s="774"/>
      <c r="AC35" s="220"/>
      <c r="AD35" s="774"/>
      <c r="AE35" s="220"/>
      <c r="AF35" s="1342"/>
      <c r="AG35" s="1336"/>
      <c r="AH35" s="1336"/>
      <c r="AI35" s="1342"/>
      <c r="AJ35" s="1336"/>
      <c r="AK35" s="1336"/>
      <c r="AL35" s="772"/>
      <c r="AM35"/>
      <c r="AN35"/>
      <c r="AO35"/>
      <c r="AP35"/>
      <c r="AQ35"/>
      <c r="AR35"/>
      <c r="AS35"/>
      <c r="AT35"/>
      <c r="AU35"/>
      <c r="AV35"/>
      <c r="AW35"/>
      <c r="AX35"/>
      <c r="AY35"/>
      <c r="AZ35"/>
      <c r="BA35"/>
      <c r="BB35"/>
      <c r="BC35"/>
      <c r="BD35"/>
      <c r="BE35"/>
      <c r="BF35"/>
      <c r="BG35"/>
    </row>
    <row r="36" spans="1:59" ht="0.75" customHeight="1">
      <c r="A36" t="s">
        <v>1019</v>
      </c>
      <c r="B36"/>
      <c r="C36"/>
      <c r="D36"/>
      <c r="E36" s="557"/>
      <c r="F36" s="1338"/>
      <c r="G36" s="1335"/>
      <c r="H36" s="1343"/>
      <c r="I36" s="1344"/>
      <c r="J36" s="1334"/>
      <c r="K36" s="1334"/>
      <c r="L36" s="1336"/>
      <c r="M36" s="1190"/>
      <c r="N36" s="1345"/>
      <c r="O36" s="1346"/>
      <c r="P36" s="1333"/>
      <c r="Q36" s="1334"/>
      <c r="R36" s="1334"/>
      <c r="S36" s="1334"/>
      <c r="T36" s="1334"/>
      <c r="U36" s="1334"/>
      <c r="V36" s="1334"/>
      <c r="W36" s="1334"/>
      <c r="X36" s="1334"/>
      <c r="Y36" s="1334"/>
      <c r="Z36" s="216"/>
      <c r="AA36" s="217"/>
      <c r="AB36" s="221"/>
      <c r="AC36" s="218"/>
      <c r="AD36" s="218"/>
      <c r="AE36" s="222"/>
      <c r="AF36" s="1342"/>
      <c r="AG36" s="1336"/>
      <c r="AH36" s="1336"/>
      <c r="AI36" s="1342"/>
      <c r="AJ36" s="1336"/>
      <c r="AK36" s="1336"/>
      <c r="AL36" s="772"/>
      <c r="AM36"/>
      <c r="AN36"/>
      <c r="AO36"/>
      <c r="AP36"/>
      <c r="AQ36"/>
      <c r="AR36"/>
      <c r="AS36"/>
      <c r="AT36"/>
      <c r="AU36"/>
      <c r="AV36"/>
      <c r="AW36"/>
      <c r="AX36"/>
      <c r="AY36"/>
      <c r="AZ36"/>
      <c r="BA36"/>
      <c r="BB36"/>
      <c r="BC36"/>
      <c r="BD36"/>
      <c r="BE36"/>
      <c r="BF36"/>
      <c r="BG36"/>
    </row>
    <row r="37" spans="1:59" ht="0.75" customHeight="1">
      <c r="A37" t="s">
        <v>1019</v>
      </c>
      <c r="B37"/>
      <c r="C37"/>
      <c r="D37"/>
      <c r="E37" s="557"/>
      <c r="F37" s="1338"/>
      <c r="G37" s="1335"/>
      <c r="H37" s="1343"/>
      <c r="I37" s="1344"/>
      <c r="J37" s="1334"/>
      <c r="K37" s="1334"/>
      <c r="L37" s="1336"/>
      <c r="M37" s="1190"/>
      <c r="N37" s="217"/>
      <c r="O37" s="217"/>
      <c r="P37" s="221"/>
      <c r="Q37" s="217"/>
      <c r="R37" s="217"/>
      <c r="S37" s="217"/>
      <c r="T37" s="217"/>
      <c r="U37" s="217"/>
      <c r="V37" s="217"/>
      <c r="W37" s="217"/>
      <c r="X37" s="217"/>
      <c r="Y37" s="217"/>
      <c r="Z37" s="217"/>
      <c r="AA37" s="217"/>
      <c r="AB37" s="217"/>
      <c r="AC37" s="217"/>
      <c r="AD37" s="217"/>
      <c r="AE37" s="223"/>
      <c r="AF37" s="1342"/>
      <c r="AG37" s="1336"/>
      <c r="AH37" s="1336"/>
      <c r="AI37" s="1342"/>
      <c r="AJ37" s="1336"/>
      <c r="AK37" s="1336"/>
      <c r="AL37" s="772"/>
      <c r="AM37"/>
      <c r="AN37"/>
      <c r="AO37"/>
      <c r="AP37"/>
      <c r="AQ37"/>
      <c r="AR37"/>
      <c r="AS37"/>
      <c r="AT37"/>
      <c r="AU37"/>
      <c r="AV37"/>
      <c r="AW37"/>
      <c r="AX37"/>
      <c r="AY37"/>
      <c r="AZ37"/>
      <c r="BA37"/>
      <c r="BB37"/>
      <c r="BC37"/>
      <c r="BD37"/>
      <c r="BE37"/>
      <c r="BF37"/>
      <c r="BG37"/>
    </row>
    <row r="38" spans="1:59" ht="11.25" customHeight="1">
      <c r="A38" t="s">
        <v>1019</v>
      </c>
      <c r="B38" t="s">
        <v>22</v>
      </c>
      <c r="C38"/>
      <c r="D38"/>
      <c r="E38" s="557"/>
      <c r="F38" s="1339"/>
      <c r="G38" s="1325" t="s">
        <v>103</v>
      </c>
      <c r="H38" s="1335" t="s">
        <v>114</v>
      </c>
      <c r="I38" s="1347" t="s">
        <v>1071</v>
      </c>
      <c r="J38" s="1360" t="s">
        <v>22</v>
      </c>
      <c r="K38" s="1349" t="s">
        <v>1072</v>
      </c>
      <c r="L38" s="1079" t="s">
        <v>19</v>
      </c>
      <c r="M38" s="1080"/>
      <c r="N38" s="242"/>
      <c r="O38" s="243" t="s">
        <v>384</v>
      </c>
      <c r="P38" s="244"/>
      <c r="Q38" s="244"/>
      <c r="R38" s="244"/>
      <c r="S38" s="244"/>
      <c r="T38" s="244"/>
      <c r="U38" s="244"/>
      <c r="V38" s="244"/>
      <c r="W38" s="244"/>
      <c r="X38" s="244"/>
      <c r="Y38" s="244"/>
      <c r="Z38" s="244"/>
      <c r="AA38" s="244"/>
      <c r="AB38" s="244"/>
      <c r="AC38" s="244"/>
      <c r="AD38" s="244"/>
      <c r="AE38" s="244"/>
      <c r="AF38" s="1350">
        <v>5</v>
      </c>
      <c r="AG38" s="1352" t="s">
        <v>1055</v>
      </c>
      <c r="AH38" s="1352" t="s">
        <v>1073</v>
      </c>
      <c r="AI38" s="1350">
        <v>5</v>
      </c>
      <c r="AJ38" s="1352" t="s">
        <v>1055</v>
      </c>
      <c r="AK38" s="1352" t="s">
        <v>1073</v>
      </c>
      <c r="AL38" s="772"/>
      <c r="AM38"/>
      <c r="AN38"/>
      <c r="AO38"/>
      <c r="AP38"/>
      <c r="AQ38"/>
      <c r="AR38"/>
      <c r="AS38"/>
      <c r="AT38"/>
      <c r="AU38"/>
      <c r="AV38"/>
      <c r="AW38"/>
      <c r="AX38"/>
      <c r="AY38"/>
      <c r="AZ38"/>
      <c r="BA38"/>
      <c r="BB38"/>
      <c r="BC38"/>
      <c r="BD38"/>
      <c r="BE38"/>
      <c r="BF38"/>
      <c r="BG38"/>
    </row>
    <row r="39" spans="1:59" ht="11.25" customHeight="1">
      <c r="A39" t="s">
        <v>1019</v>
      </c>
      <c r="B39"/>
      <c r="C39"/>
      <c r="D39"/>
      <c r="E39" s="557"/>
      <c r="F39" s="1339"/>
      <c r="G39" s="1340"/>
      <c r="H39" s="1335" t="s">
        <v>384</v>
      </c>
      <c r="I39" s="1347"/>
      <c r="J39" s="1360"/>
      <c r="K39" s="1349"/>
      <c r="L39" s="1079"/>
      <c r="M39" s="1080"/>
      <c r="N39" s="1355"/>
      <c r="O39" s="1356">
        <v>1</v>
      </c>
      <c r="P39" s="1357" t="s">
        <v>61</v>
      </c>
      <c r="Q39" s="1348" t="s">
        <v>1074</v>
      </c>
      <c r="R39" s="1362" t="s">
        <v>1075</v>
      </c>
      <c r="S39" s="1362" t="s">
        <v>99</v>
      </c>
      <c r="T39" s="1362" t="s">
        <v>99</v>
      </c>
      <c r="U39" s="1362" t="s">
        <v>100</v>
      </c>
      <c r="V39" s="1362" t="s">
        <v>1066</v>
      </c>
      <c r="W39" s="1362" t="s">
        <v>1067</v>
      </c>
      <c r="X39" s="1362" t="s">
        <v>1076</v>
      </c>
      <c r="Y39" s="1362" t="s">
        <v>1077</v>
      </c>
      <c r="Z39" s="229"/>
      <c r="AA39" s="230"/>
      <c r="AB39" s="230"/>
      <c r="AC39" s="231"/>
      <c r="AD39" s="231"/>
      <c r="AE39" s="245"/>
      <c r="AF39" s="1350"/>
      <c r="AG39" s="1352"/>
      <c r="AH39" s="1352"/>
      <c r="AI39" s="1350"/>
      <c r="AJ39" s="1352"/>
      <c r="AK39" s="1352"/>
      <c r="AL39" s="772"/>
      <c r="AM39"/>
      <c r="AN39"/>
      <c r="AO39"/>
      <c r="AP39"/>
      <c r="AQ39"/>
      <c r="AR39"/>
      <c r="AS39"/>
      <c r="AT39"/>
      <c r="AU39"/>
      <c r="AV39"/>
      <c r="AW39"/>
      <c r="AX39"/>
      <c r="AY39"/>
      <c r="AZ39"/>
      <c r="BA39"/>
      <c r="BB39"/>
      <c r="BC39"/>
      <c r="BD39"/>
      <c r="BE39"/>
      <c r="BF39"/>
      <c r="BG39"/>
    </row>
    <row r="40" spans="1:59" ht="11.25" customHeight="1">
      <c r="A40" t="s">
        <v>1019</v>
      </c>
      <c r="B40"/>
      <c r="C40"/>
      <c r="D40"/>
      <c r="E40" s="557"/>
      <c r="F40" s="1339"/>
      <c r="G40" s="1340"/>
      <c r="H40" s="1335" t="s">
        <v>384</v>
      </c>
      <c r="I40" s="1347"/>
      <c r="J40" s="1360"/>
      <c r="K40" s="1349"/>
      <c r="L40" s="1079"/>
      <c r="M40" s="1080"/>
      <c r="N40" s="1355"/>
      <c r="O40" s="1356"/>
      <c r="P40" s="1358"/>
      <c r="Q40" s="1348"/>
      <c r="R40" s="1308"/>
      <c r="S40" s="1361"/>
      <c r="T40" s="1308"/>
      <c r="U40" s="1308"/>
      <c r="V40" s="1308"/>
      <c r="W40" s="1308"/>
      <c r="X40" s="1308"/>
      <c r="Y40" s="1308"/>
      <c r="Z40"/>
      <c r="AA40" s="778">
        <v>1</v>
      </c>
      <c r="AB40" s="779" t="s">
        <v>1057</v>
      </c>
      <c r="AC40" s="237">
        <v>5.9191322590149698</v>
      </c>
      <c r="AD40" s="779" t="str">
        <f>AB40</f>
        <v xml:space="preserve">  Кредиты</v>
      </c>
      <c r="AE40" s="237">
        <f>AC40</f>
        <v>5.9191322590149698</v>
      </c>
      <c r="AF40" s="1350"/>
      <c r="AG40" s="1352"/>
      <c r="AH40" s="1352"/>
      <c r="AI40" s="1350"/>
      <c r="AJ40" s="1352"/>
      <c r="AK40" s="1352"/>
      <c r="AL40" s="772"/>
      <c r="AM40"/>
      <c r="AN40"/>
      <c r="AO40"/>
      <c r="AP40"/>
      <c r="AQ40"/>
      <c r="AR40"/>
      <c r="AS40"/>
      <c r="AT40"/>
      <c r="AU40"/>
      <c r="AV40"/>
      <c r="AW40"/>
      <c r="AX40"/>
      <c r="AY40"/>
      <c r="AZ40"/>
      <c r="BA40"/>
      <c r="BB40"/>
      <c r="BC40"/>
      <c r="BD40"/>
      <c r="BE40"/>
      <c r="BF40"/>
      <c r="BG40"/>
    </row>
    <row r="41" spans="1:59" ht="11.25" customHeight="1">
      <c r="A41" t="s">
        <v>1019</v>
      </c>
      <c r="B41"/>
      <c r="C41"/>
      <c r="D41"/>
      <c r="E41" s="557"/>
      <c r="F41" s="1340"/>
      <c r="G41" s="1340"/>
      <c r="H41" s="1340"/>
      <c r="I41" s="1340"/>
      <c r="J41" s="1340"/>
      <c r="K41" s="1340"/>
      <c r="L41" s="1340"/>
      <c r="M41" s="1340"/>
      <c r="N41" s="1340"/>
      <c r="O41" s="1340"/>
      <c r="P41" s="1340"/>
      <c r="Q41" s="1340"/>
      <c r="R41" s="1340"/>
      <c r="S41" s="1340"/>
      <c r="T41" s="1340"/>
      <c r="U41" s="1340"/>
      <c r="V41" s="1340"/>
      <c r="W41" s="1340"/>
      <c r="X41" s="1340"/>
      <c r="Y41" s="1340"/>
      <c r="Z41" s="181" t="s">
        <v>103</v>
      </c>
      <c r="AA41" s="780" t="s">
        <v>102</v>
      </c>
      <c r="AB41" s="779" t="s">
        <v>1058</v>
      </c>
      <c r="AC41" s="237">
        <v>2.0391877409850299</v>
      </c>
      <c r="AD41" s="779" t="str">
        <f>AB41</f>
        <v xml:space="preserve">  Лизинг</v>
      </c>
      <c r="AE41" s="237">
        <f>AC41</f>
        <v>2.0391877409850299</v>
      </c>
      <c r="AF41" s="1351"/>
      <c r="AG41" s="1353"/>
      <c r="AH41" s="1353"/>
      <c r="AI41" s="1351"/>
      <c r="AJ41" s="1353"/>
      <c r="AK41" s="1354"/>
      <c r="AL41" s="772"/>
      <c r="AM41"/>
      <c r="AN41"/>
      <c r="AO41"/>
      <c r="AP41"/>
      <c r="AQ41"/>
      <c r="AR41"/>
      <c r="AS41"/>
      <c r="AT41"/>
      <c r="AU41"/>
      <c r="AV41"/>
      <c r="AW41"/>
      <c r="AX41"/>
      <c r="AY41"/>
      <c r="AZ41"/>
      <c r="BA41"/>
      <c r="BB41"/>
      <c r="BC41"/>
      <c r="BD41"/>
      <c r="BE41"/>
      <c r="BF41"/>
      <c r="BG41"/>
    </row>
    <row r="42" spans="1:59" ht="11.25" customHeight="1">
      <c r="A42" t="s">
        <v>1019</v>
      </c>
      <c r="B42"/>
      <c r="C42"/>
      <c r="D42"/>
      <c r="E42" s="557"/>
      <c r="F42" s="1339"/>
      <c r="G42" s="1340"/>
      <c r="H42" s="1335" t="s">
        <v>384</v>
      </c>
      <c r="I42" s="1347"/>
      <c r="J42" s="1360"/>
      <c r="K42" s="1349"/>
      <c r="L42" s="1079"/>
      <c r="M42" s="1080"/>
      <c r="N42" s="1355"/>
      <c r="O42" s="1356"/>
      <c r="P42" s="1359"/>
      <c r="Q42" s="1348"/>
      <c r="R42" s="1308"/>
      <c r="S42" s="1361"/>
      <c r="T42" s="1308"/>
      <c r="U42" s="1308"/>
      <c r="V42" s="1308"/>
      <c r="W42" s="1308"/>
      <c r="X42" s="1308"/>
      <c r="Y42" s="1308"/>
      <c r="Z42" s="229"/>
      <c r="AA42" s="230"/>
      <c r="AB42" s="44" t="s">
        <v>1059</v>
      </c>
      <c r="AC42" s="231"/>
      <c r="AD42" s="231"/>
      <c r="AE42" s="246"/>
      <c r="AF42" s="1350"/>
      <c r="AG42" s="1352"/>
      <c r="AH42" s="1352"/>
      <c r="AI42" s="1350"/>
      <c r="AJ42" s="1352"/>
      <c r="AK42" s="1352"/>
      <c r="AL42" s="772"/>
      <c r="AM42"/>
      <c r="AN42"/>
      <c r="AO42"/>
      <c r="AP42"/>
      <c r="AQ42"/>
      <c r="AR42"/>
      <c r="AS42"/>
      <c r="AT42"/>
      <c r="AU42"/>
      <c r="AV42"/>
      <c r="AW42"/>
      <c r="AX42"/>
      <c r="AY42"/>
      <c r="AZ42"/>
      <c r="BA42"/>
      <c r="BB42"/>
      <c r="BC42"/>
      <c r="BD42"/>
      <c r="BE42"/>
      <c r="BF42"/>
      <c r="BG42"/>
    </row>
    <row r="43" spans="1:59" ht="11.25" customHeight="1">
      <c r="A43" t="s">
        <v>1019</v>
      </c>
      <c r="B43"/>
      <c r="C43"/>
      <c r="D43"/>
      <c r="E43" s="557"/>
      <c r="F43" s="1339"/>
      <c r="G43" s="1340"/>
      <c r="H43" s="1335" t="s">
        <v>384</v>
      </c>
      <c r="I43" s="1347"/>
      <c r="J43" s="1360"/>
      <c r="K43" s="1349"/>
      <c r="L43" s="1079"/>
      <c r="M43" s="1080"/>
      <c r="N43" s="229"/>
      <c r="O43" s="230"/>
      <c r="P43" s="44" t="s">
        <v>1060</v>
      </c>
      <c r="Q43" s="230"/>
      <c r="R43" s="230"/>
      <c r="S43" s="230"/>
      <c r="T43" s="230"/>
      <c r="U43" s="230"/>
      <c r="V43" s="230"/>
      <c r="W43" s="230"/>
      <c r="X43" s="230"/>
      <c r="Y43" s="230"/>
      <c r="Z43" s="230"/>
      <c r="AA43" s="230"/>
      <c r="AB43" s="230"/>
      <c r="AC43" s="230"/>
      <c r="AD43" s="230"/>
      <c r="AE43" s="247"/>
      <c r="AF43" s="1350"/>
      <c r="AG43" s="1352"/>
      <c r="AH43" s="1352"/>
      <c r="AI43" s="1350"/>
      <c r="AJ43" s="1352"/>
      <c r="AK43" s="1352"/>
      <c r="AL43" s="772"/>
      <c r="AM43"/>
      <c r="AN43"/>
      <c r="AO43"/>
      <c r="AP43"/>
      <c r="AQ43"/>
      <c r="AR43"/>
      <c r="AS43"/>
      <c r="AT43"/>
      <c r="AU43"/>
      <c r="AV43"/>
      <c r="AW43"/>
      <c r="AX43"/>
      <c r="AY43"/>
      <c r="AZ43"/>
      <c r="BA43"/>
      <c r="BB43"/>
      <c r="BC43"/>
      <c r="BD43"/>
      <c r="BE43"/>
      <c r="BF43"/>
      <c r="BG43"/>
    </row>
    <row r="44" spans="1:59" ht="11.25" customHeight="1">
      <c r="A44" t="s">
        <v>1019</v>
      </c>
      <c r="B44" t="s">
        <v>1051</v>
      </c>
      <c r="C44"/>
      <c r="D44"/>
      <c r="E44" s="557"/>
      <c r="F44" s="1339"/>
      <c r="G44" s="1325" t="s">
        <v>103</v>
      </c>
      <c r="H44" s="1335" t="s">
        <v>102</v>
      </c>
      <c r="I44" s="1347" t="s">
        <v>1052</v>
      </c>
      <c r="J44" s="1363" t="s">
        <v>1053</v>
      </c>
      <c r="K44" s="1349" t="s">
        <v>1078</v>
      </c>
      <c r="L44" s="1079" t="s">
        <v>61</v>
      </c>
      <c r="M44" s="1364" t="s">
        <v>1018</v>
      </c>
      <c r="N44" s="242"/>
      <c r="O44" s="243" t="s">
        <v>384</v>
      </c>
      <c r="P44" s="244"/>
      <c r="Q44" s="244"/>
      <c r="R44" s="244"/>
      <c r="S44" s="244"/>
      <c r="T44" s="244"/>
      <c r="U44" s="244"/>
      <c r="V44" s="244"/>
      <c r="W44" s="244"/>
      <c r="X44" s="244"/>
      <c r="Y44" s="244"/>
      <c r="Z44" s="244"/>
      <c r="AA44" s="244"/>
      <c r="AB44" s="244"/>
      <c r="AC44" s="244"/>
      <c r="AD44" s="244"/>
      <c r="AE44" s="244"/>
      <c r="AF44" s="1350">
        <v>10</v>
      </c>
      <c r="AG44" s="1352" t="s">
        <v>1055</v>
      </c>
      <c r="AH44" s="1352" t="s">
        <v>1079</v>
      </c>
      <c r="AI44" s="1350">
        <v>10</v>
      </c>
      <c r="AJ44" s="1352" t="s">
        <v>1055</v>
      </c>
      <c r="AK44" s="1352" t="s">
        <v>1079</v>
      </c>
      <c r="AL44" s="772"/>
      <c r="AM44"/>
      <c r="AN44"/>
      <c r="AO44"/>
      <c r="AP44"/>
      <c r="AQ44"/>
      <c r="AR44"/>
      <c r="AS44"/>
      <c r="AT44"/>
      <c r="AU44"/>
      <c r="AV44"/>
      <c r="AW44"/>
      <c r="AX44"/>
      <c r="AY44"/>
      <c r="AZ44"/>
      <c r="BA44"/>
      <c r="BB44"/>
      <c r="BC44"/>
      <c r="BD44"/>
      <c r="BE44"/>
      <c r="BF44"/>
      <c r="BG44"/>
    </row>
    <row r="45" spans="1:59" ht="11.25" customHeight="1">
      <c r="A45" t="s">
        <v>1019</v>
      </c>
      <c r="B45"/>
      <c r="C45"/>
      <c r="D45"/>
      <c r="E45" s="557"/>
      <c r="F45" s="1339"/>
      <c r="G45" s="1340"/>
      <c r="H45" s="1335" t="s">
        <v>114</v>
      </c>
      <c r="I45" s="1347"/>
      <c r="J45" s="1363"/>
      <c r="K45" s="1349"/>
      <c r="L45" s="1079"/>
      <c r="M45" s="1364"/>
      <c r="N45" s="1355"/>
      <c r="O45" s="1356">
        <v>1</v>
      </c>
      <c r="P45" s="1357" t="s">
        <v>19</v>
      </c>
      <c r="Q45" s="1308" t="s">
        <v>22</v>
      </c>
      <c r="R45" s="1308" t="s">
        <v>22</v>
      </c>
      <c r="S45" s="1308" t="s">
        <v>22</v>
      </c>
      <c r="T45" s="1308" t="s">
        <v>22</v>
      </c>
      <c r="U45" s="1308" t="s">
        <v>22</v>
      </c>
      <c r="V45" s="1308" t="s">
        <v>22</v>
      </c>
      <c r="W45" s="1308" t="s">
        <v>22</v>
      </c>
      <c r="X45" s="1308" t="s">
        <v>22</v>
      </c>
      <c r="Y45" s="1308"/>
      <c r="Z45" s="229"/>
      <c r="AA45" s="230"/>
      <c r="AB45" s="230"/>
      <c r="AC45" s="231"/>
      <c r="AD45" s="231"/>
      <c r="AE45" s="245"/>
      <c r="AF45" s="1350"/>
      <c r="AG45" s="1352"/>
      <c r="AH45" s="1352"/>
      <c r="AI45" s="1350"/>
      <c r="AJ45" s="1352"/>
      <c r="AK45" s="1352"/>
      <c r="AL45" s="772"/>
      <c r="AM45"/>
      <c r="AN45"/>
      <c r="AO45"/>
      <c r="AP45"/>
      <c r="AQ45"/>
      <c r="AR45"/>
      <c r="AS45"/>
      <c r="AT45"/>
      <c r="AU45"/>
      <c r="AV45"/>
      <c r="AW45"/>
      <c r="AX45"/>
      <c r="AY45"/>
      <c r="AZ45"/>
      <c r="BA45"/>
      <c r="BB45"/>
      <c r="BC45"/>
      <c r="BD45"/>
      <c r="BE45"/>
      <c r="BF45"/>
      <c r="BG45"/>
    </row>
    <row r="46" spans="1:59" ht="11.25" customHeight="1">
      <c r="A46" t="s">
        <v>1019</v>
      </c>
      <c r="B46"/>
      <c r="C46"/>
      <c r="D46"/>
      <c r="E46" s="557"/>
      <c r="F46" s="1339"/>
      <c r="G46" s="1340"/>
      <c r="H46" s="1335" t="s">
        <v>114</v>
      </c>
      <c r="I46" s="1347"/>
      <c r="J46" s="1363"/>
      <c r="K46" s="1349"/>
      <c r="L46" s="1079"/>
      <c r="M46" s="1364"/>
      <c r="N46" s="1355"/>
      <c r="O46" s="1356"/>
      <c r="P46" s="1358"/>
      <c r="Q46" s="1308"/>
      <c r="R46" s="1308"/>
      <c r="S46" s="1361"/>
      <c r="T46" s="1308"/>
      <c r="U46" s="1308"/>
      <c r="V46" s="1308"/>
      <c r="W46" s="1308"/>
      <c r="X46" s="1308"/>
      <c r="Y46" s="1308"/>
      <c r="Z46"/>
      <c r="AA46" s="778">
        <v>1</v>
      </c>
      <c r="AB46" s="779" t="s">
        <v>1057</v>
      </c>
      <c r="AC46" s="237">
        <v>806.33889273535601</v>
      </c>
      <c r="AD46" s="779" t="str">
        <f>AB46</f>
        <v xml:space="preserve">  Кредиты</v>
      </c>
      <c r="AE46" s="237">
        <f>AC46</f>
        <v>806.33889273535601</v>
      </c>
      <c r="AF46" s="1350"/>
      <c r="AG46" s="1352"/>
      <c r="AH46" s="1352"/>
      <c r="AI46" s="1350"/>
      <c r="AJ46" s="1352"/>
      <c r="AK46" s="1352"/>
      <c r="AL46" s="772"/>
      <c r="AM46"/>
      <c r="AN46"/>
      <c r="AO46"/>
      <c r="AP46"/>
      <c r="AQ46"/>
      <c r="AR46"/>
      <c r="AS46"/>
      <c r="AT46"/>
      <c r="AU46"/>
      <c r="AV46"/>
      <c r="AW46"/>
      <c r="AX46"/>
      <c r="AY46"/>
      <c r="AZ46"/>
      <c r="BA46"/>
      <c r="BB46"/>
      <c r="BC46"/>
      <c r="BD46"/>
      <c r="BE46"/>
      <c r="BF46"/>
      <c r="BG46"/>
    </row>
    <row r="47" spans="1:59" ht="11.25" customHeight="1">
      <c r="A47" t="s">
        <v>1019</v>
      </c>
      <c r="B47"/>
      <c r="C47"/>
      <c r="D47"/>
      <c r="E47" s="557"/>
      <c r="F47" s="1340"/>
      <c r="G47" s="1340"/>
      <c r="H47" s="1340"/>
      <c r="I47" s="1340"/>
      <c r="J47" s="1340"/>
      <c r="K47" s="1340"/>
      <c r="L47" s="1340"/>
      <c r="M47" s="1365"/>
      <c r="N47" s="1340"/>
      <c r="O47" s="1340"/>
      <c r="P47" s="1340"/>
      <c r="Q47" s="1340"/>
      <c r="R47" s="1340"/>
      <c r="S47" s="1340"/>
      <c r="T47" s="1340"/>
      <c r="U47" s="1340"/>
      <c r="V47" s="1340"/>
      <c r="W47" s="1340"/>
      <c r="X47" s="1340"/>
      <c r="Y47" s="1340"/>
      <c r="Z47" s="181" t="s">
        <v>103</v>
      </c>
      <c r="AA47" s="780" t="s">
        <v>102</v>
      </c>
      <c r="AB47" s="779" t="s">
        <v>1058</v>
      </c>
      <c r="AC47" s="237">
        <v>277.79010726464401</v>
      </c>
      <c r="AD47" s="779" t="str">
        <f>AB47</f>
        <v xml:space="preserve">  Лизинг</v>
      </c>
      <c r="AE47" s="237">
        <f>AC47</f>
        <v>277.79010726464401</v>
      </c>
      <c r="AF47" s="1351"/>
      <c r="AG47" s="1353"/>
      <c r="AH47" s="1353"/>
      <c r="AI47" s="1351"/>
      <c r="AJ47" s="1353"/>
      <c r="AK47" s="1354"/>
      <c r="AL47" s="772"/>
      <c r="AM47"/>
      <c r="AN47"/>
      <c r="AO47"/>
      <c r="AP47"/>
      <c r="AQ47"/>
      <c r="AR47"/>
      <c r="AS47"/>
      <c r="AT47"/>
      <c r="AU47"/>
      <c r="AV47"/>
      <c r="AW47"/>
      <c r="AX47"/>
      <c r="AY47"/>
      <c r="AZ47"/>
      <c r="BA47"/>
      <c r="BB47"/>
      <c r="BC47"/>
      <c r="BD47"/>
      <c r="BE47"/>
      <c r="BF47"/>
      <c r="BG47"/>
    </row>
    <row r="48" spans="1:59" ht="11.25" customHeight="1">
      <c r="A48" t="s">
        <v>1019</v>
      </c>
      <c r="B48"/>
      <c r="C48"/>
      <c r="D48"/>
      <c r="E48" s="557"/>
      <c r="F48" s="1339"/>
      <c r="G48" s="1340"/>
      <c r="H48" s="1335" t="s">
        <v>114</v>
      </c>
      <c r="I48" s="1347"/>
      <c r="J48" s="1363"/>
      <c r="K48" s="1349"/>
      <c r="L48" s="1079"/>
      <c r="M48" s="1364"/>
      <c r="N48" s="1355"/>
      <c r="O48" s="1356"/>
      <c r="P48" s="1359"/>
      <c r="Q48" s="1308"/>
      <c r="R48" s="1308"/>
      <c r="S48" s="1361"/>
      <c r="T48" s="1308"/>
      <c r="U48" s="1308"/>
      <c r="V48" s="1308"/>
      <c r="W48" s="1308"/>
      <c r="X48" s="1308"/>
      <c r="Y48" s="1308"/>
      <c r="Z48" s="229"/>
      <c r="AA48" s="230"/>
      <c r="AB48" s="44" t="s">
        <v>1059</v>
      </c>
      <c r="AC48" s="231"/>
      <c r="AD48" s="231"/>
      <c r="AE48" s="246"/>
      <c r="AF48" s="1350"/>
      <c r="AG48" s="1352"/>
      <c r="AH48" s="1352"/>
      <c r="AI48" s="1350"/>
      <c r="AJ48" s="1352"/>
      <c r="AK48" s="1352"/>
      <c r="AL48" s="772"/>
      <c r="AM48"/>
      <c r="AN48"/>
      <c r="AO48"/>
      <c r="AP48"/>
      <c r="AQ48"/>
      <c r="AR48"/>
      <c r="AS48"/>
      <c r="AT48"/>
      <c r="AU48"/>
      <c r="AV48"/>
      <c r="AW48"/>
      <c r="AX48"/>
      <c r="AY48"/>
      <c r="AZ48"/>
      <c r="BA48"/>
      <c r="BB48"/>
      <c r="BC48"/>
      <c r="BD48"/>
      <c r="BE48"/>
      <c r="BF48"/>
      <c r="BG48"/>
    </row>
    <row r="49" spans="1:59" ht="11.25" customHeight="1">
      <c r="A49" t="s">
        <v>1019</v>
      </c>
      <c r="B49"/>
      <c r="C49"/>
      <c r="D49"/>
      <c r="E49" s="557"/>
      <c r="F49" s="1339"/>
      <c r="G49" s="1340"/>
      <c r="H49" s="1335" t="s">
        <v>114</v>
      </c>
      <c r="I49" s="1347"/>
      <c r="J49" s="1363"/>
      <c r="K49" s="1349"/>
      <c r="L49" s="1079"/>
      <c r="M49" s="1364"/>
      <c r="N49" s="229"/>
      <c r="O49" s="230"/>
      <c r="P49" s="44" t="s">
        <v>1060</v>
      </c>
      <c r="Q49" s="230"/>
      <c r="R49" s="230"/>
      <c r="S49" s="230"/>
      <c r="T49" s="230"/>
      <c r="U49" s="230"/>
      <c r="V49" s="230"/>
      <c r="W49" s="230"/>
      <c r="X49" s="230"/>
      <c r="Y49" s="230"/>
      <c r="Z49" s="230"/>
      <c r="AA49" s="230"/>
      <c r="AB49" s="230"/>
      <c r="AC49" s="230"/>
      <c r="AD49" s="230"/>
      <c r="AE49" s="247"/>
      <c r="AF49" s="1350"/>
      <c r="AG49" s="1352"/>
      <c r="AH49" s="1352"/>
      <c r="AI49" s="1350"/>
      <c r="AJ49" s="1352"/>
      <c r="AK49" s="1352"/>
      <c r="AL49" s="772"/>
      <c r="AM49"/>
      <c r="AN49"/>
      <c r="AO49"/>
      <c r="AP49"/>
      <c r="AQ49"/>
      <c r="AR49"/>
      <c r="AS49"/>
      <c r="AT49"/>
      <c r="AU49"/>
      <c r="AV49"/>
      <c r="AW49"/>
      <c r="AX49"/>
      <c r="AY49"/>
      <c r="AZ49"/>
      <c r="BA49"/>
      <c r="BB49"/>
      <c r="BC49"/>
      <c r="BD49"/>
      <c r="BE49"/>
      <c r="BF49"/>
      <c r="BG49"/>
    </row>
    <row r="50" spans="1:59" ht="11.25" customHeight="1">
      <c r="A50" t="s">
        <v>1019</v>
      </c>
      <c r="B50" t="s">
        <v>1051</v>
      </c>
      <c r="C50"/>
      <c r="D50"/>
      <c r="E50" s="557"/>
      <c r="F50" s="1339"/>
      <c r="G50" s="1325" t="s">
        <v>103</v>
      </c>
      <c r="H50" s="1335" t="s">
        <v>89</v>
      </c>
      <c r="I50" s="1347" t="s">
        <v>1052</v>
      </c>
      <c r="J50" s="1363" t="s">
        <v>1053</v>
      </c>
      <c r="K50" s="1349" t="s">
        <v>1054</v>
      </c>
      <c r="L50" s="1079" t="s">
        <v>19</v>
      </c>
      <c r="M50" s="1080"/>
      <c r="N50" s="242"/>
      <c r="O50" s="243" t="s">
        <v>384</v>
      </c>
      <c r="P50" s="244"/>
      <c r="Q50" s="244"/>
      <c r="R50" s="244"/>
      <c r="S50" s="244"/>
      <c r="T50" s="244"/>
      <c r="U50" s="244"/>
      <c r="V50" s="244"/>
      <c r="W50" s="244"/>
      <c r="X50" s="244"/>
      <c r="Y50" s="244"/>
      <c r="Z50" s="244"/>
      <c r="AA50" s="244"/>
      <c r="AB50" s="244"/>
      <c r="AC50" s="244"/>
      <c r="AD50" s="244"/>
      <c r="AE50" s="244"/>
      <c r="AF50" s="1350">
        <v>1</v>
      </c>
      <c r="AG50" s="1352" t="s">
        <v>1055</v>
      </c>
      <c r="AH50" s="1352" t="s">
        <v>1056</v>
      </c>
      <c r="AI50" s="1350">
        <v>1</v>
      </c>
      <c r="AJ50" s="1352" t="s">
        <v>1055</v>
      </c>
      <c r="AK50" s="1352" t="s">
        <v>1056</v>
      </c>
      <c r="AL50" s="772"/>
      <c r="AM50"/>
      <c r="AN50"/>
      <c r="AO50"/>
      <c r="AP50"/>
      <c r="AQ50"/>
      <c r="AR50"/>
      <c r="AS50"/>
      <c r="AT50"/>
      <c r="AU50"/>
      <c r="AV50"/>
      <c r="AW50"/>
      <c r="AX50"/>
      <c r="AY50"/>
      <c r="AZ50"/>
      <c r="BA50"/>
      <c r="BB50"/>
      <c r="BC50"/>
      <c r="BD50"/>
      <c r="BE50"/>
      <c r="BF50"/>
      <c r="BG50"/>
    </row>
    <row r="51" spans="1:59" ht="11.25" customHeight="1">
      <c r="A51" t="s">
        <v>1019</v>
      </c>
      <c r="B51"/>
      <c r="C51"/>
      <c r="D51"/>
      <c r="E51" s="557"/>
      <c r="F51" s="1339"/>
      <c r="G51" s="1340"/>
      <c r="H51" s="1335" t="s">
        <v>102</v>
      </c>
      <c r="I51" s="1347"/>
      <c r="J51" s="1363"/>
      <c r="K51" s="1349"/>
      <c r="L51" s="1079"/>
      <c r="M51" s="1080"/>
      <c r="N51" s="1355"/>
      <c r="O51" s="1356">
        <v>1</v>
      </c>
      <c r="P51" s="1357" t="s">
        <v>19</v>
      </c>
      <c r="Q51" s="1308" t="s">
        <v>22</v>
      </c>
      <c r="R51" s="1308" t="s">
        <v>22</v>
      </c>
      <c r="S51" s="1308" t="s">
        <v>22</v>
      </c>
      <c r="T51" s="1308" t="s">
        <v>22</v>
      </c>
      <c r="U51" s="1308" t="s">
        <v>22</v>
      </c>
      <c r="V51" s="1308" t="s">
        <v>22</v>
      </c>
      <c r="W51" s="1308" t="s">
        <v>22</v>
      </c>
      <c r="X51" s="1308" t="s">
        <v>22</v>
      </c>
      <c r="Y51" s="1308"/>
      <c r="Z51" s="229"/>
      <c r="AA51" s="230"/>
      <c r="AB51" s="230"/>
      <c r="AC51" s="231"/>
      <c r="AD51" s="231"/>
      <c r="AE51" s="245"/>
      <c r="AF51" s="1350"/>
      <c r="AG51" s="1352"/>
      <c r="AH51" s="1352"/>
      <c r="AI51" s="1350"/>
      <c r="AJ51" s="1352"/>
      <c r="AK51" s="1352"/>
      <c r="AL51" s="772"/>
      <c r="AM51"/>
      <c r="AN51"/>
      <c r="AO51"/>
      <c r="AP51"/>
      <c r="AQ51"/>
      <c r="AR51"/>
      <c r="AS51"/>
      <c r="AT51"/>
      <c r="AU51"/>
      <c r="AV51"/>
      <c r="AW51"/>
      <c r="AX51"/>
      <c r="AY51"/>
      <c r="AZ51"/>
      <c r="BA51"/>
      <c r="BB51"/>
      <c r="BC51"/>
      <c r="BD51"/>
      <c r="BE51"/>
      <c r="BF51"/>
      <c r="BG51"/>
    </row>
    <row r="52" spans="1:59" ht="11.25" customHeight="1">
      <c r="A52" t="s">
        <v>1019</v>
      </c>
      <c r="B52"/>
      <c r="C52"/>
      <c r="D52"/>
      <c r="E52" s="557"/>
      <c r="F52" s="1339"/>
      <c r="G52" s="1340"/>
      <c r="H52" s="1335" t="s">
        <v>102</v>
      </c>
      <c r="I52" s="1347"/>
      <c r="J52" s="1363"/>
      <c r="K52" s="1349"/>
      <c r="L52" s="1079"/>
      <c r="M52" s="1080"/>
      <c r="N52" s="1355"/>
      <c r="O52" s="1356"/>
      <c r="P52" s="1358"/>
      <c r="Q52" s="1308"/>
      <c r="R52" s="1308"/>
      <c r="S52" s="1361"/>
      <c r="T52" s="1308"/>
      <c r="U52" s="1308"/>
      <c r="V52" s="1308"/>
      <c r="W52" s="1308"/>
      <c r="X52" s="1308"/>
      <c r="Y52" s="1308"/>
      <c r="Z52"/>
      <c r="AA52" s="778">
        <v>1</v>
      </c>
      <c r="AB52" s="779" t="s">
        <v>1057</v>
      </c>
      <c r="AC52" s="237">
        <v>21982.561719716799</v>
      </c>
      <c r="AD52" s="779" t="str">
        <f>AB52</f>
        <v xml:space="preserve">  Кредиты</v>
      </c>
      <c r="AE52" s="237">
        <f>AC52</f>
        <v>21982.561719716799</v>
      </c>
      <c r="AF52" s="1350"/>
      <c r="AG52" s="1352"/>
      <c r="AH52" s="1352"/>
      <c r="AI52" s="1350"/>
      <c r="AJ52" s="1352"/>
      <c r="AK52" s="1352"/>
      <c r="AL52" s="772"/>
      <c r="AM52"/>
      <c r="AN52"/>
      <c r="AO52"/>
      <c r="AP52"/>
      <c r="AQ52"/>
      <c r="AR52"/>
      <c r="AS52"/>
      <c r="AT52"/>
      <c r="AU52"/>
      <c r="AV52"/>
      <c r="AW52"/>
      <c r="AX52"/>
      <c r="AY52"/>
      <c r="AZ52"/>
      <c r="BA52"/>
      <c r="BB52"/>
      <c r="BC52"/>
      <c r="BD52"/>
      <c r="BE52"/>
      <c r="BF52"/>
      <c r="BG52"/>
    </row>
    <row r="53" spans="1:59" ht="11.25" customHeight="1">
      <c r="A53" t="s">
        <v>1019</v>
      </c>
      <c r="B53"/>
      <c r="C53"/>
      <c r="D53"/>
      <c r="E53" s="557"/>
      <c r="F53" s="1340"/>
      <c r="G53" s="1340"/>
      <c r="H53" s="1340"/>
      <c r="I53" s="1340"/>
      <c r="J53" s="1340"/>
      <c r="K53" s="1340"/>
      <c r="L53" s="1340"/>
      <c r="M53" s="1340"/>
      <c r="N53" s="1340"/>
      <c r="O53" s="1340"/>
      <c r="P53" s="1340"/>
      <c r="Q53" s="1340"/>
      <c r="R53" s="1340"/>
      <c r="S53" s="1340"/>
      <c r="T53" s="1340"/>
      <c r="U53" s="1340"/>
      <c r="V53" s="1340"/>
      <c r="W53" s="1340"/>
      <c r="X53" s="1340"/>
      <c r="Y53" s="1340"/>
      <c r="Z53" s="181" t="s">
        <v>103</v>
      </c>
      <c r="AA53" s="780" t="s">
        <v>102</v>
      </c>
      <c r="AB53" s="779" t="s">
        <v>1058</v>
      </c>
      <c r="AC53" s="237">
        <v>7573.1658649832398</v>
      </c>
      <c r="AD53" s="779" t="str">
        <f>AB53</f>
        <v xml:space="preserve">  Лизинг</v>
      </c>
      <c r="AE53" s="237">
        <f>AC53</f>
        <v>7573.1658649832398</v>
      </c>
      <c r="AF53" s="1351"/>
      <c r="AG53" s="1353"/>
      <c r="AH53" s="1353"/>
      <c r="AI53" s="1351"/>
      <c r="AJ53" s="1353"/>
      <c r="AK53" s="1354"/>
      <c r="AL53" s="772"/>
      <c r="AM53"/>
      <c r="AN53"/>
      <c r="AO53"/>
      <c r="AP53"/>
      <c r="AQ53"/>
      <c r="AR53"/>
      <c r="AS53"/>
      <c r="AT53"/>
      <c r="AU53"/>
      <c r="AV53"/>
      <c r="AW53"/>
      <c r="AX53"/>
      <c r="AY53"/>
      <c r="AZ53"/>
      <c r="BA53"/>
      <c r="BB53"/>
      <c r="BC53"/>
      <c r="BD53"/>
      <c r="BE53"/>
      <c r="BF53"/>
      <c r="BG53"/>
    </row>
    <row r="54" spans="1:59" ht="11.25" customHeight="1">
      <c r="A54" t="s">
        <v>1019</v>
      </c>
      <c r="B54"/>
      <c r="C54"/>
      <c r="D54"/>
      <c r="E54" s="557"/>
      <c r="F54" s="1339"/>
      <c r="G54" s="1340"/>
      <c r="H54" s="1335" t="s">
        <v>102</v>
      </c>
      <c r="I54" s="1347"/>
      <c r="J54" s="1363"/>
      <c r="K54" s="1349"/>
      <c r="L54" s="1079"/>
      <c r="M54" s="1080"/>
      <c r="N54" s="1355"/>
      <c r="O54" s="1356"/>
      <c r="P54" s="1359"/>
      <c r="Q54" s="1308"/>
      <c r="R54" s="1308"/>
      <c r="S54" s="1361"/>
      <c r="T54" s="1308"/>
      <c r="U54" s="1308"/>
      <c r="V54" s="1308"/>
      <c r="W54" s="1308"/>
      <c r="X54" s="1308"/>
      <c r="Y54" s="1308"/>
      <c r="Z54" s="229"/>
      <c r="AA54" s="230"/>
      <c r="AB54" s="44" t="s">
        <v>1059</v>
      </c>
      <c r="AC54" s="231"/>
      <c r="AD54" s="231"/>
      <c r="AE54" s="246"/>
      <c r="AF54" s="1350"/>
      <c r="AG54" s="1352"/>
      <c r="AH54" s="1352"/>
      <c r="AI54" s="1350"/>
      <c r="AJ54" s="1352"/>
      <c r="AK54" s="1352"/>
      <c r="AL54" s="772"/>
      <c r="AM54"/>
      <c r="AN54"/>
      <c r="AO54"/>
      <c r="AP54"/>
      <c r="AQ54"/>
      <c r="AR54"/>
      <c r="AS54"/>
      <c r="AT54"/>
      <c r="AU54"/>
      <c r="AV54"/>
      <c r="AW54"/>
      <c r="AX54"/>
      <c r="AY54"/>
      <c r="AZ54"/>
      <c r="BA54"/>
      <c r="BB54"/>
      <c r="BC54"/>
      <c r="BD54"/>
      <c r="BE54"/>
      <c r="BF54"/>
      <c r="BG54"/>
    </row>
    <row r="55" spans="1:59" ht="11.25" customHeight="1">
      <c r="A55" t="s">
        <v>1019</v>
      </c>
      <c r="B55"/>
      <c r="C55"/>
      <c r="D55"/>
      <c r="E55" s="557"/>
      <c r="F55" s="1339"/>
      <c r="G55" s="1340"/>
      <c r="H55" s="1335" t="s">
        <v>102</v>
      </c>
      <c r="I55" s="1347"/>
      <c r="J55" s="1363"/>
      <c r="K55" s="1349"/>
      <c r="L55" s="1079"/>
      <c r="M55" s="1080"/>
      <c r="N55" s="229"/>
      <c r="O55" s="230"/>
      <c r="P55" s="44" t="s">
        <v>1060</v>
      </c>
      <c r="Q55" s="230"/>
      <c r="R55" s="230"/>
      <c r="S55" s="230"/>
      <c r="T55" s="230"/>
      <c r="U55" s="230"/>
      <c r="V55" s="230"/>
      <c r="W55" s="230"/>
      <c r="X55" s="230"/>
      <c r="Y55" s="230"/>
      <c r="Z55" s="230"/>
      <c r="AA55" s="230"/>
      <c r="AB55" s="230"/>
      <c r="AC55" s="230"/>
      <c r="AD55" s="230"/>
      <c r="AE55" s="247"/>
      <c r="AF55" s="1350"/>
      <c r="AG55" s="1352"/>
      <c r="AH55" s="1352"/>
      <c r="AI55" s="1350"/>
      <c r="AJ55" s="1352"/>
      <c r="AK55" s="1352"/>
      <c r="AL55" s="772"/>
      <c r="AM55"/>
      <c r="AN55"/>
      <c r="AO55"/>
      <c r="AP55"/>
      <c r="AQ55"/>
      <c r="AR55"/>
      <c r="AS55"/>
      <c r="AT55"/>
      <c r="AU55"/>
      <c r="AV55"/>
      <c r="AW55"/>
      <c r="AX55"/>
      <c r="AY55"/>
      <c r="AZ55"/>
      <c r="BA55"/>
      <c r="BB55"/>
      <c r="BC55"/>
      <c r="BD55"/>
      <c r="BE55"/>
      <c r="BF55"/>
      <c r="BG55"/>
    </row>
    <row r="56" spans="1:59" ht="11.25" customHeight="1">
      <c r="A56" t="s">
        <v>1019</v>
      </c>
      <c r="B56" t="s">
        <v>1051</v>
      </c>
      <c r="C56"/>
      <c r="D56"/>
      <c r="E56" s="557"/>
      <c r="F56" s="1339"/>
      <c r="G56" s="1325" t="s">
        <v>103</v>
      </c>
      <c r="H56" s="1335" t="s">
        <v>90</v>
      </c>
      <c r="I56" s="1347" t="s">
        <v>1052</v>
      </c>
      <c r="J56" s="1363" t="s">
        <v>1053</v>
      </c>
      <c r="K56" s="1349" t="s">
        <v>1080</v>
      </c>
      <c r="L56" s="1079" t="s">
        <v>19</v>
      </c>
      <c r="M56" s="1080"/>
      <c r="N56" s="242"/>
      <c r="O56" s="243" t="s">
        <v>384</v>
      </c>
      <c r="P56" s="244"/>
      <c r="Q56" s="244"/>
      <c r="R56" s="244"/>
      <c r="S56" s="244"/>
      <c r="T56" s="244"/>
      <c r="U56" s="244"/>
      <c r="V56" s="244"/>
      <c r="W56" s="244"/>
      <c r="X56" s="244"/>
      <c r="Y56" s="244"/>
      <c r="Z56" s="244"/>
      <c r="AA56" s="244"/>
      <c r="AB56" s="244"/>
      <c r="AC56" s="244"/>
      <c r="AD56" s="244"/>
      <c r="AE56" s="244"/>
      <c r="AF56" s="1350">
        <v>3</v>
      </c>
      <c r="AG56" s="1352" t="s">
        <v>1055</v>
      </c>
      <c r="AH56" s="1352" t="s">
        <v>1081</v>
      </c>
      <c r="AI56" s="1350">
        <v>3</v>
      </c>
      <c r="AJ56" s="1352" t="s">
        <v>1055</v>
      </c>
      <c r="AK56" s="1352" t="s">
        <v>1081</v>
      </c>
      <c r="AL56" s="772"/>
      <c r="AM56"/>
      <c r="AN56"/>
      <c r="AO56"/>
      <c r="AP56"/>
      <c r="AQ56"/>
      <c r="AR56"/>
      <c r="AS56"/>
      <c r="AT56"/>
      <c r="AU56"/>
      <c r="AV56"/>
      <c r="AW56"/>
      <c r="AX56"/>
      <c r="AY56"/>
      <c r="AZ56"/>
      <c r="BA56"/>
      <c r="BB56"/>
      <c r="BC56"/>
      <c r="BD56"/>
      <c r="BE56"/>
      <c r="BF56"/>
      <c r="BG56"/>
    </row>
    <row r="57" spans="1:59" ht="11.25" customHeight="1">
      <c r="A57" t="s">
        <v>1019</v>
      </c>
      <c r="B57"/>
      <c r="C57"/>
      <c r="D57"/>
      <c r="E57" s="557"/>
      <c r="F57" s="1339"/>
      <c r="G57" s="1340"/>
      <c r="H57" s="1335" t="s">
        <v>89</v>
      </c>
      <c r="I57" s="1347"/>
      <c r="J57" s="1363"/>
      <c r="K57" s="1349"/>
      <c r="L57" s="1079"/>
      <c r="M57" s="1080"/>
      <c r="N57" s="1355"/>
      <c r="O57" s="1356">
        <v>1</v>
      </c>
      <c r="P57" s="1357" t="s">
        <v>19</v>
      </c>
      <c r="Q57" s="1308" t="s">
        <v>22</v>
      </c>
      <c r="R57" s="1308" t="s">
        <v>22</v>
      </c>
      <c r="S57" s="1308" t="s">
        <v>22</v>
      </c>
      <c r="T57" s="1308" t="s">
        <v>22</v>
      </c>
      <c r="U57" s="1308" t="s">
        <v>22</v>
      </c>
      <c r="V57" s="1308" t="s">
        <v>22</v>
      </c>
      <c r="W57" s="1308" t="s">
        <v>22</v>
      </c>
      <c r="X57" s="1308" t="s">
        <v>22</v>
      </c>
      <c r="Y57" s="1308"/>
      <c r="Z57" s="229"/>
      <c r="AA57" s="230"/>
      <c r="AB57" s="230"/>
      <c r="AC57" s="231"/>
      <c r="AD57" s="231"/>
      <c r="AE57" s="245"/>
      <c r="AF57" s="1350"/>
      <c r="AG57" s="1352"/>
      <c r="AH57" s="1352"/>
      <c r="AI57" s="1350"/>
      <c r="AJ57" s="1352"/>
      <c r="AK57" s="1352"/>
      <c r="AL57" s="772"/>
      <c r="AM57"/>
      <c r="AN57"/>
      <c r="AO57"/>
      <c r="AP57"/>
      <c r="AQ57"/>
      <c r="AR57"/>
      <c r="AS57"/>
      <c r="AT57"/>
      <c r="AU57"/>
      <c r="AV57"/>
      <c r="AW57"/>
      <c r="AX57"/>
      <c r="AY57"/>
      <c r="AZ57"/>
      <c r="BA57"/>
      <c r="BB57"/>
      <c r="BC57"/>
      <c r="BD57"/>
      <c r="BE57"/>
      <c r="BF57"/>
      <c r="BG57"/>
    </row>
    <row r="58" spans="1:59" ht="11.25" customHeight="1">
      <c r="A58" t="s">
        <v>1019</v>
      </c>
      <c r="B58"/>
      <c r="C58"/>
      <c r="D58"/>
      <c r="E58" s="557"/>
      <c r="F58" s="1339"/>
      <c r="G58" s="1340"/>
      <c r="H58" s="1335" t="s">
        <v>89</v>
      </c>
      <c r="I58" s="1347"/>
      <c r="J58" s="1363"/>
      <c r="K58" s="1349"/>
      <c r="L58" s="1079"/>
      <c r="M58" s="1080"/>
      <c r="N58" s="1355"/>
      <c r="O58" s="1356"/>
      <c r="P58" s="1358"/>
      <c r="Q58" s="1308"/>
      <c r="R58" s="1308"/>
      <c r="S58" s="1361"/>
      <c r="T58" s="1308"/>
      <c r="U58" s="1308"/>
      <c r="V58" s="1308"/>
      <c r="W58" s="1308"/>
      <c r="X58" s="1308"/>
      <c r="Y58" s="1308"/>
      <c r="Z58"/>
      <c r="AA58" s="778">
        <v>1</v>
      </c>
      <c r="AB58" s="779" t="s">
        <v>1057</v>
      </c>
      <c r="AC58" s="237">
        <v>11598.977970608999</v>
      </c>
      <c r="AD58" s="779" t="str">
        <f>AB58</f>
        <v xml:space="preserve">  Кредиты</v>
      </c>
      <c r="AE58" s="237">
        <f>AC58</f>
        <v>11598.977970608999</v>
      </c>
      <c r="AF58" s="1350"/>
      <c r="AG58" s="1352"/>
      <c r="AH58" s="1352"/>
      <c r="AI58" s="1350"/>
      <c r="AJ58" s="1352"/>
      <c r="AK58" s="1352"/>
      <c r="AL58" s="772"/>
      <c r="AM58"/>
      <c r="AN58"/>
      <c r="AO58"/>
      <c r="AP58"/>
      <c r="AQ58"/>
      <c r="AR58"/>
      <c r="AS58"/>
      <c r="AT58"/>
      <c r="AU58"/>
      <c r="AV58"/>
      <c r="AW58"/>
      <c r="AX58"/>
      <c r="AY58"/>
      <c r="AZ58"/>
      <c r="BA58"/>
      <c r="BB58"/>
      <c r="BC58"/>
      <c r="BD58"/>
      <c r="BE58"/>
      <c r="BF58"/>
      <c r="BG58"/>
    </row>
    <row r="59" spans="1:59" ht="11.25" customHeight="1">
      <c r="A59" t="s">
        <v>1019</v>
      </c>
      <c r="B59"/>
      <c r="C59"/>
      <c r="D59"/>
      <c r="E59" s="557"/>
      <c r="F59" s="1340"/>
      <c r="G59" s="1340"/>
      <c r="H59" s="1340"/>
      <c r="I59" s="1340"/>
      <c r="J59" s="1340"/>
      <c r="K59" s="1340"/>
      <c r="L59" s="1340"/>
      <c r="M59" s="1340"/>
      <c r="N59" s="1340"/>
      <c r="O59" s="1340"/>
      <c r="P59" s="1340"/>
      <c r="Q59" s="1340"/>
      <c r="R59" s="1340"/>
      <c r="S59" s="1340"/>
      <c r="T59" s="1340"/>
      <c r="U59" s="1340"/>
      <c r="V59" s="1340"/>
      <c r="W59" s="1340"/>
      <c r="X59" s="1340"/>
      <c r="Y59" s="1340"/>
      <c r="Z59" s="181" t="s">
        <v>103</v>
      </c>
      <c r="AA59" s="780" t="s">
        <v>102</v>
      </c>
      <c r="AB59" s="779" t="s">
        <v>1058</v>
      </c>
      <c r="AC59" s="237">
        <v>3995.9393793909699</v>
      </c>
      <c r="AD59" s="779" t="str">
        <f>AB59</f>
        <v xml:space="preserve">  Лизинг</v>
      </c>
      <c r="AE59" s="237">
        <f>AC59</f>
        <v>3995.9393793909699</v>
      </c>
      <c r="AF59" s="1351"/>
      <c r="AG59" s="1353"/>
      <c r="AH59" s="1353"/>
      <c r="AI59" s="1351"/>
      <c r="AJ59" s="1353"/>
      <c r="AK59" s="1354"/>
      <c r="AL59" s="772"/>
      <c r="AM59"/>
      <c r="AN59"/>
      <c r="AO59"/>
      <c r="AP59"/>
      <c r="AQ59"/>
      <c r="AR59"/>
      <c r="AS59"/>
      <c r="AT59"/>
      <c r="AU59"/>
      <c r="AV59"/>
      <c r="AW59"/>
      <c r="AX59"/>
      <c r="AY59"/>
      <c r="AZ59"/>
      <c r="BA59"/>
      <c r="BB59"/>
      <c r="BC59"/>
      <c r="BD59"/>
      <c r="BE59"/>
      <c r="BF59"/>
      <c r="BG59"/>
    </row>
    <row r="60" spans="1:59" ht="11.25" customHeight="1">
      <c r="A60" s="1030" t="s">
        <v>1019</v>
      </c>
      <c r="E60" s="557"/>
      <c r="F60" s="1339"/>
      <c r="G60" s="1340"/>
      <c r="H60" s="1335" t="s">
        <v>89</v>
      </c>
      <c r="I60" s="1347"/>
      <c r="J60" s="1363"/>
      <c r="K60" s="1349"/>
      <c r="L60" s="1079"/>
      <c r="M60" s="1080"/>
      <c r="N60" s="1355"/>
      <c r="O60" s="1356"/>
      <c r="P60" s="1359"/>
      <c r="Q60" s="1308"/>
      <c r="R60" s="1308"/>
      <c r="S60" s="1361"/>
      <c r="T60" s="1308"/>
      <c r="U60" s="1308"/>
      <c r="V60" s="1308"/>
      <c r="W60" s="1308"/>
      <c r="X60" s="1308"/>
      <c r="Y60" s="1308"/>
      <c r="Z60" s="229"/>
      <c r="AA60" s="230"/>
      <c r="AB60" s="44" t="s">
        <v>1059</v>
      </c>
      <c r="AC60" s="231"/>
      <c r="AD60" s="231"/>
      <c r="AE60" s="246"/>
      <c r="AF60" s="1350"/>
      <c r="AG60" s="1352"/>
      <c r="AH60" s="1352"/>
      <c r="AI60" s="1350"/>
      <c r="AJ60" s="1352"/>
      <c r="AK60" s="1352"/>
      <c r="AL60" s="772"/>
    </row>
    <row r="61" spans="1:59" ht="11.25" customHeight="1">
      <c r="A61" s="1030" t="s">
        <v>1019</v>
      </c>
      <c r="E61" s="557"/>
      <c r="F61" s="1339"/>
      <c r="G61" s="1340"/>
      <c r="H61" s="1335" t="s">
        <v>89</v>
      </c>
      <c r="I61" s="1347"/>
      <c r="J61" s="1363"/>
      <c r="K61" s="1349"/>
      <c r="L61" s="1079"/>
      <c r="M61" s="1080"/>
      <c r="N61" s="229"/>
      <c r="O61" s="230"/>
      <c r="P61" s="44" t="s">
        <v>1060</v>
      </c>
      <c r="Q61" s="230"/>
      <c r="R61" s="230"/>
      <c r="S61" s="230"/>
      <c r="T61" s="230"/>
      <c r="U61" s="230"/>
      <c r="V61" s="230"/>
      <c r="W61" s="230"/>
      <c r="X61" s="230"/>
      <c r="Y61" s="230"/>
      <c r="Z61" s="230"/>
      <c r="AA61" s="230"/>
      <c r="AB61" s="230"/>
      <c r="AC61" s="230"/>
      <c r="AD61" s="230"/>
      <c r="AE61" s="247"/>
      <c r="AF61" s="1350"/>
      <c r="AG61" s="1352"/>
      <c r="AH61" s="1352"/>
      <c r="AI61" s="1350"/>
      <c r="AJ61" s="1352"/>
      <c r="AK61" s="1352"/>
      <c r="AL61" s="772"/>
    </row>
    <row r="62" spans="1:59" ht="11.25" customHeight="1">
      <c r="A62" s="1030" t="s">
        <v>1019</v>
      </c>
      <c r="B62" s="1030" t="s">
        <v>22</v>
      </c>
      <c r="E62" s="557"/>
      <c r="F62" s="1339"/>
      <c r="G62" s="1325" t="s">
        <v>103</v>
      </c>
      <c r="H62" s="1335" t="s">
        <v>115</v>
      </c>
      <c r="I62" s="1347" t="s">
        <v>1061</v>
      </c>
      <c r="J62" s="1360" t="s">
        <v>22</v>
      </c>
      <c r="K62" s="1349" t="s">
        <v>1062</v>
      </c>
      <c r="L62" s="1079" t="s">
        <v>19</v>
      </c>
      <c r="M62" s="1080"/>
      <c r="N62" s="242"/>
      <c r="O62" s="243" t="s">
        <v>384</v>
      </c>
      <c r="P62" s="244"/>
      <c r="Q62" s="244"/>
      <c r="R62" s="244"/>
      <c r="S62" s="244"/>
      <c r="T62" s="244"/>
      <c r="U62" s="244"/>
      <c r="V62" s="244"/>
      <c r="W62" s="244"/>
      <c r="X62" s="244"/>
      <c r="Y62" s="244"/>
      <c r="Z62" s="244"/>
      <c r="AA62" s="244"/>
      <c r="AB62" s="244"/>
      <c r="AC62" s="244"/>
      <c r="AD62" s="244"/>
      <c r="AE62" s="244"/>
      <c r="AF62" s="1350">
        <v>2</v>
      </c>
      <c r="AG62" s="1352" t="s">
        <v>1055</v>
      </c>
      <c r="AH62" s="1352" t="s">
        <v>1063</v>
      </c>
      <c r="AI62" s="1350">
        <v>2</v>
      </c>
      <c r="AJ62" s="1352" t="s">
        <v>1055</v>
      </c>
      <c r="AK62" s="1352" t="s">
        <v>1063</v>
      </c>
      <c r="AL62" s="772"/>
    </row>
    <row r="63" spans="1:59" ht="11.25" customHeight="1">
      <c r="A63" s="1030" t="s">
        <v>1019</v>
      </c>
      <c r="E63" s="557"/>
      <c r="F63" s="1339"/>
      <c r="G63" s="1340"/>
      <c r="H63" s="1335" t="s">
        <v>90</v>
      </c>
      <c r="I63" s="1347"/>
      <c r="J63" s="1360"/>
      <c r="K63" s="1349"/>
      <c r="L63" s="1079"/>
      <c r="M63" s="1080"/>
      <c r="N63" s="1355"/>
      <c r="O63" s="1356">
        <v>1</v>
      </c>
      <c r="P63" s="1357" t="s">
        <v>61</v>
      </c>
      <c r="Q63" s="1348" t="s">
        <v>1064</v>
      </c>
      <c r="R63" s="1362" t="s">
        <v>1065</v>
      </c>
      <c r="S63" s="1362" t="s">
        <v>99</v>
      </c>
      <c r="T63" s="1362" t="s">
        <v>99</v>
      </c>
      <c r="U63" s="1362" t="s">
        <v>100</v>
      </c>
      <c r="V63" s="1362" t="s">
        <v>1066</v>
      </c>
      <c r="W63" s="1362" t="s">
        <v>1067</v>
      </c>
      <c r="X63" s="1362" t="s">
        <v>1068</v>
      </c>
      <c r="Y63" s="1362" t="s">
        <v>1069</v>
      </c>
      <c r="Z63" s="229"/>
      <c r="AA63" s="230"/>
      <c r="AB63" s="230"/>
      <c r="AC63" s="231"/>
      <c r="AD63" s="231"/>
      <c r="AE63" s="245"/>
      <c r="AF63" s="1350"/>
      <c r="AG63" s="1352"/>
      <c r="AH63" s="1352"/>
      <c r="AI63" s="1350"/>
      <c r="AJ63" s="1352"/>
      <c r="AK63" s="1352"/>
      <c r="AL63" s="772"/>
    </row>
    <row r="64" spans="1:59" ht="11.25" customHeight="1">
      <c r="A64" s="1030" t="s">
        <v>1019</v>
      </c>
      <c r="E64" s="557"/>
      <c r="F64" s="1339"/>
      <c r="G64" s="1340"/>
      <c r="H64" s="1335" t="s">
        <v>90</v>
      </c>
      <c r="I64" s="1347"/>
      <c r="J64" s="1360"/>
      <c r="K64" s="1349"/>
      <c r="L64" s="1079"/>
      <c r="M64" s="1080"/>
      <c r="N64" s="1355"/>
      <c r="O64" s="1356"/>
      <c r="P64" s="1358"/>
      <c r="Q64" s="1348"/>
      <c r="R64" s="1308"/>
      <c r="S64" s="1361"/>
      <c r="T64" s="1308"/>
      <c r="U64" s="1308"/>
      <c r="V64" s="1308"/>
      <c r="W64" s="1308"/>
      <c r="X64" s="1308"/>
      <c r="Y64" s="1308"/>
      <c r="AA64" s="778">
        <v>1</v>
      </c>
      <c r="AB64" s="779" t="s">
        <v>1057</v>
      </c>
      <c r="AC64" s="237">
        <v>21066.969886973198</v>
      </c>
      <c r="AD64" s="779" t="str">
        <f>AB64</f>
        <v xml:space="preserve">  Кредиты</v>
      </c>
      <c r="AE64" s="237">
        <f>AC64</f>
        <v>21066.969886973198</v>
      </c>
      <c r="AF64" s="1350"/>
      <c r="AG64" s="1352"/>
      <c r="AH64" s="1352"/>
      <c r="AI64" s="1350"/>
      <c r="AJ64" s="1352"/>
      <c r="AK64" s="1352"/>
      <c r="AL64" s="772"/>
    </row>
    <row r="65" spans="1:38" ht="11.25" customHeight="1">
      <c r="A65" s="1030" t="s">
        <v>1019</v>
      </c>
      <c r="E65" s="557"/>
      <c r="F65" s="1340"/>
      <c r="G65" s="1340"/>
      <c r="H65" s="1340"/>
      <c r="I65" s="1340"/>
      <c r="J65" s="1340"/>
      <c r="K65" s="1340"/>
      <c r="L65" s="1340"/>
      <c r="M65" s="1340"/>
      <c r="N65" s="1340"/>
      <c r="O65" s="1340"/>
      <c r="P65" s="1340"/>
      <c r="Q65" s="1340"/>
      <c r="R65" s="1340"/>
      <c r="S65" s="1340"/>
      <c r="T65" s="1340"/>
      <c r="U65" s="1340"/>
      <c r="V65" s="1340"/>
      <c r="W65" s="1340"/>
      <c r="X65" s="1340"/>
      <c r="Y65" s="1340"/>
      <c r="Z65" s="181" t="s">
        <v>103</v>
      </c>
      <c r="AA65" s="780" t="s">
        <v>102</v>
      </c>
      <c r="AB65" s="779" t="s">
        <v>1058</v>
      </c>
      <c r="AC65" s="237">
        <v>7257.7372583267397</v>
      </c>
      <c r="AD65" s="779" t="str">
        <f>AB65</f>
        <v xml:space="preserve">  Лизинг</v>
      </c>
      <c r="AE65" s="237">
        <f>AC65</f>
        <v>7257.7372583267397</v>
      </c>
      <c r="AF65" s="1351"/>
      <c r="AG65" s="1353"/>
      <c r="AH65" s="1353"/>
      <c r="AI65" s="1351"/>
      <c r="AJ65" s="1353"/>
      <c r="AK65" s="1354"/>
      <c r="AL65" s="772"/>
    </row>
    <row r="66" spans="1:38" ht="11.25" customHeight="1">
      <c r="A66" s="1030" t="s">
        <v>1019</v>
      </c>
      <c r="E66" s="557"/>
      <c r="F66" s="1339"/>
      <c r="G66" s="1340"/>
      <c r="H66" s="1335" t="s">
        <v>90</v>
      </c>
      <c r="I66" s="1347"/>
      <c r="J66" s="1360"/>
      <c r="K66" s="1349"/>
      <c r="L66" s="1079"/>
      <c r="M66" s="1080"/>
      <c r="N66" s="1355"/>
      <c r="O66" s="1356"/>
      <c r="P66" s="1359"/>
      <c r="Q66" s="1348"/>
      <c r="R66" s="1308"/>
      <c r="S66" s="1361"/>
      <c r="T66" s="1308"/>
      <c r="U66" s="1308"/>
      <c r="V66" s="1308"/>
      <c r="W66" s="1308"/>
      <c r="X66" s="1308"/>
      <c r="Y66" s="1308"/>
      <c r="Z66" s="229"/>
      <c r="AA66" s="230"/>
      <c r="AB66" s="44" t="s">
        <v>1059</v>
      </c>
      <c r="AC66" s="231"/>
      <c r="AD66" s="231"/>
      <c r="AE66" s="246"/>
      <c r="AF66" s="1350"/>
      <c r="AG66" s="1352"/>
      <c r="AH66" s="1352"/>
      <c r="AI66" s="1350"/>
      <c r="AJ66" s="1352"/>
      <c r="AK66" s="1352"/>
      <c r="AL66" s="772"/>
    </row>
    <row r="67" spans="1:38" ht="11.25" customHeight="1">
      <c r="A67" s="1030" t="s">
        <v>1019</v>
      </c>
      <c r="E67" s="557"/>
      <c r="F67" s="1339"/>
      <c r="G67" s="1340"/>
      <c r="H67" s="1335" t="s">
        <v>90</v>
      </c>
      <c r="I67" s="1347"/>
      <c r="J67" s="1360"/>
      <c r="K67" s="1349"/>
      <c r="L67" s="1079"/>
      <c r="M67" s="1080"/>
      <c r="N67" s="229"/>
      <c r="O67" s="230"/>
      <c r="P67" s="44" t="s">
        <v>1060</v>
      </c>
      <c r="Q67" s="230"/>
      <c r="R67" s="230"/>
      <c r="S67" s="230"/>
      <c r="T67" s="230"/>
      <c r="U67" s="230"/>
      <c r="V67" s="230"/>
      <c r="W67" s="230"/>
      <c r="X67" s="230"/>
      <c r="Y67" s="230"/>
      <c r="Z67" s="230"/>
      <c r="AA67" s="230"/>
      <c r="AB67" s="230"/>
      <c r="AC67" s="230"/>
      <c r="AD67" s="230"/>
      <c r="AE67" s="247"/>
      <c r="AF67" s="1350"/>
      <c r="AG67" s="1352"/>
      <c r="AH67" s="1352"/>
      <c r="AI67" s="1350"/>
      <c r="AJ67" s="1352"/>
      <c r="AK67" s="1352"/>
      <c r="AL67" s="772"/>
    </row>
    <row r="68" spans="1:38" ht="11.25" customHeight="1">
      <c r="A68" s="1030" t="s">
        <v>1019</v>
      </c>
      <c r="B68" s="1030" t="s">
        <v>22</v>
      </c>
      <c r="E68" s="557"/>
      <c r="F68" s="1339"/>
      <c r="G68" s="1325" t="s">
        <v>103</v>
      </c>
      <c r="H68" s="1335" t="s">
        <v>91</v>
      </c>
      <c r="I68" s="1347" t="s">
        <v>1061</v>
      </c>
      <c r="J68" s="1360" t="s">
        <v>22</v>
      </c>
      <c r="K68" s="1349" t="s">
        <v>1082</v>
      </c>
      <c r="L68" s="1079" t="s">
        <v>19</v>
      </c>
      <c r="M68" s="1080"/>
      <c r="N68" s="242"/>
      <c r="O68" s="243" t="s">
        <v>384</v>
      </c>
      <c r="P68" s="244"/>
      <c r="Q68" s="244"/>
      <c r="R68" s="244"/>
      <c r="S68" s="244"/>
      <c r="T68" s="244"/>
      <c r="U68" s="244"/>
      <c r="V68" s="244"/>
      <c r="W68" s="244"/>
      <c r="X68" s="244"/>
      <c r="Y68" s="244"/>
      <c r="Z68" s="244"/>
      <c r="AA68" s="244"/>
      <c r="AB68" s="244"/>
      <c r="AC68" s="244"/>
      <c r="AD68" s="244"/>
      <c r="AE68" s="244"/>
      <c r="AF68" s="1350">
        <v>4</v>
      </c>
      <c r="AG68" s="1352" t="s">
        <v>1055</v>
      </c>
      <c r="AH68" s="1352" t="s">
        <v>1083</v>
      </c>
      <c r="AI68" s="1350">
        <v>4</v>
      </c>
      <c r="AJ68" s="1352" t="s">
        <v>1055</v>
      </c>
      <c r="AK68" s="1352" t="s">
        <v>1083</v>
      </c>
      <c r="AL68" s="772"/>
    </row>
    <row r="69" spans="1:38" ht="11.25" customHeight="1">
      <c r="A69" s="1030" t="s">
        <v>1019</v>
      </c>
      <c r="E69" s="557"/>
      <c r="F69" s="1339"/>
      <c r="G69" s="1340"/>
      <c r="H69" s="1335" t="s">
        <v>115</v>
      </c>
      <c r="I69" s="1347"/>
      <c r="J69" s="1360"/>
      <c r="K69" s="1349"/>
      <c r="L69" s="1079"/>
      <c r="M69" s="1080"/>
      <c r="N69" s="1355"/>
      <c r="O69" s="1356">
        <v>1</v>
      </c>
      <c r="P69" s="1357" t="s">
        <v>61</v>
      </c>
      <c r="Q69" s="1348" t="s">
        <v>1064</v>
      </c>
      <c r="R69" s="1362" t="s">
        <v>1065</v>
      </c>
      <c r="S69" s="1362" t="s">
        <v>99</v>
      </c>
      <c r="T69" s="1362" t="s">
        <v>99</v>
      </c>
      <c r="U69" s="1362" t="s">
        <v>100</v>
      </c>
      <c r="V69" s="1362" t="s">
        <v>1066</v>
      </c>
      <c r="W69" s="1362" t="s">
        <v>1067</v>
      </c>
      <c r="X69" s="1362" t="s">
        <v>1068</v>
      </c>
      <c r="Y69" s="1362" t="s">
        <v>1069</v>
      </c>
      <c r="Z69" s="229"/>
      <c r="AA69" s="230"/>
      <c r="AB69" s="230"/>
      <c r="AC69" s="231"/>
      <c r="AD69" s="231"/>
      <c r="AE69" s="245"/>
      <c r="AF69" s="1350"/>
      <c r="AG69" s="1352"/>
      <c r="AH69" s="1352"/>
      <c r="AI69" s="1350"/>
      <c r="AJ69" s="1352"/>
      <c r="AK69" s="1352"/>
      <c r="AL69" s="772"/>
    </row>
    <row r="70" spans="1:38" ht="11.25" customHeight="1">
      <c r="A70" s="1030" t="s">
        <v>1019</v>
      </c>
      <c r="E70" s="557"/>
      <c r="F70" s="1339"/>
      <c r="G70" s="1340"/>
      <c r="H70" s="1335" t="s">
        <v>115</v>
      </c>
      <c r="I70" s="1347"/>
      <c r="J70" s="1360"/>
      <c r="K70" s="1349"/>
      <c r="L70" s="1079"/>
      <c r="M70" s="1080"/>
      <c r="N70" s="1355"/>
      <c r="O70" s="1356"/>
      <c r="P70" s="1358"/>
      <c r="Q70" s="1348"/>
      <c r="R70" s="1308"/>
      <c r="S70" s="1361"/>
      <c r="T70" s="1308"/>
      <c r="U70" s="1308"/>
      <c r="V70" s="1308"/>
      <c r="W70" s="1308"/>
      <c r="X70" s="1308"/>
      <c r="Y70" s="1308"/>
      <c r="AA70" s="778">
        <v>1</v>
      </c>
      <c r="AB70" s="779" t="s">
        <v>1057</v>
      </c>
      <c r="AC70" s="237">
        <v>205.59239770658499</v>
      </c>
      <c r="AD70" s="779" t="str">
        <f>AB70</f>
        <v xml:space="preserve">  Кредиты</v>
      </c>
      <c r="AE70" s="237">
        <f>AC70</f>
        <v>205.59239770658499</v>
      </c>
      <c r="AF70" s="1350"/>
      <c r="AG70" s="1352"/>
      <c r="AH70" s="1352"/>
      <c r="AI70" s="1350"/>
      <c r="AJ70" s="1352"/>
      <c r="AK70" s="1352"/>
      <c r="AL70" s="772"/>
    </row>
    <row r="71" spans="1:38" ht="11.25" customHeight="1">
      <c r="A71" s="1030" t="s">
        <v>1019</v>
      </c>
      <c r="E71" s="557"/>
      <c r="F71" s="1340"/>
      <c r="G71" s="1340"/>
      <c r="H71" s="1340"/>
      <c r="I71" s="1340"/>
      <c r="J71" s="1340"/>
      <c r="K71" s="1340"/>
      <c r="L71" s="1340"/>
      <c r="M71" s="1340"/>
      <c r="N71" s="1340"/>
      <c r="O71" s="1340"/>
      <c r="P71" s="1340"/>
      <c r="Q71" s="1340"/>
      <c r="R71" s="1340"/>
      <c r="S71" s="1340"/>
      <c r="T71" s="1340"/>
      <c r="U71" s="1340"/>
      <c r="V71" s="1340"/>
      <c r="W71" s="1340"/>
      <c r="X71" s="1340"/>
      <c r="Y71" s="1340"/>
      <c r="Z71" s="181" t="s">
        <v>103</v>
      </c>
      <c r="AA71" s="780" t="s">
        <v>102</v>
      </c>
      <c r="AB71" s="779" t="s">
        <v>1058</v>
      </c>
      <c r="AC71" s="237">
        <v>70.828202293414606</v>
      </c>
      <c r="AD71" s="779" t="str">
        <f>AB71</f>
        <v xml:space="preserve">  Лизинг</v>
      </c>
      <c r="AE71" s="237">
        <f>AC71</f>
        <v>70.828202293414606</v>
      </c>
      <c r="AF71" s="1351"/>
      <c r="AG71" s="1353"/>
      <c r="AH71" s="1353"/>
      <c r="AI71" s="1351"/>
      <c r="AJ71" s="1353"/>
      <c r="AK71" s="1354"/>
      <c r="AL71" s="772"/>
    </row>
    <row r="72" spans="1:38" ht="11.25" customHeight="1">
      <c r="A72" s="1030" t="s">
        <v>1019</v>
      </c>
      <c r="E72" s="557"/>
      <c r="F72" s="1339"/>
      <c r="G72" s="1340"/>
      <c r="H72" s="1335" t="s">
        <v>115</v>
      </c>
      <c r="I72" s="1347"/>
      <c r="J72" s="1360"/>
      <c r="K72" s="1349"/>
      <c r="L72" s="1079"/>
      <c r="M72" s="1080"/>
      <c r="N72" s="1355"/>
      <c r="O72" s="1356"/>
      <c r="P72" s="1359"/>
      <c r="Q72" s="1348"/>
      <c r="R72" s="1308"/>
      <c r="S72" s="1361"/>
      <c r="T72" s="1308"/>
      <c r="U72" s="1308"/>
      <c r="V72" s="1308"/>
      <c r="W72" s="1308"/>
      <c r="X72" s="1308"/>
      <c r="Y72" s="1308"/>
      <c r="Z72" s="229"/>
      <c r="AA72" s="230"/>
      <c r="AB72" s="44" t="s">
        <v>1059</v>
      </c>
      <c r="AC72" s="231"/>
      <c r="AD72" s="231"/>
      <c r="AE72" s="246"/>
      <c r="AF72" s="1350"/>
      <c r="AG72" s="1352"/>
      <c r="AH72" s="1352"/>
      <c r="AI72" s="1350"/>
      <c r="AJ72" s="1352"/>
      <c r="AK72" s="1352"/>
      <c r="AL72" s="772"/>
    </row>
    <row r="73" spans="1:38" ht="11.25" customHeight="1">
      <c r="A73" s="1030" t="s">
        <v>1019</v>
      </c>
      <c r="E73" s="557"/>
      <c r="F73" s="1339"/>
      <c r="G73" s="1340"/>
      <c r="H73" s="1335" t="s">
        <v>115</v>
      </c>
      <c r="I73" s="1347"/>
      <c r="J73" s="1360"/>
      <c r="K73" s="1349"/>
      <c r="L73" s="1079"/>
      <c r="M73" s="1080"/>
      <c r="N73" s="229"/>
      <c r="O73" s="230"/>
      <c r="P73" s="44" t="s">
        <v>1060</v>
      </c>
      <c r="Q73" s="230"/>
      <c r="R73" s="230"/>
      <c r="S73" s="230"/>
      <c r="T73" s="230"/>
      <c r="U73" s="230"/>
      <c r="V73" s="230"/>
      <c r="W73" s="230"/>
      <c r="X73" s="230"/>
      <c r="Y73" s="230"/>
      <c r="Z73" s="230"/>
      <c r="AA73" s="230"/>
      <c r="AB73" s="230"/>
      <c r="AC73" s="230"/>
      <c r="AD73" s="230"/>
      <c r="AE73" s="247"/>
      <c r="AF73" s="1350"/>
      <c r="AG73" s="1352"/>
      <c r="AH73" s="1352"/>
      <c r="AI73" s="1350"/>
      <c r="AJ73" s="1352"/>
      <c r="AK73" s="1352"/>
      <c r="AL73" s="772"/>
    </row>
    <row r="74" spans="1:38" ht="12" customHeight="1">
      <c r="A74" t="s">
        <v>1019</v>
      </c>
      <c r="E74" s="557"/>
      <c r="F74" s="1341"/>
      <c r="G74" s="775"/>
      <c r="H74" s="775"/>
      <c r="I74" s="1337" t="s">
        <v>1070</v>
      </c>
      <c r="J74" s="1337"/>
      <c r="K74" s="1337"/>
      <c r="L74" s="776"/>
      <c r="M74" s="776"/>
      <c r="N74" s="777"/>
      <c r="O74" s="777"/>
      <c r="P74" s="777"/>
      <c r="Q74" s="777"/>
      <c r="R74" s="777"/>
      <c r="S74" s="777"/>
      <c r="T74" s="777"/>
      <c r="U74" s="777"/>
      <c r="V74" s="777"/>
      <c r="W74" s="777"/>
      <c r="X74" s="777"/>
      <c r="Y74" s="777"/>
      <c r="Z74" s="777"/>
      <c r="AA74" s="777"/>
      <c r="AB74" s="777"/>
      <c r="AC74" s="777"/>
      <c r="AD74" s="777"/>
      <c r="AE74" s="777"/>
      <c r="AF74" s="777"/>
      <c r="AG74" s="776"/>
      <c r="AH74" s="776"/>
      <c r="AI74" s="777"/>
      <c r="AJ74" s="776"/>
      <c r="AK74" s="777"/>
      <c r="AL74" s="772"/>
    </row>
    <row r="75" spans="1:38" ht="0.75" customHeight="1">
      <c r="A75" t="s">
        <v>1019</v>
      </c>
      <c r="E75" s="557"/>
      <c r="F75" s="1338">
        <v>2016</v>
      </c>
      <c r="G75" s="1335"/>
      <c r="H75" s="1343" t="s">
        <v>384</v>
      </c>
      <c r="I75" s="1344"/>
      <c r="J75" s="1334"/>
      <c r="K75" s="1334"/>
      <c r="L75" s="1336"/>
      <c r="M75" s="1190"/>
      <c r="N75" s="214"/>
      <c r="O75" s="215"/>
      <c r="P75" s="214"/>
      <c r="Q75" s="214"/>
      <c r="R75" s="214"/>
      <c r="S75" s="214"/>
      <c r="T75" s="214"/>
      <c r="U75" s="214"/>
      <c r="V75" s="214"/>
      <c r="W75" s="214"/>
      <c r="X75" s="214"/>
      <c r="Y75" s="214"/>
      <c r="Z75" s="214"/>
      <c r="AA75" s="214"/>
      <c r="AB75" s="214"/>
      <c r="AC75" s="214"/>
      <c r="AD75" s="214"/>
      <c r="AE75" s="214"/>
      <c r="AF75" s="1342"/>
      <c r="AG75" s="1336"/>
      <c r="AH75" s="1336"/>
      <c r="AI75" s="1342"/>
      <c r="AJ75" s="1336"/>
      <c r="AK75" s="1336"/>
      <c r="AL75" s="772"/>
    </row>
    <row r="76" spans="1:38" ht="0.75" customHeight="1">
      <c r="A76" t="s">
        <v>1019</v>
      </c>
      <c r="E76" s="557"/>
      <c r="F76" s="1338"/>
      <c r="G76" s="1335"/>
      <c r="H76" s="1343"/>
      <c r="I76" s="1344"/>
      <c r="J76" s="1334"/>
      <c r="K76" s="1334"/>
      <c r="L76" s="1336"/>
      <c r="M76" s="1190"/>
      <c r="N76" s="1345"/>
      <c r="O76" s="1346"/>
      <c r="P76" s="1331"/>
      <c r="Q76" s="1334"/>
      <c r="R76" s="1334"/>
      <c r="S76" s="1334"/>
      <c r="T76" s="1334"/>
      <c r="U76" s="1334"/>
      <c r="V76" s="1334"/>
      <c r="W76" s="1334"/>
      <c r="X76" s="1334"/>
      <c r="Y76" s="1334"/>
      <c r="Z76" s="216"/>
      <c r="AA76" s="217"/>
      <c r="AB76" s="217"/>
      <c r="AC76" s="218"/>
      <c r="AD76" s="218"/>
      <c r="AE76" s="219"/>
      <c r="AF76" s="1342"/>
      <c r="AG76" s="1336"/>
      <c r="AH76" s="1336"/>
      <c r="AI76" s="1342"/>
      <c r="AJ76" s="1336"/>
      <c r="AK76" s="1336"/>
      <c r="AL76" s="772"/>
    </row>
    <row r="77" spans="1:38" ht="0.75" customHeight="1">
      <c r="A77" t="s">
        <v>1019</v>
      </c>
      <c r="E77" s="557"/>
      <c r="F77" s="1338"/>
      <c r="G77" s="1335"/>
      <c r="H77" s="1343"/>
      <c r="I77" s="1344"/>
      <c r="J77" s="1334"/>
      <c r="K77" s="1334"/>
      <c r="L77" s="1336"/>
      <c r="M77" s="1190"/>
      <c r="N77" s="1345"/>
      <c r="O77" s="1346"/>
      <c r="P77" s="1332"/>
      <c r="Q77" s="1334"/>
      <c r="R77" s="1334"/>
      <c r="S77" s="1334"/>
      <c r="T77" s="1334"/>
      <c r="U77" s="1334"/>
      <c r="V77" s="1334"/>
      <c r="W77" s="1334"/>
      <c r="X77" s="1334"/>
      <c r="Y77" s="1334"/>
      <c r="AA77" s="773"/>
      <c r="AB77" s="774"/>
      <c r="AC77" s="220"/>
      <c r="AD77" s="774"/>
      <c r="AE77" s="220"/>
      <c r="AF77" s="1342"/>
      <c r="AG77" s="1336"/>
      <c r="AH77" s="1336"/>
      <c r="AI77" s="1342"/>
      <c r="AJ77" s="1336"/>
      <c r="AK77" s="1336"/>
      <c r="AL77" s="772"/>
    </row>
    <row r="78" spans="1:38" ht="0.75" customHeight="1">
      <c r="A78" t="s">
        <v>1019</v>
      </c>
      <c r="E78" s="557"/>
      <c r="F78" s="1338"/>
      <c r="G78" s="1335"/>
      <c r="H78" s="1343"/>
      <c r="I78" s="1344"/>
      <c r="J78" s="1334"/>
      <c r="K78" s="1334"/>
      <c r="L78" s="1336"/>
      <c r="M78" s="1190"/>
      <c r="N78" s="1345"/>
      <c r="O78" s="1346"/>
      <c r="P78" s="1333"/>
      <c r="Q78" s="1334"/>
      <c r="R78" s="1334"/>
      <c r="S78" s="1334"/>
      <c r="T78" s="1334"/>
      <c r="U78" s="1334"/>
      <c r="V78" s="1334"/>
      <c r="W78" s="1334"/>
      <c r="X78" s="1334"/>
      <c r="Y78" s="1334"/>
      <c r="Z78" s="216"/>
      <c r="AA78" s="217"/>
      <c r="AB78" s="221"/>
      <c r="AC78" s="218"/>
      <c r="AD78" s="218"/>
      <c r="AE78" s="222"/>
      <c r="AF78" s="1342"/>
      <c r="AG78" s="1336"/>
      <c r="AH78" s="1336"/>
      <c r="AI78" s="1342"/>
      <c r="AJ78" s="1336"/>
      <c r="AK78" s="1336"/>
      <c r="AL78" s="772"/>
    </row>
    <row r="79" spans="1:38" ht="0.75" customHeight="1">
      <c r="A79" t="s">
        <v>1019</v>
      </c>
      <c r="E79" s="557"/>
      <c r="F79" s="1338"/>
      <c r="G79" s="1335"/>
      <c r="H79" s="1343"/>
      <c r="I79" s="1344"/>
      <c r="J79" s="1334"/>
      <c r="K79" s="1334"/>
      <c r="L79" s="1336"/>
      <c r="M79" s="1190"/>
      <c r="N79" s="217"/>
      <c r="O79" s="217"/>
      <c r="P79" s="221"/>
      <c r="Q79" s="217"/>
      <c r="R79" s="217"/>
      <c r="S79" s="217"/>
      <c r="T79" s="217"/>
      <c r="U79" s="217"/>
      <c r="V79" s="217"/>
      <c r="W79" s="217"/>
      <c r="X79" s="217"/>
      <c r="Y79" s="217"/>
      <c r="Z79" s="217"/>
      <c r="AA79" s="217"/>
      <c r="AB79" s="217"/>
      <c r="AC79" s="217"/>
      <c r="AD79" s="217"/>
      <c r="AE79" s="223"/>
      <c r="AF79" s="1342"/>
      <c r="AG79" s="1336"/>
      <c r="AH79" s="1336"/>
      <c r="AI79" s="1342"/>
      <c r="AJ79" s="1336"/>
      <c r="AK79" s="1336"/>
      <c r="AL79" s="772"/>
    </row>
    <row r="80" spans="1:38" ht="11.25" customHeight="1">
      <c r="A80" s="1030" t="s">
        <v>1019</v>
      </c>
      <c r="B80" s="1030" t="s">
        <v>22</v>
      </c>
      <c r="E80" s="557"/>
      <c r="F80" s="1339"/>
      <c r="G80" s="1325" t="s">
        <v>103</v>
      </c>
      <c r="H80" s="1335" t="s">
        <v>114</v>
      </c>
      <c r="I80" s="1347" t="s">
        <v>1071</v>
      </c>
      <c r="J80" s="1360" t="s">
        <v>22</v>
      </c>
      <c r="K80" s="1349" t="s">
        <v>1084</v>
      </c>
      <c r="L80" s="1079" t="s">
        <v>19</v>
      </c>
      <c r="M80" s="1080"/>
      <c r="N80" s="242"/>
      <c r="O80" s="243" t="s">
        <v>384</v>
      </c>
      <c r="P80" s="244"/>
      <c r="Q80" s="244"/>
      <c r="R80" s="244"/>
      <c r="S80" s="244"/>
      <c r="T80" s="244"/>
      <c r="U80" s="244"/>
      <c r="V80" s="244"/>
      <c r="W80" s="244"/>
      <c r="X80" s="244"/>
      <c r="Y80" s="244"/>
      <c r="Z80" s="244"/>
      <c r="AA80" s="244"/>
      <c r="AB80" s="244"/>
      <c r="AC80" s="244"/>
      <c r="AD80" s="244"/>
      <c r="AE80" s="244"/>
      <c r="AF80" s="1350">
        <v>1</v>
      </c>
      <c r="AG80" s="1352" t="s">
        <v>1055</v>
      </c>
      <c r="AH80" s="1352" t="s">
        <v>1063</v>
      </c>
      <c r="AI80" s="1350">
        <v>1</v>
      </c>
      <c r="AJ80" s="1352" t="s">
        <v>1055</v>
      </c>
      <c r="AK80" s="1352" t="s">
        <v>1063</v>
      </c>
      <c r="AL80" s="772"/>
    </row>
    <row r="81" spans="1:38" ht="11.25" customHeight="1">
      <c r="A81" s="1030" t="s">
        <v>1019</v>
      </c>
      <c r="E81" s="557"/>
      <c r="F81" s="1339"/>
      <c r="G81" s="1340"/>
      <c r="H81" s="1335" t="s">
        <v>384</v>
      </c>
      <c r="I81" s="1347"/>
      <c r="J81" s="1360"/>
      <c r="K81" s="1349"/>
      <c r="L81" s="1079"/>
      <c r="M81" s="1080"/>
      <c r="N81" s="1355"/>
      <c r="O81" s="1356">
        <v>1</v>
      </c>
      <c r="P81" s="1357" t="s">
        <v>61</v>
      </c>
      <c r="Q81" s="1348" t="s">
        <v>1074</v>
      </c>
      <c r="R81" s="1362" t="s">
        <v>1075</v>
      </c>
      <c r="S81" s="1362" t="s">
        <v>99</v>
      </c>
      <c r="T81" s="1362" t="s">
        <v>99</v>
      </c>
      <c r="U81" s="1362" t="s">
        <v>100</v>
      </c>
      <c r="V81" s="1362" t="s">
        <v>1066</v>
      </c>
      <c r="W81" s="1362" t="s">
        <v>1067</v>
      </c>
      <c r="X81" s="1362" t="s">
        <v>1076</v>
      </c>
      <c r="Y81" s="1362" t="s">
        <v>1077</v>
      </c>
      <c r="Z81" s="229"/>
      <c r="AA81" s="230"/>
      <c r="AB81" s="230"/>
      <c r="AC81" s="231"/>
      <c r="AD81" s="231"/>
      <c r="AE81" s="245"/>
      <c r="AF81" s="1350"/>
      <c r="AG81" s="1352"/>
      <c r="AH81" s="1352"/>
      <c r="AI81" s="1350"/>
      <c r="AJ81" s="1352"/>
      <c r="AK81" s="1352"/>
      <c r="AL81" s="772"/>
    </row>
    <row r="82" spans="1:38" ht="11.25" customHeight="1">
      <c r="A82" s="1030" t="s">
        <v>1019</v>
      </c>
      <c r="E82" s="557"/>
      <c r="F82" s="1339"/>
      <c r="G82" s="1340"/>
      <c r="H82" s="1335" t="s">
        <v>384</v>
      </c>
      <c r="I82" s="1347"/>
      <c r="J82" s="1360"/>
      <c r="K82" s="1349"/>
      <c r="L82" s="1079"/>
      <c r="M82" s="1080"/>
      <c r="N82" s="1355"/>
      <c r="O82" s="1356"/>
      <c r="P82" s="1358"/>
      <c r="Q82" s="1348"/>
      <c r="R82" s="1308"/>
      <c r="S82" s="1361"/>
      <c r="T82" s="1308"/>
      <c r="U82" s="1308"/>
      <c r="V82" s="1308"/>
      <c r="W82" s="1308"/>
      <c r="X82" s="1308"/>
      <c r="Y82" s="1308"/>
      <c r="AA82" s="778">
        <v>1</v>
      </c>
      <c r="AB82" s="779" t="s">
        <v>1057</v>
      </c>
      <c r="AC82" s="237">
        <v>9600</v>
      </c>
      <c r="AD82" s="779" t="str">
        <f>AB82</f>
        <v xml:space="preserve">  Кредиты</v>
      </c>
      <c r="AE82" s="237">
        <f>AC82</f>
        <v>9600</v>
      </c>
      <c r="AF82" s="1350"/>
      <c r="AG82" s="1352"/>
      <c r="AH82" s="1352"/>
      <c r="AI82" s="1350"/>
      <c r="AJ82" s="1352"/>
      <c r="AK82" s="1352"/>
      <c r="AL82" s="772"/>
    </row>
    <row r="83" spans="1:38" ht="11.25" customHeight="1">
      <c r="A83" s="1030" t="s">
        <v>1019</v>
      </c>
      <c r="E83" s="557"/>
      <c r="F83" s="1339"/>
      <c r="G83" s="1340"/>
      <c r="H83" s="1335" t="s">
        <v>384</v>
      </c>
      <c r="I83" s="1347"/>
      <c r="J83" s="1360"/>
      <c r="K83" s="1349"/>
      <c r="L83" s="1079"/>
      <c r="M83" s="1080"/>
      <c r="N83" s="1355"/>
      <c r="O83" s="1356"/>
      <c r="P83" s="1359"/>
      <c r="Q83" s="1348"/>
      <c r="R83" s="1308"/>
      <c r="S83" s="1361"/>
      <c r="T83" s="1308"/>
      <c r="U83" s="1308"/>
      <c r="V83" s="1308"/>
      <c r="W83" s="1308"/>
      <c r="X83" s="1308"/>
      <c r="Y83" s="1308"/>
      <c r="Z83" s="229"/>
      <c r="AA83" s="230"/>
      <c r="AB83" s="44" t="s">
        <v>1059</v>
      </c>
      <c r="AC83" s="231"/>
      <c r="AD83" s="231"/>
      <c r="AE83" s="246"/>
      <c r="AF83" s="1350"/>
      <c r="AG83" s="1352"/>
      <c r="AH83" s="1352"/>
      <c r="AI83" s="1350"/>
      <c r="AJ83" s="1352"/>
      <c r="AK83" s="1352"/>
      <c r="AL83" s="772"/>
    </row>
    <row r="84" spans="1:38" ht="11.25" customHeight="1">
      <c r="A84" s="1030" t="s">
        <v>1019</v>
      </c>
      <c r="E84" s="557"/>
      <c r="F84" s="1339"/>
      <c r="G84" s="1340"/>
      <c r="H84" s="1335" t="s">
        <v>384</v>
      </c>
      <c r="I84" s="1347"/>
      <c r="J84" s="1360"/>
      <c r="K84" s="1349"/>
      <c r="L84" s="1079"/>
      <c r="M84" s="1080"/>
      <c r="N84" s="229"/>
      <c r="O84" s="230"/>
      <c r="P84" s="44" t="s">
        <v>1060</v>
      </c>
      <c r="Q84" s="230"/>
      <c r="R84" s="230"/>
      <c r="S84" s="230"/>
      <c r="T84" s="230"/>
      <c r="U84" s="230"/>
      <c r="V84" s="230"/>
      <c r="W84" s="230"/>
      <c r="X84" s="230"/>
      <c r="Y84" s="230"/>
      <c r="Z84" s="230"/>
      <c r="AA84" s="230"/>
      <c r="AB84" s="230"/>
      <c r="AC84" s="230"/>
      <c r="AD84" s="230"/>
      <c r="AE84" s="247"/>
      <c r="AF84" s="1350"/>
      <c r="AG84" s="1352"/>
      <c r="AH84" s="1352"/>
      <c r="AI84" s="1350"/>
      <c r="AJ84" s="1352"/>
      <c r="AK84" s="1352"/>
      <c r="AL84" s="772"/>
    </row>
    <row r="85" spans="1:38" ht="11.25" customHeight="1">
      <c r="A85" s="1030" t="s">
        <v>1019</v>
      </c>
      <c r="B85" s="1030" t="s">
        <v>1051</v>
      </c>
      <c r="E85" s="557"/>
      <c r="F85" s="1339"/>
      <c r="G85" s="1325" t="s">
        <v>103</v>
      </c>
      <c r="H85" s="1335" t="s">
        <v>102</v>
      </c>
      <c r="I85" s="1347" t="s">
        <v>1052</v>
      </c>
      <c r="J85" s="1363" t="s">
        <v>1053</v>
      </c>
      <c r="K85" s="1349" t="s">
        <v>1085</v>
      </c>
      <c r="L85" s="1079" t="s">
        <v>19</v>
      </c>
      <c r="M85" s="1080"/>
      <c r="N85" s="242"/>
      <c r="O85" s="243" t="s">
        <v>384</v>
      </c>
      <c r="P85" s="244"/>
      <c r="Q85" s="244"/>
      <c r="R85" s="244"/>
      <c r="S85" s="244"/>
      <c r="T85" s="244"/>
      <c r="U85" s="244"/>
      <c r="V85" s="244"/>
      <c r="W85" s="244"/>
      <c r="X85" s="244"/>
      <c r="Y85" s="244"/>
      <c r="Z85" s="244"/>
      <c r="AA85" s="244"/>
      <c r="AB85" s="244"/>
      <c r="AC85" s="244"/>
      <c r="AD85" s="244"/>
      <c r="AE85" s="244"/>
      <c r="AF85" s="1350">
        <v>2</v>
      </c>
      <c r="AG85" s="1352" t="s">
        <v>1055</v>
      </c>
      <c r="AH85" s="1352" t="s">
        <v>1081</v>
      </c>
      <c r="AI85" s="1350">
        <v>2</v>
      </c>
      <c r="AJ85" s="1352" t="s">
        <v>1055</v>
      </c>
      <c r="AK85" s="1352" t="s">
        <v>1081</v>
      </c>
      <c r="AL85" s="772"/>
    </row>
    <row r="86" spans="1:38" ht="11.25" customHeight="1">
      <c r="A86" s="1030" t="s">
        <v>1019</v>
      </c>
      <c r="E86" s="557"/>
      <c r="F86" s="1339"/>
      <c r="G86" s="1340"/>
      <c r="H86" s="1335" t="s">
        <v>114</v>
      </c>
      <c r="I86" s="1347"/>
      <c r="J86" s="1363"/>
      <c r="K86" s="1349"/>
      <c r="L86" s="1079"/>
      <c r="M86" s="1080"/>
      <c r="N86" s="1355"/>
      <c r="O86" s="1356">
        <v>1</v>
      </c>
      <c r="P86" s="1357" t="s">
        <v>19</v>
      </c>
      <c r="Q86" s="1308" t="s">
        <v>22</v>
      </c>
      <c r="R86" s="1308" t="s">
        <v>22</v>
      </c>
      <c r="S86" s="1308" t="s">
        <v>22</v>
      </c>
      <c r="T86" s="1308" t="s">
        <v>22</v>
      </c>
      <c r="U86" s="1308" t="s">
        <v>22</v>
      </c>
      <c r="V86" s="1308" t="s">
        <v>22</v>
      </c>
      <c r="W86" s="1308" t="s">
        <v>22</v>
      </c>
      <c r="X86" s="1308" t="s">
        <v>22</v>
      </c>
      <c r="Y86" s="1308"/>
      <c r="Z86" s="229"/>
      <c r="AA86" s="230"/>
      <c r="AB86" s="230"/>
      <c r="AC86" s="231"/>
      <c r="AD86" s="231"/>
      <c r="AE86" s="245"/>
      <c r="AF86" s="1350"/>
      <c r="AG86" s="1352"/>
      <c r="AH86" s="1352"/>
      <c r="AI86" s="1350"/>
      <c r="AJ86" s="1352"/>
      <c r="AK86" s="1352"/>
      <c r="AL86" s="772"/>
    </row>
    <row r="87" spans="1:38" ht="11.25" customHeight="1">
      <c r="A87" s="1030" t="s">
        <v>1019</v>
      </c>
      <c r="E87" s="557"/>
      <c r="F87" s="1339"/>
      <c r="G87" s="1340"/>
      <c r="H87" s="1335" t="s">
        <v>114</v>
      </c>
      <c r="I87" s="1347"/>
      <c r="J87" s="1363"/>
      <c r="K87" s="1349"/>
      <c r="L87" s="1079"/>
      <c r="M87" s="1080"/>
      <c r="N87" s="1355"/>
      <c r="O87" s="1356"/>
      <c r="P87" s="1358"/>
      <c r="Q87" s="1308"/>
      <c r="R87" s="1308"/>
      <c r="S87" s="1361"/>
      <c r="T87" s="1308"/>
      <c r="U87" s="1308"/>
      <c r="V87" s="1308"/>
      <c r="W87" s="1308"/>
      <c r="X87" s="1308"/>
      <c r="Y87" s="1308"/>
      <c r="AA87" s="778">
        <v>1</v>
      </c>
      <c r="AB87" s="779" t="s">
        <v>1057</v>
      </c>
      <c r="AC87" s="237">
        <v>58200</v>
      </c>
      <c r="AD87" s="779" t="str">
        <f>AB87</f>
        <v xml:space="preserve">  Кредиты</v>
      </c>
      <c r="AE87" s="237">
        <f>AC87</f>
        <v>58200</v>
      </c>
      <c r="AF87" s="1350"/>
      <c r="AG87" s="1352"/>
      <c r="AH87" s="1352"/>
      <c r="AI87" s="1350"/>
      <c r="AJ87" s="1352"/>
      <c r="AK87" s="1352"/>
      <c r="AL87" s="772"/>
    </row>
    <row r="88" spans="1:38" ht="11.25" customHeight="1">
      <c r="A88" s="1030" t="s">
        <v>1019</v>
      </c>
      <c r="E88" s="557"/>
      <c r="F88" s="1339"/>
      <c r="G88" s="1340"/>
      <c r="H88" s="1335" t="s">
        <v>114</v>
      </c>
      <c r="I88" s="1347"/>
      <c r="J88" s="1363"/>
      <c r="K88" s="1349"/>
      <c r="L88" s="1079"/>
      <c r="M88" s="1080"/>
      <c r="N88" s="1355"/>
      <c r="O88" s="1356"/>
      <c r="P88" s="1359"/>
      <c r="Q88" s="1308"/>
      <c r="R88" s="1308"/>
      <c r="S88" s="1361"/>
      <c r="T88" s="1308"/>
      <c r="U88" s="1308"/>
      <c r="V88" s="1308"/>
      <c r="W88" s="1308"/>
      <c r="X88" s="1308"/>
      <c r="Y88" s="1308"/>
      <c r="Z88" s="229"/>
      <c r="AA88" s="230"/>
      <c r="AB88" s="44" t="s">
        <v>1059</v>
      </c>
      <c r="AC88" s="231"/>
      <c r="AD88" s="231"/>
      <c r="AE88" s="246"/>
      <c r="AF88" s="1350"/>
      <c r="AG88" s="1352"/>
      <c r="AH88" s="1352"/>
      <c r="AI88" s="1350"/>
      <c r="AJ88" s="1352"/>
      <c r="AK88" s="1352"/>
      <c r="AL88" s="772"/>
    </row>
    <row r="89" spans="1:38" ht="11.25" customHeight="1">
      <c r="A89" s="1030" t="s">
        <v>1019</v>
      </c>
      <c r="E89" s="557"/>
      <c r="F89" s="1339"/>
      <c r="G89" s="1340"/>
      <c r="H89" s="1335" t="s">
        <v>114</v>
      </c>
      <c r="I89" s="1347"/>
      <c r="J89" s="1363"/>
      <c r="K89" s="1349"/>
      <c r="L89" s="1079"/>
      <c r="M89" s="1080"/>
      <c r="N89" s="229"/>
      <c r="O89" s="230"/>
      <c r="P89" s="44" t="s">
        <v>1060</v>
      </c>
      <c r="Q89" s="230"/>
      <c r="R89" s="230"/>
      <c r="S89" s="230"/>
      <c r="T89" s="230"/>
      <c r="U89" s="230"/>
      <c r="V89" s="230"/>
      <c r="W89" s="230"/>
      <c r="X89" s="230"/>
      <c r="Y89" s="230"/>
      <c r="Z89" s="230"/>
      <c r="AA89" s="230"/>
      <c r="AB89" s="230"/>
      <c r="AC89" s="230"/>
      <c r="AD89" s="230"/>
      <c r="AE89" s="247"/>
      <c r="AF89" s="1350"/>
      <c r="AG89" s="1352"/>
      <c r="AH89" s="1352"/>
      <c r="AI89" s="1350"/>
      <c r="AJ89" s="1352"/>
      <c r="AK89" s="1352"/>
      <c r="AL89" s="772"/>
    </row>
    <row r="90" spans="1:38" ht="11.25" customHeight="1">
      <c r="A90" s="1030" t="s">
        <v>1019</v>
      </c>
      <c r="B90" s="1030" t="s">
        <v>1051</v>
      </c>
      <c r="E90" s="557"/>
      <c r="F90" s="1339"/>
      <c r="G90" s="1325" t="s">
        <v>103</v>
      </c>
      <c r="H90" s="1335" t="s">
        <v>89</v>
      </c>
      <c r="I90" s="1347" t="s">
        <v>1052</v>
      </c>
      <c r="J90" s="1363" t="s">
        <v>1053</v>
      </c>
      <c r="K90" s="1349" t="s">
        <v>1080</v>
      </c>
      <c r="L90" s="1079" t="s">
        <v>19</v>
      </c>
      <c r="M90" s="1080"/>
      <c r="N90" s="242"/>
      <c r="O90" s="243" t="s">
        <v>384</v>
      </c>
      <c r="P90" s="244"/>
      <c r="Q90" s="244"/>
      <c r="R90" s="244"/>
      <c r="S90" s="244"/>
      <c r="T90" s="244"/>
      <c r="U90" s="244"/>
      <c r="V90" s="244"/>
      <c r="W90" s="244"/>
      <c r="X90" s="244"/>
      <c r="Y90" s="244"/>
      <c r="Z90" s="244"/>
      <c r="AA90" s="244"/>
      <c r="AB90" s="244"/>
      <c r="AC90" s="244"/>
      <c r="AD90" s="244"/>
      <c r="AE90" s="244"/>
      <c r="AF90" s="1350">
        <v>2</v>
      </c>
      <c r="AG90" s="1352" t="s">
        <v>1055</v>
      </c>
      <c r="AH90" s="1352" t="s">
        <v>1081</v>
      </c>
      <c r="AI90" s="1350">
        <v>2</v>
      </c>
      <c r="AJ90" s="1352" t="s">
        <v>1055</v>
      </c>
      <c r="AK90" s="1352" t="s">
        <v>1081</v>
      </c>
      <c r="AL90" s="772"/>
    </row>
    <row r="91" spans="1:38" ht="11.25" customHeight="1">
      <c r="A91" s="1030" t="s">
        <v>1019</v>
      </c>
      <c r="E91" s="557"/>
      <c r="F91" s="1339"/>
      <c r="G91" s="1340"/>
      <c r="H91" s="1335" t="s">
        <v>102</v>
      </c>
      <c r="I91" s="1347"/>
      <c r="J91" s="1363"/>
      <c r="K91" s="1349"/>
      <c r="L91" s="1079"/>
      <c r="M91" s="1080"/>
      <c r="N91" s="1355"/>
      <c r="O91" s="1356">
        <v>1</v>
      </c>
      <c r="P91" s="1357" t="s">
        <v>19</v>
      </c>
      <c r="Q91" s="1308" t="s">
        <v>22</v>
      </c>
      <c r="R91" s="1308" t="s">
        <v>22</v>
      </c>
      <c r="S91" s="1308" t="s">
        <v>22</v>
      </c>
      <c r="T91" s="1308" t="s">
        <v>22</v>
      </c>
      <c r="U91" s="1308" t="s">
        <v>22</v>
      </c>
      <c r="V91" s="1308" t="s">
        <v>22</v>
      </c>
      <c r="W91" s="1308" t="s">
        <v>22</v>
      </c>
      <c r="X91" s="1308" t="s">
        <v>22</v>
      </c>
      <c r="Y91" s="1308"/>
      <c r="Z91" s="229"/>
      <c r="AA91" s="230"/>
      <c r="AB91" s="230"/>
      <c r="AC91" s="231"/>
      <c r="AD91" s="231"/>
      <c r="AE91" s="245"/>
      <c r="AF91" s="1350"/>
      <c r="AG91" s="1352"/>
      <c r="AH91" s="1352"/>
      <c r="AI91" s="1350"/>
      <c r="AJ91" s="1352"/>
      <c r="AK91" s="1352"/>
      <c r="AL91" s="772"/>
    </row>
    <row r="92" spans="1:38" ht="11.25" customHeight="1">
      <c r="A92" s="1030" t="s">
        <v>1019</v>
      </c>
      <c r="E92" s="557"/>
      <c r="F92" s="1339"/>
      <c r="G92" s="1340"/>
      <c r="H92" s="1335" t="s">
        <v>102</v>
      </c>
      <c r="I92" s="1347"/>
      <c r="J92" s="1363"/>
      <c r="K92" s="1349"/>
      <c r="L92" s="1079"/>
      <c r="M92" s="1080"/>
      <c r="N92" s="1355"/>
      <c r="O92" s="1356"/>
      <c r="P92" s="1358"/>
      <c r="Q92" s="1308"/>
      <c r="R92" s="1308"/>
      <c r="S92" s="1361"/>
      <c r="T92" s="1308"/>
      <c r="U92" s="1308"/>
      <c r="V92" s="1308"/>
      <c r="W92" s="1308"/>
      <c r="X92" s="1308"/>
      <c r="Y92" s="1308"/>
      <c r="AA92" s="778">
        <v>1</v>
      </c>
      <c r="AB92" s="779" t="s">
        <v>1057</v>
      </c>
      <c r="AC92" s="237">
        <v>30300</v>
      </c>
      <c r="AD92" s="779" t="str">
        <f>AB92</f>
        <v xml:space="preserve">  Кредиты</v>
      </c>
      <c r="AE92" s="237">
        <f>AC92</f>
        <v>30300</v>
      </c>
      <c r="AF92" s="1350"/>
      <c r="AG92" s="1352"/>
      <c r="AH92" s="1352"/>
      <c r="AI92" s="1350"/>
      <c r="AJ92" s="1352"/>
      <c r="AK92" s="1352"/>
      <c r="AL92" s="772"/>
    </row>
    <row r="93" spans="1:38" ht="11.25" customHeight="1">
      <c r="A93" s="1030" t="s">
        <v>1019</v>
      </c>
      <c r="E93" s="557"/>
      <c r="F93" s="1339"/>
      <c r="G93" s="1340"/>
      <c r="H93" s="1335" t="s">
        <v>102</v>
      </c>
      <c r="I93" s="1347"/>
      <c r="J93" s="1363"/>
      <c r="K93" s="1349"/>
      <c r="L93" s="1079"/>
      <c r="M93" s="1080"/>
      <c r="N93" s="1355"/>
      <c r="O93" s="1356"/>
      <c r="P93" s="1359"/>
      <c r="Q93" s="1308"/>
      <c r="R93" s="1308"/>
      <c r="S93" s="1361"/>
      <c r="T93" s="1308"/>
      <c r="U93" s="1308"/>
      <c r="V93" s="1308"/>
      <c r="W93" s="1308"/>
      <c r="X93" s="1308"/>
      <c r="Y93" s="1308"/>
      <c r="Z93" s="229"/>
      <c r="AA93" s="230"/>
      <c r="AB93" s="44" t="s">
        <v>1059</v>
      </c>
      <c r="AC93" s="231"/>
      <c r="AD93" s="231"/>
      <c r="AE93" s="246"/>
      <c r="AF93" s="1350"/>
      <c r="AG93" s="1352"/>
      <c r="AH93" s="1352"/>
      <c r="AI93" s="1350"/>
      <c r="AJ93" s="1352"/>
      <c r="AK93" s="1352"/>
      <c r="AL93" s="772"/>
    </row>
    <row r="94" spans="1:38" ht="11.25" customHeight="1">
      <c r="A94" s="1030" t="s">
        <v>1019</v>
      </c>
      <c r="E94" s="557"/>
      <c r="F94" s="1339"/>
      <c r="G94" s="1340"/>
      <c r="H94" s="1335" t="s">
        <v>102</v>
      </c>
      <c r="I94" s="1347"/>
      <c r="J94" s="1363"/>
      <c r="K94" s="1349"/>
      <c r="L94" s="1079"/>
      <c r="M94" s="1080"/>
      <c r="N94" s="229"/>
      <c r="O94" s="230"/>
      <c r="P94" s="44" t="s">
        <v>1060</v>
      </c>
      <c r="Q94" s="230"/>
      <c r="R94" s="230"/>
      <c r="S94" s="230"/>
      <c r="T94" s="230"/>
      <c r="U94" s="230"/>
      <c r="V94" s="230"/>
      <c r="W94" s="230"/>
      <c r="X94" s="230"/>
      <c r="Y94" s="230"/>
      <c r="Z94" s="230"/>
      <c r="AA94" s="230"/>
      <c r="AB94" s="230"/>
      <c r="AC94" s="230"/>
      <c r="AD94" s="230"/>
      <c r="AE94" s="247"/>
      <c r="AF94" s="1350"/>
      <c r="AG94" s="1352"/>
      <c r="AH94" s="1352"/>
      <c r="AI94" s="1350"/>
      <c r="AJ94" s="1352"/>
      <c r="AK94" s="1352"/>
      <c r="AL94" s="772"/>
    </row>
    <row r="95" spans="1:38" ht="11.25" customHeight="1">
      <c r="A95" s="1030" t="s">
        <v>1019</v>
      </c>
      <c r="B95" s="1030" t="s">
        <v>22</v>
      </c>
      <c r="E95" s="557"/>
      <c r="F95" s="1339"/>
      <c r="G95" s="1325" t="s">
        <v>103</v>
      </c>
      <c r="H95" s="1335" t="s">
        <v>90</v>
      </c>
      <c r="I95" s="1347" t="s">
        <v>1061</v>
      </c>
      <c r="J95" s="1360" t="s">
        <v>22</v>
      </c>
      <c r="K95" s="1349" t="s">
        <v>1082</v>
      </c>
      <c r="L95" s="1079" t="s">
        <v>19</v>
      </c>
      <c r="M95" s="1080"/>
      <c r="N95" s="242"/>
      <c r="O95" s="243" t="s">
        <v>384</v>
      </c>
      <c r="P95" s="244"/>
      <c r="Q95" s="244"/>
      <c r="R95" s="244"/>
      <c r="S95" s="244"/>
      <c r="T95" s="244"/>
      <c r="U95" s="244"/>
      <c r="V95" s="244"/>
      <c r="W95" s="244"/>
      <c r="X95" s="244"/>
      <c r="Y95" s="244"/>
      <c r="Z95" s="244"/>
      <c r="AA95" s="244"/>
      <c r="AB95" s="244"/>
      <c r="AC95" s="244"/>
      <c r="AD95" s="244"/>
      <c r="AE95" s="244"/>
      <c r="AF95" s="1350">
        <v>3</v>
      </c>
      <c r="AG95" s="1352" t="s">
        <v>1055</v>
      </c>
      <c r="AH95" s="1352" t="s">
        <v>1083</v>
      </c>
      <c r="AI95" s="1350">
        <v>3</v>
      </c>
      <c r="AJ95" s="1352" t="s">
        <v>1055</v>
      </c>
      <c r="AK95" s="1352" t="s">
        <v>1083</v>
      </c>
      <c r="AL95" s="772"/>
    </row>
    <row r="96" spans="1:38" ht="11.25" customHeight="1">
      <c r="A96" s="1030" t="s">
        <v>1019</v>
      </c>
      <c r="E96" s="557"/>
      <c r="F96" s="1339"/>
      <c r="G96" s="1340"/>
      <c r="H96" s="1335" t="s">
        <v>89</v>
      </c>
      <c r="I96" s="1347"/>
      <c r="J96" s="1360"/>
      <c r="K96" s="1349"/>
      <c r="L96" s="1079"/>
      <c r="M96" s="1080"/>
      <c r="N96" s="1355"/>
      <c r="O96" s="1356">
        <v>1</v>
      </c>
      <c r="P96" s="1357" t="s">
        <v>61</v>
      </c>
      <c r="Q96" s="1348" t="s">
        <v>1064</v>
      </c>
      <c r="R96" s="1362" t="s">
        <v>1065</v>
      </c>
      <c r="S96" s="1362" t="s">
        <v>99</v>
      </c>
      <c r="T96" s="1362" t="s">
        <v>99</v>
      </c>
      <c r="U96" s="1362" t="s">
        <v>100</v>
      </c>
      <c r="V96" s="1362" t="s">
        <v>1066</v>
      </c>
      <c r="W96" s="1362" t="s">
        <v>1067</v>
      </c>
      <c r="X96" s="1362" t="s">
        <v>1068</v>
      </c>
      <c r="Y96" s="1362" t="s">
        <v>1069</v>
      </c>
      <c r="Z96" s="229"/>
      <c r="AA96" s="230"/>
      <c r="AB96" s="230"/>
      <c r="AC96" s="231"/>
      <c r="AD96" s="231"/>
      <c r="AE96" s="245"/>
      <c r="AF96" s="1350"/>
      <c r="AG96" s="1352"/>
      <c r="AH96" s="1352"/>
      <c r="AI96" s="1350"/>
      <c r="AJ96" s="1352"/>
      <c r="AK96" s="1352"/>
      <c r="AL96" s="772"/>
    </row>
    <row r="97" spans="1:38" ht="11.25" customHeight="1">
      <c r="A97" s="1030" t="s">
        <v>1019</v>
      </c>
      <c r="E97" s="557"/>
      <c r="F97" s="1339"/>
      <c r="G97" s="1340"/>
      <c r="H97" s="1335" t="s">
        <v>89</v>
      </c>
      <c r="I97" s="1347"/>
      <c r="J97" s="1360"/>
      <c r="K97" s="1349"/>
      <c r="L97" s="1079"/>
      <c r="M97" s="1080"/>
      <c r="N97" s="1355"/>
      <c r="O97" s="1356"/>
      <c r="P97" s="1358"/>
      <c r="Q97" s="1348"/>
      <c r="R97" s="1308"/>
      <c r="S97" s="1361"/>
      <c r="T97" s="1308"/>
      <c r="U97" s="1308"/>
      <c r="V97" s="1308"/>
      <c r="W97" s="1308"/>
      <c r="X97" s="1308"/>
      <c r="Y97" s="1308"/>
      <c r="AA97" s="778">
        <v>1</v>
      </c>
      <c r="AB97" s="779" t="s">
        <v>1057</v>
      </c>
      <c r="AC97" s="237">
        <v>18621.400000000001</v>
      </c>
      <c r="AD97" s="779" t="str">
        <f>AB97</f>
        <v xml:space="preserve">  Кредиты</v>
      </c>
      <c r="AE97" s="237">
        <f>AC97</f>
        <v>18621.400000000001</v>
      </c>
      <c r="AF97" s="1350"/>
      <c r="AG97" s="1352"/>
      <c r="AH97" s="1352"/>
      <c r="AI97" s="1350"/>
      <c r="AJ97" s="1352"/>
      <c r="AK97" s="1352"/>
      <c r="AL97" s="772"/>
    </row>
    <row r="98" spans="1:38" ht="11.25" customHeight="1">
      <c r="A98" s="1030" t="s">
        <v>1019</v>
      </c>
      <c r="E98" s="557"/>
      <c r="F98" s="1339"/>
      <c r="G98" s="1340"/>
      <c r="H98" s="1335" t="s">
        <v>89</v>
      </c>
      <c r="I98" s="1347"/>
      <c r="J98" s="1360"/>
      <c r="K98" s="1349"/>
      <c r="L98" s="1079"/>
      <c r="M98" s="1080"/>
      <c r="N98" s="1355"/>
      <c r="O98" s="1356"/>
      <c r="P98" s="1359"/>
      <c r="Q98" s="1348"/>
      <c r="R98" s="1308"/>
      <c r="S98" s="1361"/>
      <c r="T98" s="1308"/>
      <c r="U98" s="1308"/>
      <c r="V98" s="1308"/>
      <c r="W98" s="1308"/>
      <c r="X98" s="1308"/>
      <c r="Y98" s="1308"/>
      <c r="Z98" s="229"/>
      <c r="AA98" s="230"/>
      <c r="AB98" s="44" t="s">
        <v>1059</v>
      </c>
      <c r="AC98" s="231"/>
      <c r="AD98" s="231"/>
      <c r="AE98" s="246"/>
      <c r="AF98" s="1350"/>
      <c r="AG98" s="1352"/>
      <c r="AH98" s="1352"/>
      <c r="AI98" s="1350"/>
      <c r="AJ98" s="1352"/>
      <c r="AK98" s="1352"/>
      <c r="AL98" s="772"/>
    </row>
    <row r="99" spans="1:38" ht="11.25" customHeight="1">
      <c r="A99" s="1030" t="s">
        <v>1019</v>
      </c>
      <c r="E99" s="557"/>
      <c r="F99" s="1339"/>
      <c r="G99" s="1340"/>
      <c r="H99" s="1335" t="s">
        <v>89</v>
      </c>
      <c r="I99" s="1347"/>
      <c r="J99" s="1360"/>
      <c r="K99" s="1349"/>
      <c r="L99" s="1079"/>
      <c r="M99" s="1080"/>
      <c r="N99" s="229"/>
      <c r="O99" s="230"/>
      <c r="P99" s="44" t="s">
        <v>1060</v>
      </c>
      <c r="Q99" s="230"/>
      <c r="R99" s="230"/>
      <c r="S99" s="230"/>
      <c r="T99" s="230"/>
      <c r="U99" s="230"/>
      <c r="V99" s="230"/>
      <c r="W99" s="230"/>
      <c r="X99" s="230"/>
      <c r="Y99" s="230"/>
      <c r="Z99" s="230"/>
      <c r="AA99" s="230"/>
      <c r="AB99" s="230"/>
      <c r="AC99" s="230"/>
      <c r="AD99" s="230"/>
      <c r="AE99" s="247"/>
      <c r="AF99" s="1350"/>
      <c r="AG99" s="1352"/>
      <c r="AH99" s="1352"/>
      <c r="AI99" s="1350"/>
      <c r="AJ99" s="1352"/>
      <c r="AK99" s="1352"/>
      <c r="AL99" s="772"/>
    </row>
    <row r="100" spans="1:38" ht="11.25" customHeight="1">
      <c r="A100" s="1030" t="s">
        <v>1019</v>
      </c>
      <c r="B100" s="1030" t="s">
        <v>1086</v>
      </c>
      <c r="E100" s="557"/>
      <c r="F100" s="1339"/>
      <c r="G100" s="1325" t="s">
        <v>103</v>
      </c>
      <c r="H100" s="1335" t="s">
        <v>115</v>
      </c>
      <c r="I100" s="1347" t="s">
        <v>1087</v>
      </c>
      <c r="J100" s="1363" t="s">
        <v>1088</v>
      </c>
      <c r="K100" s="1349" t="s">
        <v>1089</v>
      </c>
      <c r="L100" s="1079" t="s">
        <v>19</v>
      </c>
      <c r="M100" s="1080"/>
      <c r="N100" s="242"/>
      <c r="O100" s="243" t="s">
        <v>384</v>
      </c>
      <c r="P100" s="244"/>
      <c r="Q100" s="244"/>
      <c r="R100" s="244"/>
      <c r="S100" s="244"/>
      <c r="T100" s="244"/>
      <c r="U100" s="244"/>
      <c r="V100" s="244"/>
      <c r="W100" s="244"/>
      <c r="X100" s="244"/>
      <c r="Y100" s="244"/>
      <c r="Z100" s="244"/>
      <c r="AA100" s="244"/>
      <c r="AB100" s="244"/>
      <c r="AC100" s="244"/>
      <c r="AD100" s="244"/>
      <c r="AE100" s="244"/>
      <c r="AF100" s="1350">
        <v>3</v>
      </c>
      <c r="AG100" s="1352" t="s">
        <v>1055</v>
      </c>
      <c r="AH100" s="1352" t="s">
        <v>1083</v>
      </c>
      <c r="AI100" s="1350">
        <v>3</v>
      </c>
      <c r="AJ100" s="1352" t="s">
        <v>1055</v>
      </c>
      <c r="AK100" s="1352" t="s">
        <v>1083</v>
      </c>
      <c r="AL100" s="772"/>
    </row>
    <row r="101" spans="1:38" ht="11.25" customHeight="1">
      <c r="A101" s="1030" t="s">
        <v>1019</v>
      </c>
      <c r="E101" s="557"/>
      <c r="F101" s="1339"/>
      <c r="G101" s="1340"/>
      <c r="H101" s="1335" t="s">
        <v>90</v>
      </c>
      <c r="I101" s="1347"/>
      <c r="J101" s="1363"/>
      <c r="K101" s="1349"/>
      <c r="L101" s="1079"/>
      <c r="M101" s="1080"/>
      <c r="N101" s="1355"/>
      <c r="O101" s="1356">
        <v>1</v>
      </c>
      <c r="P101" s="1357" t="s">
        <v>19</v>
      </c>
      <c r="Q101" s="1308" t="s">
        <v>22</v>
      </c>
      <c r="R101" s="1308" t="s">
        <v>22</v>
      </c>
      <c r="S101" s="1308" t="s">
        <v>22</v>
      </c>
      <c r="T101" s="1308" t="s">
        <v>22</v>
      </c>
      <c r="U101" s="1308" t="s">
        <v>22</v>
      </c>
      <c r="V101" s="1308" t="s">
        <v>22</v>
      </c>
      <c r="W101" s="1308" t="s">
        <v>22</v>
      </c>
      <c r="X101" s="1308" t="s">
        <v>22</v>
      </c>
      <c r="Y101" s="1308"/>
      <c r="Z101" s="229"/>
      <c r="AA101" s="230"/>
      <c r="AB101" s="230"/>
      <c r="AC101" s="231"/>
      <c r="AD101" s="231"/>
      <c r="AE101" s="245"/>
      <c r="AF101" s="1350"/>
      <c r="AG101" s="1352"/>
      <c r="AH101" s="1352"/>
      <c r="AI101" s="1350"/>
      <c r="AJ101" s="1352"/>
      <c r="AK101" s="1352"/>
      <c r="AL101" s="772"/>
    </row>
    <row r="102" spans="1:38" ht="11.25" customHeight="1">
      <c r="A102" s="1030" t="s">
        <v>1019</v>
      </c>
      <c r="E102" s="557"/>
      <c r="F102" s="1339"/>
      <c r="G102" s="1340"/>
      <c r="H102" s="1335" t="s">
        <v>90</v>
      </c>
      <c r="I102" s="1347"/>
      <c r="J102" s="1363"/>
      <c r="K102" s="1349"/>
      <c r="L102" s="1079"/>
      <c r="M102" s="1080"/>
      <c r="N102" s="1355"/>
      <c r="O102" s="1356"/>
      <c r="P102" s="1358"/>
      <c r="Q102" s="1308"/>
      <c r="R102" s="1308"/>
      <c r="S102" s="1361"/>
      <c r="T102" s="1308"/>
      <c r="U102" s="1308"/>
      <c r="V102" s="1308"/>
      <c r="W102" s="1308"/>
      <c r="X102" s="1308"/>
      <c r="Y102" s="1308"/>
      <c r="AA102" s="778">
        <v>1</v>
      </c>
      <c r="AB102" s="779" t="s">
        <v>1057</v>
      </c>
      <c r="AC102" s="237">
        <v>488</v>
      </c>
      <c r="AD102" s="779" t="str">
        <f>AB102</f>
        <v xml:space="preserve">  Кредиты</v>
      </c>
      <c r="AE102" s="237">
        <f>AC102</f>
        <v>488</v>
      </c>
      <c r="AF102" s="1350"/>
      <c r="AG102" s="1352"/>
      <c r="AH102" s="1352"/>
      <c r="AI102" s="1350"/>
      <c r="AJ102" s="1352"/>
      <c r="AK102" s="1352"/>
      <c r="AL102" s="772"/>
    </row>
    <row r="103" spans="1:38" ht="11.25" customHeight="1">
      <c r="A103" s="1030" t="s">
        <v>1019</v>
      </c>
      <c r="E103" s="557"/>
      <c r="F103" s="1339"/>
      <c r="G103" s="1340"/>
      <c r="H103" s="1335" t="s">
        <v>90</v>
      </c>
      <c r="I103" s="1347"/>
      <c r="J103" s="1363"/>
      <c r="K103" s="1349"/>
      <c r="L103" s="1079"/>
      <c r="M103" s="1080"/>
      <c r="N103" s="1355"/>
      <c r="O103" s="1356"/>
      <c r="P103" s="1359"/>
      <c r="Q103" s="1308"/>
      <c r="R103" s="1308"/>
      <c r="S103" s="1361"/>
      <c r="T103" s="1308"/>
      <c r="U103" s="1308"/>
      <c r="V103" s="1308"/>
      <c r="W103" s="1308"/>
      <c r="X103" s="1308"/>
      <c r="Y103" s="1308"/>
      <c r="Z103" s="229"/>
      <c r="AA103" s="230"/>
      <c r="AB103" s="44" t="s">
        <v>1059</v>
      </c>
      <c r="AC103" s="231"/>
      <c r="AD103" s="231"/>
      <c r="AE103" s="246"/>
      <c r="AF103" s="1350"/>
      <c r="AG103" s="1352"/>
      <c r="AH103" s="1352"/>
      <c r="AI103" s="1350"/>
      <c r="AJ103" s="1352"/>
      <c r="AK103" s="1352"/>
      <c r="AL103" s="772"/>
    </row>
    <row r="104" spans="1:38" ht="11.25" customHeight="1">
      <c r="A104" s="1030" t="s">
        <v>1019</v>
      </c>
      <c r="E104" s="557"/>
      <c r="F104" s="1339"/>
      <c r="G104" s="1340"/>
      <c r="H104" s="1335" t="s">
        <v>90</v>
      </c>
      <c r="I104" s="1347"/>
      <c r="J104" s="1363"/>
      <c r="K104" s="1349"/>
      <c r="L104" s="1079"/>
      <c r="M104" s="1080"/>
      <c r="N104" s="229"/>
      <c r="O104" s="230"/>
      <c r="P104" s="44" t="s">
        <v>1060</v>
      </c>
      <c r="Q104" s="230"/>
      <c r="R104" s="230"/>
      <c r="S104" s="230"/>
      <c r="T104" s="230"/>
      <c r="U104" s="230"/>
      <c r="V104" s="230"/>
      <c r="W104" s="230"/>
      <c r="X104" s="230"/>
      <c r="Y104" s="230"/>
      <c r="Z104" s="230"/>
      <c r="AA104" s="230"/>
      <c r="AB104" s="230"/>
      <c r="AC104" s="230"/>
      <c r="AD104" s="230"/>
      <c r="AE104" s="247"/>
      <c r="AF104" s="1350"/>
      <c r="AG104" s="1352"/>
      <c r="AH104" s="1352"/>
      <c r="AI104" s="1350"/>
      <c r="AJ104" s="1352"/>
      <c r="AK104" s="1352"/>
      <c r="AL104" s="772"/>
    </row>
    <row r="105" spans="1:38" ht="12" customHeight="1">
      <c r="A105" t="s">
        <v>1019</v>
      </c>
      <c r="E105" s="557"/>
      <c r="F105" s="1341"/>
      <c r="G105" s="775"/>
      <c r="H105" s="775"/>
      <c r="I105" s="1337" t="s">
        <v>1070</v>
      </c>
      <c r="J105" s="1337"/>
      <c r="K105" s="1337"/>
      <c r="L105" s="776"/>
      <c r="M105" s="776"/>
      <c r="N105" s="777"/>
      <c r="O105" s="777"/>
      <c r="P105" s="777"/>
      <c r="Q105" s="777"/>
      <c r="R105" s="777"/>
      <c r="S105" s="777"/>
      <c r="T105" s="777"/>
      <c r="U105" s="777"/>
      <c r="V105" s="777"/>
      <c r="W105" s="777"/>
      <c r="X105" s="777"/>
      <c r="Y105" s="777"/>
      <c r="Z105" s="777"/>
      <c r="AA105" s="777"/>
      <c r="AB105" s="777"/>
      <c r="AC105" s="777"/>
      <c r="AD105" s="777"/>
      <c r="AE105" s="777"/>
      <c r="AF105" s="777"/>
      <c r="AG105" s="776"/>
      <c r="AH105" s="776"/>
      <c r="AI105" s="777"/>
      <c r="AJ105" s="776"/>
      <c r="AK105" s="777"/>
      <c r="AL105" s="772"/>
    </row>
    <row r="106" spans="1:38" ht="0.75" customHeight="1">
      <c r="A106" t="s">
        <v>1019</v>
      </c>
      <c r="E106" s="557"/>
      <c r="F106" s="1338">
        <v>2017</v>
      </c>
      <c r="G106" s="1335"/>
      <c r="H106" s="1343" t="s">
        <v>384</v>
      </c>
      <c r="I106" s="1344"/>
      <c r="J106" s="1334"/>
      <c r="K106" s="1334"/>
      <c r="L106" s="1336"/>
      <c r="M106" s="1190"/>
      <c r="N106" s="214"/>
      <c r="O106" s="215"/>
      <c r="P106" s="214"/>
      <c r="Q106" s="214"/>
      <c r="R106" s="214"/>
      <c r="S106" s="214"/>
      <c r="T106" s="214"/>
      <c r="U106" s="214"/>
      <c r="V106" s="214"/>
      <c r="W106" s="214"/>
      <c r="X106" s="214"/>
      <c r="Y106" s="214"/>
      <c r="Z106" s="214"/>
      <c r="AA106" s="214"/>
      <c r="AB106" s="214"/>
      <c r="AC106" s="214"/>
      <c r="AD106" s="214"/>
      <c r="AE106" s="214"/>
      <c r="AF106" s="1342"/>
      <c r="AG106" s="1336"/>
      <c r="AH106" s="1336"/>
      <c r="AI106" s="1342"/>
      <c r="AJ106" s="1336"/>
      <c r="AK106" s="1336"/>
      <c r="AL106" s="772"/>
    </row>
    <row r="107" spans="1:38" ht="0.75" customHeight="1">
      <c r="A107" t="s">
        <v>1019</v>
      </c>
      <c r="E107" s="557"/>
      <c r="F107" s="1338"/>
      <c r="G107" s="1335"/>
      <c r="H107" s="1343"/>
      <c r="I107" s="1344"/>
      <c r="J107" s="1334"/>
      <c r="K107" s="1334"/>
      <c r="L107" s="1336"/>
      <c r="M107" s="1190"/>
      <c r="N107" s="1345"/>
      <c r="O107" s="1346"/>
      <c r="P107" s="1331"/>
      <c r="Q107" s="1334"/>
      <c r="R107" s="1334"/>
      <c r="S107" s="1334"/>
      <c r="T107" s="1334"/>
      <c r="U107" s="1334"/>
      <c r="V107" s="1334"/>
      <c r="W107" s="1334"/>
      <c r="X107" s="1334"/>
      <c r="Y107" s="1334"/>
      <c r="Z107" s="216"/>
      <c r="AA107" s="217"/>
      <c r="AB107" s="217"/>
      <c r="AC107" s="218"/>
      <c r="AD107" s="218"/>
      <c r="AE107" s="219"/>
      <c r="AF107" s="1342"/>
      <c r="AG107" s="1336"/>
      <c r="AH107" s="1336"/>
      <c r="AI107" s="1342"/>
      <c r="AJ107" s="1336"/>
      <c r="AK107" s="1336"/>
      <c r="AL107" s="772"/>
    </row>
    <row r="108" spans="1:38" ht="0.75" customHeight="1">
      <c r="A108" t="s">
        <v>1019</v>
      </c>
      <c r="E108" s="557"/>
      <c r="F108" s="1338"/>
      <c r="G108" s="1335"/>
      <c r="H108" s="1343"/>
      <c r="I108" s="1344"/>
      <c r="J108" s="1334"/>
      <c r="K108" s="1334"/>
      <c r="L108" s="1336"/>
      <c r="M108" s="1190"/>
      <c r="N108" s="1345"/>
      <c r="O108" s="1346"/>
      <c r="P108" s="1332"/>
      <c r="Q108" s="1334"/>
      <c r="R108" s="1334"/>
      <c r="S108" s="1334"/>
      <c r="T108" s="1334"/>
      <c r="U108" s="1334"/>
      <c r="V108" s="1334"/>
      <c r="W108" s="1334"/>
      <c r="X108" s="1334"/>
      <c r="Y108" s="1334"/>
      <c r="AA108" s="773"/>
      <c r="AB108" s="774"/>
      <c r="AC108" s="220"/>
      <c r="AD108" s="774"/>
      <c r="AE108" s="220"/>
      <c r="AF108" s="1342"/>
      <c r="AG108" s="1336"/>
      <c r="AH108" s="1336"/>
      <c r="AI108" s="1342"/>
      <c r="AJ108" s="1336"/>
      <c r="AK108" s="1336"/>
      <c r="AL108" s="772"/>
    </row>
    <row r="109" spans="1:38" ht="0.75" customHeight="1">
      <c r="A109" t="s">
        <v>1019</v>
      </c>
      <c r="E109" s="557"/>
      <c r="F109" s="1338"/>
      <c r="G109" s="1335"/>
      <c r="H109" s="1343"/>
      <c r="I109" s="1344"/>
      <c r="J109" s="1334"/>
      <c r="K109" s="1334"/>
      <c r="L109" s="1336"/>
      <c r="M109" s="1190"/>
      <c r="N109" s="1345"/>
      <c r="O109" s="1346"/>
      <c r="P109" s="1333"/>
      <c r="Q109" s="1334"/>
      <c r="R109" s="1334"/>
      <c r="S109" s="1334"/>
      <c r="T109" s="1334"/>
      <c r="U109" s="1334"/>
      <c r="V109" s="1334"/>
      <c r="W109" s="1334"/>
      <c r="X109" s="1334"/>
      <c r="Y109" s="1334"/>
      <c r="Z109" s="216"/>
      <c r="AA109" s="217"/>
      <c r="AB109" s="221"/>
      <c r="AC109" s="218"/>
      <c r="AD109" s="218"/>
      <c r="AE109" s="222"/>
      <c r="AF109" s="1342"/>
      <c r="AG109" s="1336"/>
      <c r="AH109" s="1336"/>
      <c r="AI109" s="1342"/>
      <c r="AJ109" s="1336"/>
      <c r="AK109" s="1336"/>
      <c r="AL109" s="772"/>
    </row>
    <row r="110" spans="1:38" ht="0.75" customHeight="1">
      <c r="A110" t="s">
        <v>1019</v>
      </c>
      <c r="E110" s="557"/>
      <c r="F110" s="1338"/>
      <c r="G110" s="1335"/>
      <c r="H110" s="1343"/>
      <c r="I110" s="1344"/>
      <c r="J110" s="1334"/>
      <c r="K110" s="1334"/>
      <c r="L110" s="1336"/>
      <c r="M110" s="1190"/>
      <c r="N110" s="217"/>
      <c r="O110" s="217"/>
      <c r="P110" s="221"/>
      <c r="Q110" s="217"/>
      <c r="R110" s="217"/>
      <c r="S110" s="217"/>
      <c r="T110" s="217"/>
      <c r="U110" s="217"/>
      <c r="V110" s="217"/>
      <c r="W110" s="217"/>
      <c r="X110" s="217"/>
      <c r="Y110" s="217"/>
      <c r="Z110" s="217"/>
      <c r="AA110" s="217"/>
      <c r="AB110" s="217"/>
      <c r="AC110" s="217"/>
      <c r="AD110" s="217"/>
      <c r="AE110" s="223"/>
      <c r="AF110" s="1342"/>
      <c r="AG110" s="1336"/>
      <c r="AH110" s="1336"/>
      <c r="AI110" s="1342"/>
      <c r="AJ110" s="1336"/>
      <c r="AK110" s="1336"/>
      <c r="AL110" s="772"/>
    </row>
    <row r="111" spans="1:38" ht="11.25" customHeight="1">
      <c r="A111" s="1030" t="s">
        <v>1019</v>
      </c>
      <c r="B111" s="1030" t="s">
        <v>22</v>
      </c>
      <c r="E111" s="557"/>
      <c r="F111" s="1339"/>
      <c r="G111" s="1325" t="s">
        <v>103</v>
      </c>
      <c r="H111" s="1335" t="s">
        <v>114</v>
      </c>
      <c r="I111" s="1347" t="s">
        <v>1071</v>
      </c>
      <c r="J111" s="1360" t="s">
        <v>22</v>
      </c>
      <c r="K111" s="1349" t="s">
        <v>1090</v>
      </c>
      <c r="L111" s="1079" t="s">
        <v>19</v>
      </c>
      <c r="M111" s="1080"/>
      <c r="N111" s="242"/>
      <c r="O111" s="243" t="s">
        <v>384</v>
      </c>
      <c r="P111" s="244"/>
      <c r="Q111" s="244"/>
      <c r="R111" s="244"/>
      <c r="S111" s="244"/>
      <c r="T111" s="244"/>
      <c r="U111" s="244"/>
      <c r="V111" s="244"/>
      <c r="W111" s="244"/>
      <c r="X111" s="244"/>
      <c r="Y111" s="244"/>
      <c r="Z111" s="244"/>
      <c r="AA111" s="244"/>
      <c r="AB111" s="244"/>
      <c r="AC111" s="244"/>
      <c r="AD111" s="244"/>
      <c r="AE111" s="244"/>
      <c r="AF111" s="1350">
        <v>3</v>
      </c>
      <c r="AG111" s="1352" t="s">
        <v>1055</v>
      </c>
      <c r="AH111" s="1352" t="s">
        <v>1073</v>
      </c>
      <c r="AI111" s="1350">
        <v>3</v>
      </c>
      <c r="AJ111" s="1352" t="s">
        <v>1055</v>
      </c>
      <c r="AK111" s="1352" t="s">
        <v>1073</v>
      </c>
      <c r="AL111" s="772"/>
    </row>
    <row r="112" spans="1:38" ht="11.25" customHeight="1">
      <c r="A112" s="1030" t="s">
        <v>1019</v>
      </c>
      <c r="E112" s="557"/>
      <c r="F112" s="1339"/>
      <c r="G112" s="1340"/>
      <c r="H112" s="1335" t="s">
        <v>384</v>
      </c>
      <c r="I112" s="1347"/>
      <c r="J112" s="1360"/>
      <c r="K112" s="1349"/>
      <c r="L112" s="1079"/>
      <c r="M112" s="1080"/>
      <c r="N112" s="1355"/>
      <c r="O112" s="1356">
        <v>1</v>
      </c>
      <c r="P112" s="1357" t="s">
        <v>19</v>
      </c>
      <c r="Q112" s="1308" t="s">
        <v>22</v>
      </c>
      <c r="R112" s="1308" t="s">
        <v>22</v>
      </c>
      <c r="S112" s="1308" t="s">
        <v>22</v>
      </c>
      <c r="T112" s="1308" t="s">
        <v>22</v>
      </c>
      <c r="U112" s="1308" t="s">
        <v>22</v>
      </c>
      <c r="V112" s="1308" t="s">
        <v>22</v>
      </c>
      <c r="W112" s="1308" t="s">
        <v>22</v>
      </c>
      <c r="X112" s="1308" t="s">
        <v>22</v>
      </c>
      <c r="Y112" s="1308"/>
      <c r="Z112" s="229"/>
      <c r="AA112" s="230"/>
      <c r="AB112" s="230"/>
      <c r="AC112" s="231"/>
      <c r="AD112" s="231"/>
      <c r="AE112" s="245"/>
      <c r="AF112" s="1350"/>
      <c r="AG112" s="1352"/>
      <c r="AH112" s="1352"/>
      <c r="AI112" s="1350"/>
      <c r="AJ112" s="1352"/>
      <c r="AK112" s="1352"/>
      <c r="AL112" s="772"/>
    </row>
    <row r="113" spans="1:38" ht="11.25" customHeight="1">
      <c r="A113" s="1030" t="s">
        <v>1019</v>
      </c>
      <c r="E113" s="557"/>
      <c r="F113" s="1339"/>
      <c r="G113" s="1340"/>
      <c r="H113" s="1335" t="s">
        <v>384</v>
      </c>
      <c r="I113" s="1347"/>
      <c r="J113" s="1360"/>
      <c r="K113" s="1349"/>
      <c r="L113" s="1079"/>
      <c r="M113" s="1080"/>
      <c r="N113" s="1355"/>
      <c r="O113" s="1356"/>
      <c r="P113" s="1358"/>
      <c r="Q113" s="1308"/>
      <c r="R113" s="1308"/>
      <c r="S113" s="1361"/>
      <c r="T113" s="1308"/>
      <c r="U113" s="1308"/>
      <c r="V113" s="1308"/>
      <c r="W113" s="1308"/>
      <c r="X113" s="1308"/>
      <c r="Y113" s="1308"/>
      <c r="AA113" s="778">
        <v>1</v>
      </c>
      <c r="AB113" s="779" t="s">
        <v>1057</v>
      </c>
      <c r="AC113" s="237">
        <v>3811.9079999999999</v>
      </c>
      <c r="AD113" s="779" t="str">
        <f>AB113</f>
        <v xml:space="preserve">  Кредиты</v>
      </c>
      <c r="AE113" s="237">
        <f>AC113</f>
        <v>3811.9079999999999</v>
      </c>
      <c r="AF113" s="1350"/>
      <c r="AG113" s="1352"/>
      <c r="AH113" s="1352"/>
      <c r="AI113" s="1350"/>
      <c r="AJ113" s="1352"/>
      <c r="AK113" s="1352"/>
      <c r="AL113" s="772"/>
    </row>
    <row r="114" spans="1:38" ht="11.25" customHeight="1">
      <c r="A114" s="1030" t="s">
        <v>1019</v>
      </c>
      <c r="E114" s="557"/>
      <c r="F114" s="1339"/>
      <c r="G114" s="1340"/>
      <c r="H114" s="1335" t="s">
        <v>384</v>
      </c>
      <c r="I114" s="1347"/>
      <c r="J114" s="1360"/>
      <c r="K114" s="1349"/>
      <c r="L114" s="1079"/>
      <c r="M114" s="1080"/>
      <c r="N114" s="1355"/>
      <c r="O114" s="1356"/>
      <c r="P114" s="1359"/>
      <c r="Q114" s="1308"/>
      <c r="R114" s="1308"/>
      <c r="S114" s="1361"/>
      <c r="T114" s="1308"/>
      <c r="U114" s="1308"/>
      <c r="V114" s="1308"/>
      <c r="W114" s="1308"/>
      <c r="X114" s="1308"/>
      <c r="Y114" s="1308"/>
      <c r="Z114" s="229"/>
      <c r="AA114" s="230"/>
      <c r="AB114" s="44" t="s">
        <v>1059</v>
      </c>
      <c r="AC114" s="231"/>
      <c r="AD114" s="231"/>
      <c r="AE114" s="246"/>
      <c r="AF114" s="1350"/>
      <c r="AG114" s="1352"/>
      <c r="AH114" s="1352"/>
      <c r="AI114" s="1350"/>
      <c r="AJ114" s="1352"/>
      <c r="AK114" s="1352"/>
      <c r="AL114" s="772"/>
    </row>
    <row r="115" spans="1:38" ht="11.25" customHeight="1">
      <c r="A115" s="1030" t="s">
        <v>1019</v>
      </c>
      <c r="E115" s="557"/>
      <c r="F115" s="1339"/>
      <c r="G115" s="1340"/>
      <c r="H115" s="1335" t="s">
        <v>384</v>
      </c>
      <c r="I115" s="1347"/>
      <c r="J115" s="1360"/>
      <c r="K115" s="1349"/>
      <c r="L115" s="1079"/>
      <c r="M115" s="1080"/>
      <c r="N115" s="229"/>
      <c r="O115" s="230"/>
      <c r="P115" s="44" t="s">
        <v>1060</v>
      </c>
      <c r="Q115" s="230"/>
      <c r="R115" s="230"/>
      <c r="S115" s="230"/>
      <c r="T115" s="230"/>
      <c r="U115" s="230"/>
      <c r="V115" s="230"/>
      <c r="W115" s="230"/>
      <c r="X115" s="230"/>
      <c r="Y115" s="230"/>
      <c r="Z115" s="230"/>
      <c r="AA115" s="230"/>
      <c r="AB115" s="230"/>
      <c r="AC115" s="230"/>
      <c r="AD115" s="230"/>
      <c r="AE115" s="247"/>
      <c r="AF115" s="1350"/>
      <c r="AG115" s="1352"/>
      <c r="AH115" s="1352"/>
      <c r="AI115" s="1350"/>
      <c r="AJ115" s="1352"/>
      <c r="AK115" s="1352"/>
      <c r="AL115" s="772"/>
    </row>
    <row r="116" spans="1:38" ht="11.25" customHeight="1">
      <c r="A116" s="1030" t="s">
        <v>1019</v>
      </c>
      <c r="B116" s="1030" t="s">
        <v>22</v>
      </c>
      <c r="E116" s="557"/>
      <c r="F116" s="1339"/>
      <c r="G116" s="1325" t="s">
        <v>103</v>
      </c>
      <c r="H116" s="1335" t="s">
        <v>102</v>
      </c>
      <c r="I116" s="1347" t="s">
        <v>1071</v>
      </c>
      <c r="J116" s="1360" t="s">
        <v>22</v>
      </c>
      <c r="K116" s="1349" t="s">
        <v>1091</v>
      </c>
      <c r="L116" s="1079" t="s">
        <v>19</v>
      </c>
      <c r="M116" s="1080"/>
      <c r="N116" s="242"/>
      <c r="O116" s="243" t="s">
        <v>384</v>
      </c>
      <c r="P116" s="244"/>
      <c r="Q116" s="244"/>
      <c r="R116" s="244"/>
      <c r="S116" s="244"/>
      <c r="T116" s="244"/>
      <c r="U116" s="244"/>
      <c r="V116" s="244"/>
      <c r="W116" s="244"/>
      <c r="X116" s="244"/>
      <c r="Y116" s="244"/>
      <c r="Z116" s="244"/>
      <c r="AA116" s="244"/>
      <c r="AB116" s="244"/>
      <c r="AC116" s="244"/>
      <c r="AD116" s="244"/>
      <c r="AE116" s="244"/>
      <c r="AF116" s="1350">
        <v>3</v>
      </c>
      <c r="AG116" s="1352" t="s">
        <v>1055</v>
      </c>
      <c r="AH116" s="1352" t="s">
        <v>1073</v>
      </c>
      <c r="AI116" s="1350">
        <v>3</v>
      </c>
      <c r="AJ116" s="1352" t="s">
        <v>1055</v>
      </c>
      <c r="AK116" s="1352" t="s">
        <v>1073</v>
      </c>
      <c r="AL116" s="772"/>
    </row>
    <row r="117" spans="1:38" ht="11.25" customHeight="1">
      <c r="A117" s="1030" t="s">
        <v>1019</v>
      </c>
      <c r="E117" s="557"/>
      <c r="F117" s="1339"/>
      <c r="G117" s="1340"/>
      <c r="H117" s="1335" t="s">
        <v>114</v>
      </c>
      <c r="I117" s="1347"/>
      <c r="J117" s="1360"/>
      <c r="K117" s="1349"/>
      <c r="L117" s="1079"/>
      <c r="M117" s="1080"/>
      <c r="N117" s="1355"/>
      <c r="O117" s="1356">
        <v>1</v>
      </c>
      <c r="P117" s="1357" t="s">
        <v>19</v>
      </c>
      <c r="Q117" s="1308" t="s">
        <v>22</v>
      </c>
      <c r="R117" s="1308" t="s">
        <v>22</v>
      </c>
      <c r="S117" s="1308" t="s">
        <v>22</v>
      </c>
      <c r="T117" s="1308" t="s">
        <v>22</v>
      </c>
      <c r="U117" s="1308" t="s">
        <v>22</v>
      </c>
      <c r="V117" s="1308" t="s">
        <v>22</v>
      </c>
      <c r="W117" s="1308" t="s">
        <v>22</v>
      </c>
      <c r="X117" s="1308" t="s">
        <v>22</v>
      </c>
      <c r="Y117" s="1308"/>
      <c r="Z117" s="229"/>
      <c r="AA117" s="230"/>
      <c r="AB117" s="230"/>
      <c r="AC117" s="231"/>
      <c r="AD117" s="231"/>
      <c r="AE117" s="245"/>
      <c r="AF117" s="1350"/>
      <c r="AG117" s="1352"/>
      <c r="AH117" s="1352"/>
      <c r="AI117" s="1350"/>
      <c r="AJ117" s="1352"/>
      <c r="AK117" s="1352"/>
      <c r="AL117" s="772"/>
    </row>
    <row r="118" spans="1:38" ht="11.25" customHeight="1">
      <c r="A118" s="1030" t="s">
        <v>1019</v>
      </c>
      <c r="E118" s="557"/>
      <c r="F118" s="1339"/>
      <c r="G118" s="1340"/>
      <c r="H118" s="1335" t="s">
        <v>114</v>
      </c>
      <c r="I118" s="1347"/>
      <c r="J118" s="1360"/>
      <c r="K118" s="1349"/>
      <c r="L118" s="1079"/>
      <c r="M118" s="1080"/>
      <c r="N118" s="1355"/>
      <c r="O118" s="1356"/>
      <c r="P118" s="1358"/>
      <c r="Q118" s="1308"/>
      <c r="R118" s="1308"/>
      <c r="S118" s="1361"/>
      <c r="T118" s="1308"/>
      <c r="U118" s="1308"/>
      <c r="V118" s="1308"/>
      <c r="W118" s="1308"/>
      <c r="X118" s="1308"/>
      <c r="Y118" s="1308"/>
      <c r="AA118" s="778">
        <v>1</v>
      </c>
      <c r="AB118" s="779" t="s">
        <v>1057</v>
      </c>
      <c r="AC118" s="237">
        <v>5211.9928499999996</v>
      </c>
      <c r="AD118" s="779" t="str">
        <f>AB118</f>
        <v xml:space="preserve">  Кредиты</v>
      </c>
      <c r="AE118" s="237">
        <f>AC118</f>
        <v>5211.9928499999996</v>
      </c>
      <c r="AF118" s="1350"/>
      <c r="AG118" s="1352"/>
      <c r="AH118" s="1352"/>
      <c r="AI118" s="1350"/>
      <c r="AJ118" s="1352"/>
      <c r="AK118" s="1352"/>
      <c r="AL118" s="772"/>
    </row>
    <row r="119" spans="1:38" ht="11.25" customHeight="1">
      <c r="A119" s="1030" t="s">
        <v>1019</v>
      </c>
      <c r="E119" s="557"/>
      <c r="F119" s="1339"/>
      <c r="G119" s="1340"/>
      <c r="H119" s="1335" t="s">
        <v>114</v>
      </c>
      <c r="I119" s="1347"/>
      <c r="J119" s="1360"/>
      <c r="K119" s="1349"/>
      <c r="L119" s="1079"/>
      <c r="M119" s="1080"/>
      <c r="N119" s="1355"/>
      <c r="O119" s="1356"/>
      <c r="P119" s="1359"/>
      <c r="Q119" s="1308"/>
      <c r="R119" s="1308"/>
      <c r="S119" s="1361"/>
      <c r="T119" s="1308"/>
      <c r="U119" s="1308"/>
      <c r="V119" s="1308"/>
      <c r="W119" s="1308"/>
      <c r="X119" s="1308"/>
      <c r="Y119" s="1308"/>
      <c r="Z119" s="229"/>
      <c r="AA119" s="230"/>
      <c r="AB119" s="44" t="s">
        <v>1059</v>
      </c>
      <c r="AC119" s="231"/>
      <c r="AD119" s="231"/>
      <c r="AE119" s="246"/>
      <c r="AF119" s="1350"/>
      <c r="AG119" s="1352"/>
      <c r="AH119" s="1352"/>
      <c r="AI119" s="1350"/>
      <c r="AJ119" s="1352"/>
      <c r="AK119" s="1352"/>
      <c r="AL119" s="772"/>
    </row>
    <row r="120" spans="1:38" ht="11.25" customHeight="1">
      <c r="A120" s="1030" t="s">
        <v>1019</v>
      </c>
      <c r="E120" s="557"/>
      <c r="F120" s="1339"/>
      <c r="G120" s="1340"/>
      <c r="H120" s="1335" t="s">
        <v>114</v>
      </c>
      <c r="I120" s="1347"/>
      <c r="J120" s="1360"/>
      <c r="K120" s="1349"/>
      <c r="L120" s="1079"/>
      <c r="M120" s="1080"/>
      <c r="N120" s="229"/>
      <c r="O120" s="230"/>
      <c r="P120" s="44" t="s">
        <v>1060</v>
      </c>
      <c r="Q120" s="230"/>
      <c r="R120" s="230"/>
      <c r="S120" s="230"/>
      <c r="T120" s="230"/>
      <c r="U120" s="230"/>
      <c r="V120" s="230"/>
      <c r="W120" s="230"/>
      <c r="X120" s="230"/>
      <c r="Y120" s="230"/>
      <c r="Z120" s="230"/>
      <c r="AA120" s="230"/>
      <c r="AB120" s="230"/>
      <c r="AC120" s="230"/>
      <c r="AD120" s="230"/>
      <c r="AE120" s="247"/>
      <c r="AF120" s="1350"/>
      <c r="AG120" s="1352"/>
      <c r="AH120" s="1352"/>
      <c r="AI120" s="1350"/>
      <c r="AJ120" s="1352"/>
      <c r="AK120" s="1352"/>
      <c r="AL120" s="772"/>
    </row>
    <row r="121" spans="1:38" ht="11.25" customHeight="1">
      <c r="A121" s="1030" t="s">
        <v>1019</v>
      </c>
      <c r="B121" s="1030" t="s">
        <v>22</v>
      </c>
      <c r="E121" s="557"/>
      <c r="F121" s="1339"/>
      <c r="G121" s="1325" t="s">
        <v>103</v>
      </c>
      <c r="H121" s="1335" t="s">
        <v>89</v>
      </c>
      <c r="I121" s="1347" t="s">
        <v>1071</v>
      </c>
      <c r="J121" s="1360" t="s">
        <v>22</v>
      </c>
      <c r="K121" s="1349" t="s">
        <v>1072</v>
      </c>
      <c r="L121" s="1079" t="s">
        <v>19</v>
      </c>
      <c r="M121" s="1080"/>
      <c r="N121" s="242"/>
      <c r="O121" s="243" t="s">
        <v>384</v>
      </c>
      <c r="P121" s="244"/>
      <c r="Q121" s="244"/>
      <c r="R121" s="244"/>
      <c r="S121" s="244"/>
      <c r="T121" s="244"/>
      <c r="U121" s="244"/>
      <c r="V121" s="244"/>
      <c r="W121" s="244"/>
      <c r="X121" s="244"/>
      <c r="Y121" s="244"/>
      <c r="Z121" s="244"/>
      <c r="AA121" s="244"/>
      <c r="AB121" s="244"/>
      <c r="AC121" s="244"/>
      <c r="AD121" s="244"/>
      <c r="AE121" s="244"/>
      <c r="AF121" s="1350">
        <v>3</v>
      </c>
      <c r="AG121" s="1352" t="s">
        <v>1055</v>
      </c>
      <c r="AH121" s="1352" t="s">
        <v>1073</v>
      </c>
      <c r="AI121" s="1350">
        <v>3</v>
      </c>
      <c r="AJ121" s="1352" t="s">
        <v>1055</v>
      </c>
      <c r="AK121" s="1352" t="s">
        <v>1073</v>
      </c>
      <c r="AL121" s="772"/>
    </row>
    <row r="122" spans="1:38" ht="11.25" customHeight="1">
      <c r="A122" s="1030" t="s">
        <v>1019</v>
      </c>
      <c r="E122" s="557"/>
      <c r="F122" s="1339"/>
      <c r="G122" s="1340"/>
      <c r="H122" s="1335" t="s">
        <v>102</v>
      </c>
      <c r="I122" s="1347"/>
      <c r="J122" s="1360"/>
      <c r="K122" s="1349"/>
      <c r="L122" s="1079"/>
      <c r="M122" s="1080"/>
      <c r="N122" s="1355"/>
      <c r="O122" s="1356">
        <v>1</v>
      </c>
      <c r="P122" s="1357" t="s">
        <v>61</v>
      </c>
      <c r="Q122" s="1348" t="s">
        <v>1074</v>
      </c>
      <c r="R122" s="1362" t="s">
        <v>1075</v>
      </c>
      <c r="S122" s="1362" t="s">
        <v>99</v>
      </c>
      <c r="T122" s="1362" t="s">
        <v>99</v>
      </c>
      <c r="U122" s="1362" t="s">
        <v>100</v>
      </c>
      <c r="V122" s="1362" t="s">
        <v>1066</v>
      </c>
      <c r="W122" s="1362" t="s">
        <v>1067</v>
      </c>
      <c r="X122" s="1362" t="s">
        <v>1076</v>
      </c>
      <c r="Y122" s="1362" t="s">
        <v>1077</v>
      </c>
      <c r="Z122" s="229"/>
      <c r="AA122" s="230"/>
      <c r="AB122" s="230"/>
      <c r="AC122" s="231"/>
      <c r="AD122" s="231"/>
      <c r="AE122" s="245"/>
      <c r="AF122" s="1350"/>
      <c r="AG122" s="1352"/>
      <c r="AH122" s="1352"/>
      <c r="AI122" s="1350"/>
      <c r="AJ122" s="1352"/>
      <c r="AK122" s="1352"/>
      <c r="AL122" s="772"/>
    </row>
    <row r="123" spans="1:38" ht="11.25" customHeight="1">
      <c r="A123" s="1030" t="s">
        <v>1019</v>
      </c>
      <c r="E123" s="557"/>
      <c r="F123" s="1339"/>
      <c r="G123" s="1340"/>
      <c r="H123" s="1335" t="s">
        <v>102</v>
      </c>
      <c r="I123" s="1347"/>
      <c r="J123" s="1360"/>
      <c r="K123" s="1349"/>
      <c r="L123" s="1079"/>
      <c r="M123" s="1080"/>
      <c r="N123" s="1355"/>
      <c r="O123" s="1356"/>
      <c r="P123" s="1358"/>
      <c r="Q123" s="1348"/>
      <c r="R123" s="1308"/>
      <c r="S123" s="1361"/>
      <c r="T123" s="1308"/>
      <c r="U123" s="1308"/>
      <c r="V123" s="1308"/>
      <c r="W123" s="1308"/>
      <c r="X123" s="1308"/>
      <c r="Y123" s="1308"/>
      <c r="AA123" s="778">
        <v>1</v>
      </c>
      <c r="AB123" s="779" t="s">
        <v>1057</v>
      </c>
      <c r="AC123" s="237">
        <v>33161.208635800002</v>
      </c>
      <c r="AD123" s="779" t="str">
        <f>AB123</f>
        <v xml:space="preserve">  Кредиты</v>
      </c>
      <c r="AE123" s="237">
        <f>AC123</f>
        <v>33161.208635800002</v>
      </c>
      <c r="AF123" s="1350"/>
      <c r="AG123" s="1352"/>
      <c r="AH123" s="1352"/>
      <c r="AI123" s="1350"/>
      <c r="AJ123" s="1352"/>
      <c r="AK123" s="1352"/>
      <c r="AL123" s="772"/>
    </row>
    <row r="124" spans="1:38" ht="11.25" customHeight="1">
      <c r="A124" s="1030" t="s">
        <v>1019</v>
      </c>
      <c r="E124" s="557"/>
      <c r="F124" s="1339"/>
      <c r="G124" s="1340"/>
      <c r="H124" s="1335" t="s">
        <v>102</v>
      </c>
      <c r="I124" s="1347"/>
      <c r="J124" s="1360"/>
      <c r="K124" s="1349"/>
      <c r="L124" s="1079"/>
      <c r="M124" s="1080"/>
      <c r="N124" s="1355"/>
      <c r="O124" s="1356"/>
      <c r="P124" s="1359"/>
      <c r="Q124" s="1348"/>
      <c r="R124" s="1308"/>
      <c r="S124" s="1361"/>
      <c r="T124" s="1308"/>
      <c r="U124" s="1308"/>
      <c r="V124" s="1308"/>
      <c r="W124" s="1308"/>
      <c r="X124" s="1308"/>
      <c r="Y124" s="1308"/>
      <c r="Z124" s="229"/>
      <c r="AA124" s="230"/>
      <c r="AB124" s="44" t="s">
        <v>1059</v>
      </c>
      <c r="AC124" s="231"/>
      <c r="AD124" s="231"/>
      <c r="AE124" s="246"/>
      <c r="AF124" s="1350"/>
      <c r="AG124" s="1352"/>
      <c r="AH124" s="1352"/>
      <c r="AI124" s="1350"/>
      <c r="AJ124" s="1352"/>
      <c r="AK124" s="1352"/>
      <c r="AL124" s="772"/>
    </row>
    <row r="125" spans="1:38" ht="11.25" customHeight="1">
      <c r="A125" s="1030" t="s">
        <v>1019</v>
      </c>
      <c r="E125" s="557"/>
      <c r="F125" s="1339"/>
      <c r="G125" s="1340"/>
      <c r="H125" s="1335" t="s">
        <v>102</v>
      </c>
      <c r="I125" s="1347"/>
      <c r="J125" s="1360"/>
      <c r="K125" s="1349"/>
      <c r="L125" s="1079"/>
      <c r="M125" s="1080"/>
      <c r="N125" s="229"/>
      <c r="O125" s="230"/>
      <c r="P125" s="44" t="s">
        <v>1060</v>
      </c>
      <c r="Q125" s="230"/>
      <c r="R125" s="230"/>
      <c r="S125" s="230"/>
      <c r="T125" s="230"/>
      <c r="U125" s="230"/>
      <c r="V125" s="230"/>
      <c r="W125" s="230"/>
      <c r="X125" s="230"/>
      <c r="Y125" s="230"/>
      <c r="Z125" s="230"/>
      <c r="AA125" s="230"/>
      <c r="AB125" s="230"/>
      <c r="AC125" s="230"/>
      <c r="AD125" s="230"/>
      <c r="AE125" s="247"/>
      <c r="AF125" s="1350"/>
      <c r="AG125" s="1352"/>
      <c r="AH125" s="1352"/>
      <c r="AI125" s="1350"/>
      <c r="AJ125" s="1352"/>
      <c r="AK125" s="1352"/>
      <c r="AL125" s="772"/>
    </row>
    <row r="126" spans="1:38" ht="11.25" customHeight="1">
      <c r="A126" s="1030" t="s">
        <v>1019</v>
      </c>
      <c r="B126" s="1030" t="s">
        <v>22</v>
      </c>
      <c r="E126" s="557"/>
      <c r="F126" s="1339"/>
      <c r="G126" s="1325" t="s">
        <v>103</v>
      </c>
      <c r="H126" s="1335" t="s">
        <v>90</v>
      </c>
      <c r="I126" s="1347" t="s">
        <v>1071</v>
      </c>
      <c r="J126" s="1360" t="s">
        <v>22</v>
      </c>
      <c r="K126" s="1349" t="s">
        <v>1092</v>
      </c>
      <c r="L126" s="1079" t="s">
        <v>19</v>
      </c>
      <c r="M126" s="1080"/>
      <c r="N126" s="242"/>
      <c r="O126" s="243" t="s">
        <v>384</v>
      </c>
      <c r="P126" s="244"/>
      <c r="Q126" s="244"/>
      <c r="R126" s="244"/>
      <c r="S126" s="244"/>
      <c r="T126" s="244"/>
      <c r="U126" s="244"/>
      <c r="V126" s="244"/>
      <c r="W126" s="244"/>
      <c r="X126" s="244"/>
      <c r="Y126" s="244"/>
      <c r="Z126" s="244"/>
      <c r="AA126" s="244"/>
      <c r="AB126" s="244"/>
      <c r="AC126" s="244"/>
      <c r="AD126" s="244"/>
      <c r="AE126" s="244"/>
      <c r="AF126" s="1350">
        <v>1</v>
      </c>
      <c r="AG126" s="1352" t="s">
        <v>1055</v>
      </c>
      <c r="AH126" s="1352" t="s">
        <v>1081</v>
      </c>
      <c r="AI126" s="1350">
        <v>1</v>
      </c>
      <c r="AJ126" s="1352" t="s">
        <v>1055</v>
      </c>
      <c r="AK126" s="1352" t="s">
        <v>1081</v>
      </c>
      <c r="AL126" s="772"/>
    </row>
    <row r="127" spans="1:38" ht="11.25" customHeight="1">
      <c r="A127" s="1030" t="s">
        <v>1019</v>
      </c>
      <c r="E127" s="557"/>
      <c r="F127" s="1339"/>
      <c r="G127" s="1340"/>
      <c r="H127" s="1335" t="s">
        <v>89</v>
      </c>
      <c r="I127" s="1347"/>
      <c r="J127" s="1360"/>
      <c r="K127" s="1349"/>
      <c r="L127" s="1079"/>
      <c r="M127" s="1080"/>
      <c r="N127" s="1355"/>
      <c r="O127" s="1356">
        <v>1</v>
      </c>
      <c r="P127" s="1357" t="s">
        <v>61</v>
      </c>
      <c r="Q127" s="1348" t="s">
        <v>1074</v>
      </c>
      <c r="R127" s="1362" t="s">
        <v>1075</v>
      </c>
      <c r="S127" s="1362" t="s">
        <v>99</v>
      </c>
      <c r="T127" s="1362" t="s">
        <v>99</v>
      </c>
      <c r="U127" s="1362" t="s">
        <v>100</v>
      </c>
      <c r="V127" s="1362" t="s">
        <v>1066</v>
      </c>
      <c r="W127" s="1362" t="s">
        <v>1067</v>
      </c>
      <c r="X127" s="1362" t="s">
        <v>1076</v>
      </c>
      <c r="Y127" s="1362" t="s">
        <v>1077</v>
      </c>
      <c r="Z127" s="229"/>
      <c r="AA127" s="230"/>
      <c r="AB127" s="230"/>
      <c r="AC127" s="231"/>
      <c r="AD127" s="231"/>
      <c r="AE127" s="245"/>
      <c r="AF127" s="1350"/>
      <c r="AG127" s="1352"/>
      <c r="AH127" s="1352"/>
      <c r="AI127" s="1350"/>
      <c r="AJ127" s="1352"/>
      <c r="AK127" s="1352"/>
      <c r="AL127" s="772"/>
    </row>
    <row r="128" spans="1:38" ht="11.25" customHeight="1">
      <c r="A128" s="1030" t="s">
        <v>1019</v>
      </c>
      <c r="E128" s="557"/>
      <c r="F128" s="1339"/>
      <c r="G128" s="1340"/>
      <c r="H128" s="1335" t="s">
        <v>89</v>
      </c>
      <c r="I128" s="1347"/>
      <c r="J128" s="1360"/>
      <c r="K128" s="1349"/>
      <c r="L128" s="1079"/>
      <c r="M128" s="1080"/>
      <c r="N128" s="1355"/>
      <c r="O128" s="1356"/>
      <c r="P128" s="1358"/>
      <c r="Q128" s="1348"/>
      <c r="R128" s="1308"/>
      <c r="S128" s="1361"/>
      <c r="T128" s="1308"/>
      <c r="U128" s="1308"/>
      <c r="V128" s="1308"/>
      <c r="W128" s="1308"/>
      <c r="X128" s="1308"/>
      <c r="Y128" s="1308"/>
      <c r="AA128" s="778">
        <v>1</v>
      </c>
      <c r="AB128" s="779" t="s">
        <v>1057</v>
      </c>
      <c r="AC128" s="237">
        <v>6930</v>
      </c>
      <c r="AD128" s="779" t="str">
        <f>AB128</f>
        <v xml:space="preserve">  Кредиты</v>
      </c>
      <c r="AE128" s="237">
        <f>AC128</f>
        <v>6930</v>
      </c>
      <c r="AF128" s="1350"/>
      <c r="AG128" s="1352"/>
      <c r="AH128" s="1352"/>
      <c r="AI128" s="1350"/>
      <c r="AJ128" s="1352"/>
      <c r="AK128" s="1352"/>
      <c r="AL128" s="772"/>
    </row>
    <row r="129" spans="1:38" ht="11.25" customHeight="1">
      <c r="A129" s="1030" t="s">
        <v>1019</v>
      </c>
      <c r="E129" s="557"/>
      <c r="F129" s="1339"/>
      <c r="G129" s="1340"/>
      <c r="H129" s="1335" t="s">
        <v>89</v>
      </c>
      <c r="I129" s="1347"/>
      <c r="J129" s="1360"/>
      <c r="K129" s="1349"/>
      <c r="L129" s="1079"/>
      <c r="M129" s="1080"/>
      <c r="N129" s="1355"/>
      <c r="O129" s="1356"/>
      <c r="P129" s="1359"/>
      <c r="Q129" s="1348"/>
      <c r="R129" s="1308"/>
      <c r="S129" s="1361"/>
      <c r="T129" s="1308"/>
      <c r="U129" s="1308"/>
      <c r="V129" s="1308"/>
      <c r="W129" s="1308"/>
      <c r="X129" s="1308"/>
      <c r="Y129" s="1308"/>
      <c r="Z129" s="229"/>
      <c r="AA129" s="230"/>
      <c r="AB129" s="44" t="s">
        <v>1059</v>
      </c>
      <c r="AC129" s="231"/>
      <c r="AD129" s="231"/>
      <c r="AE129" s="246"/>
      <c r="AF129" s="1350"/>
      <c r="AG129" s="1352"/>
      <c r="AH129" s="1352"/>
      <c r="AI129" s="1350"/>
      <c r="AJ129" s="1352"/>
      <c r="AK129" s="1352"/>
      <c r="AL129" s="772"/>
    </row>
    <row r="130" spans="1:38" ht="11.25" customHeight="1">
      <c r="A130" s="1030" t="s">
        <v>1019</v>
      </c>
      <c r="E130" s="557"/>
      <c r="F130" s="1339"/>
      <c r="G130" s="1340"/>
      <c r="H130" s="1335" t="s">
        <v>89</v>
      </c>
      <c r="I130" s="1347"/>
      <c r="J130" s="1360"/>
      <c r="K130" s="1349"/>
      <c r="L130" s="1079"/>
      <c r="M130" s="1080"/>
      <c r="N130" s="229"/>
      <c r="O130" s="230"/>
      <c r="P130" s="44" t="s">
        <v>1060</v>
      </c>
      <c r="Q130" s="230"/>
      <c r="R130" s="230"/>
      <c r="S130" s="230"/>
      <c r="T130" s="230"/>
      <c r="U130" s="230"/>
      <c r="V130" s="230"/>
      <c r="W130" s="230"/>
      <c r="X130" s="230"/>
      <c r="Y130" s="230"/>
      <c r="Z130" s="230"/>
      <c r="AA130" s="230"/>
      <c r="AB130" s="230"/>
      <c r="AC130" s="230"/>
      <c r="AD130" s="230"/>
      <c r="AE130" s="247"/>
      <c r="AF130" s="1350"/>
      <c r="AG130" s="1352"/>
      <c r="AH130" s="1352"/>
      <c r="AI130" s="1350"/>
      <c r="AJ130" s="1352"/>
      <c r="AK130" s="1352"/>
      <c r="AL130" s="772"/>
    </row>
    <row r="131" spans="1:38" ht="11.25" customHeight="1">
      <c r="A131" s="1030" t="s">
        <v>1019</v>
      </c>
      <c r="B131" s="1030" t="s">
        <v>1051</v>
      </c>
      <c r="E131" s="557"/>
      <c r="F131" s="1339"/>
      <c r="G131" s="1325" t="s">
        <v>103</v>
      </c>
      <c r="H131" s="1335" t="s">
        <v>115</v>
      </c>
      <c r="I131" s="1347" t="s">
        <v>1052</v>
      </c>
      <c r="J131" s="1363" t="s">
        <v>1053</v>
      </c>
      <c r="K131" s="1349" t="s">
        <v>1085</v>
      </c>
      <c r="L131" s="1079" t="s">
        <v>19</v>
      </c>
      <c r="M131" s="1080"/>
      <c r="N131" s="242"/>
      <c r="O131" s="243" t="s">
        <v>384</v>
      </c>
      <c r="P131" s="244"/>
      <c r="Q131" s="244"/>
      <c r="R131" s="244"/>
      <c r="S131" s="244"/>
      <c r="T131" s="244"/>
      <c r="U131" s="244"/>
      <c r="V131" s="244"/>
      <c r="W131" s="244"/>
      <c r="X131" s="244"/>
      <c r="Y131" s="244"/>
      <c r="Z131" s="244"/>
      <c r="AA131" s="244"/>
      <c r="AB131" s="244"/>
      <c r="AC131" s="244"/>
      <c r="AD131" s="244"/>
      <c r="AE131" s="244"/>
      <c r="AF131" s="1350">
        <v>1</v>
      </c>
      <c r="AG131" s="1352" t="s">
        <v>1055</v>
      </c>
      <c r="AH131" s="1352" t="s">
        <v>1081</v>
      </c>
      <c r="AI131" s="1350">
        <v>1</v>
      </c>
      <c r="AJ131" s="1352" t="s">
        <v>1055</v>
      </c>
      <c r="AK131" s="1352" t="s">
        <v>1081</v>
      </c>
      <c r="AL131" s="772"/>
    </row>
    <row r="132" spans="1:38" ht="11.25" customHeight="1">
      <c r="A132" s="1030" t="s">
        <v>1019</v>
      </c>
      <c r="E132" s="557"/>
      <c r="F132" s="1339"/>
      <c r="G132" s="1340"/>
      <c r="H132" s="1335" t="s">
        <v>90</v>
      </c>
      <c r="I132" s="1347"/>
      <c r="J132" s="1363"/>
      <c r="K132" s="1349"/>
      <c r="L132" s="1079"/>
      <c r="M132" s="1080"/>
      <c r="N132" s="1355"/>
      <c r="O132" s="1356">
        <v>1</v>
      </c>
      <c r="P132" s="1357" t="s">
        <v>19</v>
      </c>
      <c r="Q132" s="1308" t="s">
        <v>22</v>
      </c>
      <c r="R132" s="1308" t="s">
        <v>22</v>
      </c>
      <c r="S132" s="1308" t="s">
        <v>22</v>
      </c>
      <c r="T132" s="1308" t="s">
        <v>22</v>
      </c>
      <c r="U132" s="1308" t="s">
        <v>22</v>
      </c>
      <c r="V132" s="1308" t="s">
        <v>22</v>
      </c>
      <c r="W132" s="1308" t="s">
        <v>22</v>
      </c>
      <c r="X132" s="1308" t="s">
        <v>22</v>
      </c>
      <c r="Y132" s="1308"/>
      <c r="Z132" s="229"/>
      <c r="AA132" s="230"/>
      <c r="AB132" s="230"/>
      <c r="AC132" s="231"/>
      <c r="AD132" s="231"/>
      <c r="AE132" s="245"/>
      <c r="AF132" s="1350"/>
      <c r="AG132" s="1352"/>
      <c r="AH132" s="1352"/>
      <c r="AI132" s="1350"/>
      <c r="AJ132" s="1352"/>
      <c r="AK132" s="1352"/>
      <c r="AL132" s="772"/>
    </row>
    <row r="133" spans="1:38" ht="11.25" customHeight="1">
      <c r="A133" s="1030" t="s">
        <v>1019</v>
      </c>
      <c r="E133" s="557"/>
      <c r="F133" s="1339"/>
      <c r="G133" s="1340"/>
      <c r="H133" s="1335" t="s">
        <v>90</v>
      </c>
      <c r="I133" s="1347"/>
      <c r="J133" s="1363"/>
      <c r="K133" s="1349"/>
      <c r="L133" s="1079"/>
      <c r="M133" s="1080"/>
      <c r="N133" s="1355"/>
      <c r="O133" s="1356"/>
      <c r="P133" s="1358"/>
      <c r="Q133" s="1308"/>
      <c r="R133" s="1308"/>
      <c r="S133" s="1361"/>
      <c r="T133" s="1308"/>
      <c r="U133" s="1308"/>
      <c r="V133" s="1308"/>
      <c r="W133" s="1308"/>
      <c r="X133" s="1308"/>
      <c r="Y133" s="1308"/>
      <c r="AA133" s="778">
        <v>1</v>
      </c>
      <c r="AB133" s="779" t="s">
        <v>1057</v>
      </c>
      <c r="AC133" s="237">
        <v>115921.9304422</v>
      </c>
      <c r="AD133" s="779" t="str">
        <f>AB133</f>
        <v xml:space="preserve">  Кредиты</v>
      </c>
      <c r="AE133" s="237">
        <f>AC133</f>
        <v>115921.9304422</v>
      </c>
      <c r="AF133" s="1350"/>
      <c r="AG133" s="1352"/>
      <c r="AH133" s="1352"/>
      <c r="AI133" s="1350"/>
      <c r="AJ133" s="1352"/>
      <c r="AK133" s="1352"/>
      <c r="AL133" s="772"/>
    </row>
    <row r="134" spans="1:38" ht="11.25" customHeight="1">
      <c r="A134" s="1030" t="s">
        <v>1019</v>
      </c>
      <c r="E134" s="557"/>
      <c r="F134" s="1339"/>
      <c r="G134" s="1340"/>
      <c r="H134" s="1335" t="s">
        <v>90</v>
      </c>
      <c r="I134" s="1347"/>
      <c r="J134" s="1363"/>
      <c r="K134" s="1349"/>
      <c r="L134" s="1079"/>
      <c r="M134" s="1080"/>
      <c r="N134" s="1355"/>
      <c r="O134" s="1356"/>
      <c r="P134" s="1359"/>
      <c r="Q134" s="1308"/>
      <c r="R134" s="1308"/>
      <c r="S134" s="1361"/>
      <c r="T134" s="1308"/>
      <c r="U134" s="1308"/>
      <c r="V134" s="1308"/>
      <c r="W134" s="1308"/>
      <c r="X134" s="1308"/>
      <c r="Y134" s="1308"/>
      <c r="Z134" s="229"/>
      <c r="AA134" s="230"/>
      <c r="AB134" s="44" t="s">
        <v>1059</v>
      </c>
      <c r="AC134" s="231"/>
      <c r="AD134" s="231"/>
      <c r="AE134" s="246"/>
      <c r="AF134" s="1350"/>
      <c r="AG134" s="1352"/>
      <c r="AH134" s="1352"/>
      <c r="AI134" s="1350"/>
      <c r="AJ134" s="1352"/>
      <c r="AK134" s="1352"/>
      <c r="AL134" s="772"/>
    </row>
    <row r="135" spans="1:38" ht="11.25" customHeight="1">
      <c r="A135" s="1030" t="s">
        <v>1019</v>
      </c>
      <c r="E135" s="557"/>
      <c r="F135" s="1339"/>
      <c r="G135" s="1340"/>
      <c r="H135" s="1335" t="s">
        <v>90</v>
      </c>
      <c r="I135" s="1347"/>
      <c r="J135" s="1363"/>
      <c r="K135" s="1349"/>
      <c r="L135" s="1079"/>
      <c r="M135" s="1080"/>
      <c r="N135" s="229"/>
      <c r="O135" s="230"/>
      <c r="P135" s="44" t="s">
        <v>1060</v>
      </c>
      <c r="Q135" s="230"/>
      <c r="R135" s="230"/>
      <c r="S135" s="230"/>
      <c r="T135" s="230"/>
      <c r="U135" s="230"/>
      <c r="V135" s="230"/>
      <c r="W135" s="230"/>
      <c r="X135" s="230"/>
      <c r="Y135" s="230"/>
      <c r="Z135" s="230"/>
      <c r="AA135" s="230"/>
      <c r="AB135" s="230"/>
      <c r="AC135" s="230"/>
      <c r="AD135" s="230"/>
      <c r="AE135" s="247"/>
      <c r="AF135" s="1350"/>
      <c r="AG135" s="1352"/>
      <c r="AH135" s="1352"/>
      <c r="AI135" s="1350"/>
      <c r="AJ135" s="1352"/>
      <c r="AK135" s="1352"/>
      <c r="AL135" s="772"/>
    </row>
    <row r="136" spans="1:38" ht="11.25" customHeight="1">
      <c r="A136" s="1030" t="s">
        <v>1019</v>
      </c>
      <c r="B136" s="1030" t="s">
        <v>1051</v>
      </c>
      <c r="E136" s="557"/>
      <c r="F136" s="1339"/>
      <c r="G136" s="1325" t="s">
        <v>103</v>
      </c>
      <c r="H136" s="1335" t="s">
        <v>91</v>
      </c>
      <c r="I136" s="1347" t="s">
        <v>1052</v>
      </c>
      <c r="J136" s="1363" t="s">
        <v>1053</v>
      </c>
      <c r="K136" s="1349" t="s">
        <v>1080</v>
      </c>
      <c r="L136" s="1079" t="s">
        <v>19</v>
      </c>
      <c r="M136" s="1080"/>
      <c r="N136" s="242"/>
      <c r="O136" s="243" t="s">
        <v>384</v>
      </c>
      <c r="P136" s="244"/>
      <c r="Q136" s="244"/>
      <c r="R136" s="244"/>
      <c r="S136" s="244"/>
      <c r="T136" s="244"/>
      <c r="U136" s="244"/>
      <c r="V136" s="244"/>
      <c r="W136" s="244"/>
      <c r="X136" s="244"/>
      <c r="Y136" s="244"/>
      <c r="Z136" s="244"/>
      <c r="AA136" s="244"/>
      <c r="AB136" s="244"/>
      <c r="AC136" s="244"/>
      <c r="AD136" s="244"/>
      <c r="AE136" s="244"/>
      <c r="AF136" s="1350">
        <v>1</v>
      </c>
      <c r="AG136" s="1352" t="s">
        <v>1055</v>
      </c>
      <c r="AH136" s="1352" t="s">
        <v>1081</v>
      </c>
      <c r="AI136" s="1350">
        <v>1</v>
      </c>
      <c r="AJ136" s="1352" t="s">
        <v>1055</v>
      </c>
      <c r="AK136" s="1352" t="s">
        <v>1081</v>
      </c>
      <c r="AL136" s="772"/>
    </row>
    <row r="137" spans="1:38" ht="11.25" customHeight="1">
      <c r="A137" s="1030" t="s">
        <v>1019</v>
      </c>
      <c r="E137" s="557"/>
      <c r="F137" s="1339"/>
      <c r="G137" s="1340"/>
      <c r="H137" s="1335" t="s">
        <v>115</v>
      </c>
      <c r="I137" s="1347"/>
      <c r="J137" s="1363"/>
      <c r="K137" s="1349"/>
      <c r="L137" s="1079"/>
      <c r="M137" s="1080"/>
      <c r="N137" s="1355"/>
      <c r="O137" s="1356">
        <v>1</v>
      </c>
      <c r="P137" s="1357" t="s">
        <v>19</v>
      </c>
      <c r="Q137" s="1308" t="s">
        <v>22</v>
      </c>
      <c r="R137" s="1308" t="s">
        <v>22</v>
      </c>
      <c r="S137" s="1308" t="s">
        <v>22</v>
      </c>
      <c r="T137" s="1308" t="s">
        <v>22</v>
      </c>
      <c r="U137" s="1308" t="s">
        <v>22</v>
      </c>
      <c r="V137" s="1308" t="s">
        <v>22</v>
      </c>
      <c r="W137" s="1308" t="s">
        <v>22</v>
      </c>
      <c r="X137" s="1308" t="s">
        <v>22</v>
      </c>
      <c r="Y137" s="1308"/>
      <c r="Z137" s="229"/>
      <c r="AA137" s="230"/>
      <c r="AB137" s="230"/>
      <c r="AC137" s="231"/>
      <c r="AD137" s="231"/>
      <c r="AE137" s="245"/>
      <c r="AF137" s="1350"/>
      <c r="AG137" s="1352"/>
      <c r="AH137" s="1352"/>
      <c r="AI137" s="1350"/>
      <c r="AJ137" s="1352"/>
      <c r="AK137" s="1352"/>
      <c r="AL137" s="772"/>
    </row>
    <row r="138" spans="1:38" ht="11.25" customHeight="1">
      <c r="A138" s="1030" t="s">
        <v>1019</v>
      </c>
      <c r="E138" s="557"/>
      <c r="F138" s="1339"/>
      <c r="G138" s="1340"/>
      <c r="H138" s="1335" t="s">
        <v>115</v>
      </c>
      <c r="I138" s="1347"/>
      <c r="J138" s="1363"/>
      <c r="K138" s="1349"/>
      <c r="L138" s="1079"/>
      <c r="M138" s="1080"/>
      <c r="N138" s="1355"/>
      <c r="O138" s="1356"/>
      <c r="P138" s="1358"/>
      <c r="Q138" s="1308"/>
      <c r="R138" s="1308"/>
      <c r="S138" s="1361"/>
      <c r="T138" s="1308"/>
      <c r="U138" s="1308"/>
      <c r="V138" s="1308"/>
      <c r="W138" s="1308"/>
      <c r="X138" s="1308"/>
      <c r="Y138" s="1308"/>
      <c r="AA138" s="778">
        <v>1</v>
      </c>
      <c r="AB138" s="779" t="s">
        <v>1057</v>
      </c>
      <c r="AC138" s="237">
        <v>294173.58048</v>
      </c>
      <c r="AD138" s="779" t="str">
        <f>AB138</f>
        <v xml:space="preserve">  Кредиты</v>
      </c>
      <c r="AE138" s="237">
        <f>AC138</f>
        <v>294173.58048</v>
      </c>
      <c r="AF138" s="1350"/>
      <c r="AG138" s="1352"/>
      <c r="AH138" s="1352"/>
      <c r="AI138" s="1350"/>
      <c r="AJ138" s="1352"/>
      <c r="AK138" s="1352"/>
      <c r="AL138" s="772"/>
    </row>
    <row r="139" spans="1:38" ht="11.25" customHeight="1">
      <c r="A139" s="1030" t="s">
        <v>1019</v>
      </c>
      <c r="E139" s="557"/>
      <c r="F139" s="1339"/>
      <c r="G139" s="1340"/>
      <c r="H139" s="1335" t="s">
        <v>115</v>
      </c>
      <c r="I139" s="1347"/>
      <c r="J139" s="1363"/>
      <c r="K139" s="1349"/>
      <c r="L139" s="1079"/>
      <c r="M139" s="1080"/>
      <c r="N139" s="1355"/>
      <c r="O139" s="1356"/>
      <c r="P139" s="1359"/>
      <c r="Q139" s="1308"/>
      <c r="R139" s="1308"/>
      <c r="S139" s="1361"/>
      <c r="T139" s="1308"/>
      <c r="U139" s="1308"/>
      <c r="V139" s="1308"/>
      <c r="W139" s="1308"/>
      <c r="X139" s="1308"/>
      <c r="Y139" s="1308"/>
      <c r="Z139" s="229"/>
      <c r="AA139" s="230"/>
      <c r="AB139" s="44" t="s">
        <v>1059</v>
      </c>
      <c r="AC139" s="231"/>
      <c r="AD139" s="231"/>
      <c r="AE139" s="246"/>
      <c r="AF139" s="1350"/>
      <c r="AG139" s="1352"/>
      <c r="AH139" s="1352"/>
      <c r="AI139" s="1350"/>
      <c r="AJ139" s="1352"/>
      <c r="AK139" s="1352"/>
      <c r="AL139" s="772"/>
    </row>
    <row r="140" spans="1:38" ht="11.25" customHeight="1">
      <c r="A140" s="1030" t="s">
        <v>1019</v>
      </c>
      <c r="E140" s="557"/>
      <c r="F140" s="1339"/>
      <c r="G140" s="1340"/>
      <c r="H140" s="1335" t="s">
        <v>115</v>
      </c>
      <c r="I140" s="1347"/>
      <c r="J140" s="1363"/>
      <c r="K140" s="1349"/>
      <c r="L140" s="1079"/>
      <c r="M140" s="1080"/>
      <c r="N140" s="229"/>
      <c r="O140" s="230"/>
      <c r="P140" s="44" t="s">
        <v>1060</v>
      </c>
      <c r="Q140" s="230"/>
      <c r="R140" s="230"/>
      <c r="S140" s="230"/>
      <c r="T140" s="230"/>
      <c r="U140" s="230"/>
      <c r="V140" s="230"/>
      <c r="W140" s="230"/>
      <c r="X140" s="230"/>
      <c r="Y140" s="230"/>
      <c r="Z140" s="230"/>
      <c r="AA140" s="230"/>
      <c r="AB140" s="230"/>
      <c r="AC140" s="230"/>
      <c r="AD140" s="230"/>
      <c r="AE140" s="247"/>
      <c r="AF140" s="1350"/>
      <c r="AG140" s="1352"/>
      <c r="AH140" s="1352"/>
      <c r="AI140" s="1350"/>
      <c r="AJ140" s="1352"/>
      <c r="AK140" s="1352"/>
      <c r="AL140" s="772"/>
    </row>
    <row r="141" spans="1:38" ht="11.25" customHeight="1">
      <c r="A141" s="1030" t="s">
        <v>1019</v>
      </c>
      <c r="B141" s="1030" t="s">
        <v>1051</v>
      </c>
      <c r="E141" s="557"/>
      <c r="F141" s="1339"/>
      <c r="G141" s="1325" t="s">
        <v>103</v>
      </c>
      <c r="H141" s="1335" t="s">
        <v>92</v>
      </c>
      <c r="I141" s="1347" t="s">
        <v>1052</v>
      </c>
      <c r="J141" s="1363" t="s">
        <v>1093</v>
      </c>
      <c r="K141" s="1349" t="s">
        <v>1094</v>
      </c>
      <c r="L141" s="1079" t="s">
        <v>61</v>
      </c>
      <c r="M141" s="1364" t="s">
        <v>1018</v>
      </c>
      <c r="N141" s="242"/>
      <c r="O141" s="243" t="s">
        <v>384</v>
      </c>
      <c r="P141" s="244"/>
      <c r="Q141" s="244"/>
      <c r="R141" s="244"/>
      <c r="S141" s="244"/>
      <c r="T141" s="244"/>
      <c r="U141" s="244"/>
      <c r="V141" s="244"/>
      <c r="W141" s="244"/>
      <c r="X141" s="244"/>
      <c r="Y141" s="244"/>
      <c r="Z141" s="244"/>
      <c r="AA141" s="244"/>
      <c r="AB141" s="244"/>
      <c r="AC141" s="244"/>
      <c r="AD141" s="244"/>
      <c r="AE141" s="244"/>
      <c r="AF141" s="1350">
        <v>14</v>
      </c>
      <c r="AG141" s="1352" t="s">
        <v>1055</v>
      </c>
      <c r="AH141" s="1352" t="s">
        <v>1095</v>
      </c>
      <c r="AI141" s="1350">
        <v>14</v>
      </c>
      <c r="AJ141" s="1352" t="s">
        <v>1055</v>
      </c>
      <c r="AK141" s="1352" t="s">
        <v>1095</v>
      </c>
      <c r="AL141" s="772"/>
    </row>
    <row r="142" spans="1:38" ht="11.25" customHeight="1">
      <c r="A142" s="1030" t="s">
        <v>1019</v>
      </c>
      <c r="E142" s="557"/>
      <c r="F142" s="1339"/>
      <c r="G142" s="1340"/>
      <c r="H142" s="1335" t="s">
        <v>91</v>
      </c>
      <c r="I142" s="1347"/>
      <c r="J142" s="1363"/>
      <c r="K142" s="1349"/>
      <c r="L142" s="1079"/>
      <c r="M142" s="1364"/>
      <c r="N142" s="1355"/>
      <c r="O142" s="1356">
        <v>1</v>
      </c>
      <c r="P142" s="1357" t="s">
        <v>19</v>
      </c>
      <c r="Q142" s="1308" t="s">
        <v>22</v>
      </c>
      <c r="R142" s="1308" t="s">
        <v>22</v>
      </c>
      <c r="S142" s="1308" t="s">
        <v>22</v>
      </c>
      <c r="T142" s="1308" t="s">
        <v>22</v>
      </c>
      <c r="U142" s="1308" t="s">
        <v>22</v>
      </c>
      <c r="V142" s="1308" t="s">
        <v>22</v>
      </c>
      <c r="W142" s="1308" t="s">
        <v>22</v>
      </c>
      <c r="X142" s="1308" t="s">
        <v>22</v>
      </c>
      <c r="Y142" s="1308"/>
      <c r="Z142" s="229"/>
      <c r="AA142" s="230"/>
      <c r="AB142" s="230"/>
      <c r="AC142" s="231"/>
      <c r="AD142" s="231"/>
      <c r="AE142" s="245"/>
      <c r="AF142" s="1350"/>
      <c r="AG142" s="1352"/>
      <c r="AH142" s="1352"/>
      <c r="AI142" s="1350"/>
      <c r="AJ142" s="1352"/>
      <c r="AK142" s="1352"/>
      <c r="AL142" s="772"/>
    </row>
    <row r="143" spans="1:38" ht="11.25" customHeight="1">
      <c r="A143" s="1030" t="s">
        <v>1019</v>
      </c>
      <c r="E143" s="557"/>
      <c r="F143" s="1339"/>
      <c r="G143" s="1340"/>
      <c r="H143" s="1335" t="s">
        <v>91</v>
      </c>
      <c r="I143" s="1347"/>
      <c r="J143" s="1363"/>
      <c r="K143" s="1349"/>
      <c r="L143" s="1079"/>
      <c r="M143" s="1364"/>
      <c r="N143" s="1355"/>
      <c r="O143" s="1356"/>
      <c r="P143" s="1358"/>
      <c r="Q143" s="1308"/>
      <c r="R143" s="1308"/>
      <c r="S143" s="1361"/>
      <c r="T143" s="1308"/>
      <c r="U143" s="1308"/>
      <c r="V143" s="1308"/>
      <c r="W143" s="1308"/>
      <c r="X143" s="1308"/>
      <c r="Y143" s="1308"/>
      <c r="AA143" s="778">
        <v>1</v>
      </c>
      <c r="AB143" s="779" t="s">
        <v>1057</v>
      </c>
      <c r="AC143" s="237">
        <v>66.388999999999996</v>
      </c>
      <c r="AD143" s="779" t="str">
        <f>AB143</f>
        <v xml:space="preserve">  Кредиты</v>
      </c>
      <c r="AE143" s="237">
        <f>AC143</f>
        <v>66.388999999999996</v>
      </c>
      <c r="AF143" s="1350"/>
      <c r="AG143" s="1352"/>
      <c r="AH143" s="1352"/>
      <c r="AI143" s="1350"/>
      <c r="AJ143" s="1352"/>
      <c r="AK143" s="1352"/>
      <c r="AL143" s="772"/>
    </row>
    <row r="144" spans="1:38" ht="11.25" customHeight="1">
      <c r="A144" s="1030" t="s">
        <v>1019</v>
      </c>
      <c r="E144" s="557"/>
      <c r="F144" s="1339"/>
      <c r="G144" s="1340"/>
      <c r="H144" s="1335" t="s">
        <v>91</v>
      </c>
      <c r="I144" s="1347"/>
      <c r="J144" s="1363"/>
      <c r="K144" s="1349"/>
      <c r="L144" s="1079"/>
      <c r="M144" s="1364"/>
      <c r="N144" s="1355"/>
      <c r="O144" s="1356"/>
      <c r="P144" s="1359"/>
      <c r="Q144" s="1308"/>
      <c r="R144" s="1308"/>
      <c r="S144" s="1361"/>
      <c r="T144" s="1308"/>
      <c r="U144" s="1308"/>
      <c r="V144" s="1308"/>
      <c r="W144" s="1308"/>
      <c r="X144" s="1308"/>
      <c r="Y144" s="1308"/>
      <c r="Z144" s="229"/>
      <c r="AA144" s="230"/>
      <c r="AB144" s="44" t="s">
        <v>1059</v>
      </c>
      <c r="AC144" s="231"/>
      <c r="AD144" s="231"/>
      <c r="AE144" s="246"/>
      <c r="AF144" s="1350"/>
      <c r="AG144" s="1352"/>
      <c r="AH144" s="1352"/>
      <c r="AI144" s="1350"/>
      <c r="AJ144" s="1352"/>
      <c r="AK144" s="1352"/>
      <c r="AL144" s="772"/>
    </row>
    <row r="145" spans="1:38" ht="11.25" customHeight="1">
      <c r="A145" s="1030" t="s">
        <v>1019</v>
      </c>
      <c r="E145" s="557"/>
      <c r="F145" s="1339"/>
      <c r="G145" s="1340"/>
      <c r="H145" s="1335" t="s">
        <v>91</v>
      </c>
      <c r="I145" s="1347"/>
      <c r="J145" s="1363"/>
      <c r="K145" s="1349"/>
      <c r="L145" s="1079"/>
      <c r="M145" s="1364"/>
      <c r="N145" s="229"/>
      <c r="O145" s="230"/>
      <c r="P145" s="44" t="s">
        <v>1060</v>
      </c>
      <c r="Q145" s="230"/>
      <c r="R145" s="230"/>
      <c r="S145" s="230"/>
      <c r="T145" s="230"/>
      <c r="U145" s="230"/>
      <c r="V145" s="230"/>
      <c r="W145" s="230"/>
      <c r="X145" s="230"/>
      <c r="Y145" s="230"/>
      <c r="Z145" s="230"/>
      <c r="AA145" s="230"/>
      <c r="AB145" s="230"/>
      <c r="AC145" s="230"/>
      <c r="AD145" s="230"/>
      <c r="AE145" s="247"/>
      <c r="AF145" s="1350"/>
      <c r="AG145" s="1352"/>
      <c r="AH145" s="1352"/>
      <c r="AI145" s="1350"/>
      <c r="AJ145" s="1352"/>
      <c r="AK145" s="1352"/>
      <c r="AL145" s="772"/>
    </row>
    <row r="146" spans="1:38" ht="11.25" customHeight="1">
      <c r="A146" s="1030" t="s">
        <v>1019</v>
      </c>
      <c r="B146" s="1030" t="s">
        <v>22</v>
      </c>
      <c r="E146" s="557"/>
      <c r="F146" s="1339"/>
      <c r="G146" s="1325" t="s">
        <v>103</v>
      </c>
      <c r="H146" s="1335" t="s">
        <v>116</v>
      </c>
      <c r="I146" s="1347" t="s">
        <v>1061</v>
      </c>
      <c r="J146" s="1360" t="s">
        <v>22</v>
      </c>
      <c r="K146" s="1349" t="s">
        <v>1082</v>
      </c>
      <c r="L146" s="1079" t="s">
        <v>19</v>
      </c>
      <c r="M146" s="1080"/>
      <c r="N146" s="242"/>
      <c r="O146" s="243" t="s">
        <v>384</v>
      </c>
      <c r="P146" s="244"/>
      <c r="Q146" s="244"/>
      <c r="R146" s="244"/>
      <c r="S146" s="244"/>
      <c r="T146" s="244"/>
      <c r="U146" s="244"/>
      <c r="V146" s="244"/>
      <c r="W146" s="244"/>
      <c r="X146" s="244"/>
      <c r="Y146" s="244"/>
      <c r="Z146" s="244"/>
      <c r="AA146" s="244"/>
      <c r="AB146" s="244"/>
      <c r="AC146" s="244"/>
      <c r="AD146" s="244"/>
      <c r="AE146" s="244"/>
      <c r="AF146" s="1350">
        <v>2</v>
      </c>
      <c r="AG146" s="1352" t="s">
        <v>1055</v>
      </c>
      <c r="AH146" s="1352" t="s">
        <v>1083</v>
      </c>
      <c r="AI146" s="1350">
        <v>2</v>
      </c>
      <c r="AJ146" s="1352" t="s">
        <v>1055</v>
      </c>
      <c r="AK146" s="1352" t="s">
        <v>1083</v>
      </c>
      <c r="AL146" s="772"/>
    </row>
    <row r="147" spans="1:38" ht="11.25" customHeight="1">
      <c r="A147" s="1030" t="s">
        <v>1019</v>
      </c>
      <c r="E147" s="557"/>
      <c r="F147" s="1339"/>
      <c r="G147" s="1340"/>
      <c r="H147" s="1335" t="s">
        <v>92</v>
      </c>
      <c r="I147" s="1347"/>
      <c r="J147" s="1360"/>
      <c r="K147" s="1349"/>
      <c r="L147" s="1079"/>
      <c r="M147" s="1080"/>
      <c r="N147" s="1355"/>
      <c r="O147" s="1356">
        <v>1</v>
      </c>
      <c r="P147" s="1357" t="s">
        <v>61</v>
      </c>
      <c r="Q147" s="1348" t="s">
        <v>1064</v>
      </c>
      <c r="R147" s="1362" t="s">
        <v>1065</v>
      </c>
      <c r="S147" s="1362" t="s">
        <v>99</v>
      </c>
      <c r="T147" s="1362" t="s">
        <v>99</v>
      </c>
      <c r="U147" s="1362" t="s">
        <v>100</v>
      </c>
      <c r="V147" s="1362" t="s">
        <v>1066</v>
      </c>
      <c r="W147" s="1362" t="s">
        <v>1067</v>
      </c>
      <c r="X147" s="1362" t="s">
        <v>1068</v>
      </c>
      <c r="Y147" s="1362" t="s">
        <v>1069</v>
      </c>
      <c r="Z147" s="229"/>
      <c r="AA147" s="230"/>
      <c r="AB147" s="230"/>
      <c r="AC147" s="231"/>
      <c r="AD147" s="231"/>
      <c r="AE147" s="245"/>
      <c r="AF147" s="1350"/>
      <c r="AG147" s="1352"/>
      <c r="AH147" s="1352"/>
      <c r="AI147" s="1350"/>
      <c r="AJ147" s="1352"/>
      <c r="AK147" s="1352"/>
      <c r="AL147" s="772"/>
    </row>
    <row r="148" spans="1:38" ht="11.25" customHeight="1">
      <c r="A148" s="1030" t="s">
        <v>1019</v>
      </c>
      <c r="E148" s="557"/>
      <c r="F148" s="1339"/>
      <c r="G148" s="1340"/>
      <c r="H148" s="1335" t="s">
        <v>92</v>
      </c>
      <c r="I148" s="1347"/>
      <c r="J148" s="1360"/>
      <c r="K148" s="1349"/>
      <c r="L148" s="1079"/>
      <c r="M148" s="1080"/>
      <c r="N148" s="1355"/>
      <c r="O148" s="1356"/>
      <c r="P148" s="1358"/>
      <c r="Q148" s="1348"/>
      <c r="R148" s="1308"/>
      <c r="S148" s="1361"/>
      <c r="T148" s="1308"/>
      <c r="U148" s="1308"/>
      <c r="V148" s="1308"/>
      <c r="W148" s="1308"/>
      <c r="X148" s="1308"/>
      <c r="Y148" s="1308"/>
      <c r="AA148" s="778">
        <v>1</v>
      </c>
      <c r="AB148" s="779" t="s">
        <v>1057</v>
      </c>
      <c r="AC148" s="237">
        <v>162795.27728000001</v>
      </c>
      <c r="AD148" s="779" t="str">
        <f>AB148</f>
        <v xml:space="preserve">  Кредиты</v>
      </c>
      <c r="AE148" s="237">
        <f>AC148</f>
        <v>162795.27728000001</v>
      </c>
      <c r="AF148" s="1350"/>
      <c r="AG148" s="1352"/>
      <c r="AH148" s="1352"/>
      <c r="AI148" s="1350"/>
      <c r="AJ148" s="1352"/>
      <c r="AK148" s="1352"/>
      <c r="AL148" s="772"/>
    </row>
    <row r="149" spans="1:38" ht="11.25" customHeight="1">
      <c r="A149" s="1030" t="s">
        <v>1019</v>
      </c>
      <c r="E149" s="557"/>
      <c r="F149" s="1339"/>
      <c r="G149" s="1340"/>
      <c r="H149" s="1335" t="s">
        <v>92</v>
      </c>
      <c r="I149" s="1347"/>
      <c r="J149" s="1360"/>
      <c r="K149" s="1349"/>
      <c r="L149" s="1079"/>
      <c r="M149" s="1080"/>
      <c r="N149" s="1355"/>
      <c r="O149" s="1356"/>
      <c r="P149" s="1359"/>
      <c r="Q149" s="1348"/>
      <c r="R149" s="1308"/>
      <c r="S149" s="1361"/>
      <c r="T149" s="1308"/>
      <c r="U149" s="1308"/>
      <c r="V149" s="1308"/>
      <c r="W149" s="1308"/>
      <c r="X149" s="1308"/>
      <c r="Y149" s="1308"/>
      <c r="Z149" s="229"/>
      <c r="AA149" s="230"/>
      <c r="AB149" s="44" t="s">
        <v>1059</v>
      </c>
      <c r="AC149" s="231"/>
      <c r="AD149" s="231"/>
      <c r="AE149" s="246"/>
      <c r="AF149" s="1350"/>
      <c r="AG149" s="1352"/>
      <c r="AH149" s="1352"/>
      <c r="AI149" s="1350"/>
      <c r="AJ149" s="1352"/>
      <c r="AK149" s="1352"/>
      <c r="AL149" s="772"/>
    </row>
    <row r="150" spans="1:38" ht="11.25" customHeight="1">
      <c r="A150" s="1030" t="s">
        <v>1019</v>
      </c>
      <c r="E150" s="557"/>
      <c r="F150" s="1339"/>
      <c r="G150" s="1340"/>
      <c r="H150" s="1335" t="s">
        <v>92</v>
      </c>
      <c r="I150" s="1347"/>
      <c r="J150" s="1360"/>
      <c r="K150" s="1349"/>
      <c r="L150" s="1079"/>
      <c r="M150" s="1080"/>
      <c r="N150" s="229"/>
      <c r="O150" s="230"/>
      <c r="P150" s="44" t="s">
        <v>1060</v>
      </c>
      <c r="Q150" s="230"/>
      <c r="R150" s="230"/>
      <c r="S150" s="230"/>
      <c r="T150" s="230"/>
      <c r="U150" s="230"/>
      <c r="V150" s="230"/>
      <c r="W150" s="230"/>
      <c r="X150" s="230"/>
      <c r="Y150" s="230"/>
      <c r="Z150" s="230"/>
      <c r="AA150" s="230"/>
      <c r="AB150" s="230"/>
      <c r="AC150" s="230"/>
      <c r="AD150" s="230"/>
      <c r="AE150" s="247"/>
      <c r="AF150" s="1350"/>
      <c r="AG150" s="1352"/>
      <c r="AH150" s="1352"/>
      <c r="AI150" s="1350"/>
      <c r="AJ150" s="1352"/>
      <c r="AK150" s="1352"/>
      <c r="AL150" s="772"/>
    </row>
    <row r="151" spans="1:38" ht="11.25" customHeight="1">
      <c r="A151" s="1030" t="s">
        <v>1019</v>
      </c>
      <c r="B151" s="1030" t="s">
        <v>1051</v>
      </c>
      <c r="E151" s="557"/>
      <c r="F151" s="1339"/>
      <c r="G151" s="1325" t="s">
        <v>103</v>
      </c>
      <c r="H151" s="1335" t="s">
        <v>158</v>
      </c>
      <c r="I151" s="1347" t="s">
        <v>1052</v>
      </c>
      <c r="J151" s="1363" t="s">
        <v>1053</v>
      </c>
      <c r="K151" s="1349" t="s">
        <v>1078</v>
      </c>
      <c r="L151" s="1079" t="s">
        <v>61</v>
      </c>
      <c r="M151" s="1364" t="s">
        <v>1018</v>
      </c>
      <c r="N151" s="242"/>
      <c r="O151" s="243" t="s">
        <v>384</v>
      </c>
      <c r="P151" s="244"/>
      <c r="Q151" s="244"/>
      <c r="R151" s="244"/>
      <c r="S151" s="244"/>
      <c r="T151" s="244"/>
      <c r="U151" s="244"/>
      <c r="V151" s="244"/>
      <c r="W151" s="244"/>
      <c r="X151" s="244"/>
      <c r="Y151" s="244"/>
      <c r="Z151" s="244"/>
      <c r="AA151" s="244"/>
      <c r="AB151" s="244"/>
      <c r="AC151" s="244"/>
      <c r="AD151" s="244"/>
      <c r="AE151" s="244"/>
      <c r="AF151" s="1350">
        <v>8</v>
      </c>
      <c r="AG151" s="1352" t="s">
        <v>1055</v>
      </c>
      <c r="AH151" s="1352" t="s">
        <v>1079</v>
      </c>
      <c r="AI151" s="1350">
        <v>8</v>
      </c>
      <c r="AJ151" s="1352" t="s">
        <v>1055</v>
      </c>
      <c r="AK151" s="1352" t="s">
        <v>1079</v>
      </c>
      <c r="AL151" s="772"/>
    </row>
    <row r="152" spans="1:38" ht="11.25" customHeight="1">
      <c r="A152" s="1030" t="s">
        <v>1019</v>
      </c>
      <c r="E152" s="557"/>
      <c r="F152" s="1339"/>
      <c r="G152" s="1340"/>
      <c r="H152" s="1335" t="s">
        <v>116</v>
      </c>
      <c r="I152" s="1347"/>
      <c r="J152" s="1363"/>
      <c r="K152" s="1349"/>
      <c r="L152" s="1079"/>
      <c r="M152" s="1364"/>
      <c r="N152" s="1355"/>
      <c r="O152" s="1356">
        <v>1</v>
      </c>
      <c r="P152" s="1357" t="s">
        <v>19</v>
      </c>
      <c r="Q152" s="1308" t="s">
        <v>22</v>
      </c>
      <c r="R152" s="1308" t="s">
        <v>22</v>
      </c>
      <c r="S152" s="1308" t="s">
        <v>22</v>
      </c>
      <c r="T152" s="1308" t="s">
        <v>22</v>
      </c>
      <c r="U152" s="1308" t="s">
        <v>22</v>
      </c>
      <c r="V152" s="1308" t="s">
        <v>22</v>
      </c>
      <c r="W152" s="1308" t="s">
        <v>22</v>
      </c>
      <c r="X152" s="1308" t="s">
        <v>22</v>
      </c>
      <c r="Y152" s="1308"/>
      <c r="Z152" s="229"/>
      <c r="AA152" s="230"/>
      <c r="AB152" s="230"/>
      <c r="AC152" s="231"/>
      <c r="AD152" s="231"/>
      <c r="AE152" s="245"/>
      <c r="AF152" s="1350"/>
      <c r="AG152" s="1352"/>
      <c r="AH152" s="1352"/>
      <c r="AI152" s="1350"/>
      <c r="AJ152" s="1352"/>
      <c r="AK152" s="1352"/>
      <c r="AL152" s="772"/>
    </row>
    <row r="153" spans="1:38" ht="11.25" customHeight="1">
      <c r="A153" s="1030" t="s">
        <v>1019</v>
      </c>
      <c r="E153" s="557"/>
      <c r="F153" s="1339"/>
      <c r="G153" s="1340"/>
      <c r="H153" s="1335" t="s">
        <v>116</v>
      </c>
      <c r="I153" s="1347"/>
      <c r="J153" s="1363"/>
      <c r="K153" s="1349"/>
      <c r="L153" s="1079"/>
      <c r="M153" s="1364"/>
      <c r="N153" s="1355"/>
      <c r="O153" s="1356"/>
      <c r="P153" s="1358"/>
      <c r="Q153" s="1308"/>
      <c r="R153" s="1308"/>
      <c r="S153" s="1361"/>
      <c r="T153" s="1308"/>
      <c r="U153" s="1308"/>
      <c r="V153" s="1308"/>
      <c r="W153" s="1308"/>
      <c r="X153" s="1308"/>
      <c r="Y153" s="1308"/>
      <c r="AA153" s="778">
        <v>1</v>
      </c>
      <c r="AB153" s="779" t="s">
        <v>1057</v>
      </c>
      <c r="AC153" s="237">
        <v>495.71331200000702</v>
      </c>
      <c r="AD153" s="779" t="str">
        <f>AB153</f>
        <v xml:space="preserve">  Кредиты</v>
      </c>
      <c r="AE153" s="237">
        <f>AC153</f>
        <v>495.71331200000702</v>
      </c>
      <c r="AF153" s="1350"/>
      <c r="AG153" s="1352"/>
      <c r="AH153" s="1352"/>
      <c r="AI153" s="1350"/>
      <c r="AJ153" s="1352"/>
      <c r="AK153" s="1352"/>
      <c r="AL153" s="772"/>
    </row>
    <row r="154" spans="1:38" ht="11.25" customHeight="1">
      <c r="A154" s="1030" t="s">
        <v>1019</v>
      </c>
      <c r="E154" s="557"/>
      <c r="F154" s="1339"/>
      <c r="G154" s="1340"/>
      <c r="H154" s="1335" t="s">
        <v>116</v>
      </c>
      <c r="I154" s="1347"/>
      <c r="J154" s="1363"/>
      <c r="K154" s="1349"/>
      <c r="L154" s="1079"/>
      <c r="M154" s="1364"/>
      <c r="N154" s="1355"/>
      <c r="O154" s="1356"/>
      <c r="P154" s="1359"/>
      <c r="Q154" s="1308"/>
      <c r="R154" s="1308"/>
      <c r="S154" s="1361"/>
      <c r="T154" s="1308"/>
      <c r="U154" s="1308"/>
      <c r="V154" s="1308"/>
      <c r="W154" s="1308"/>
      <c r="X154" s="1308"/>
      <c r="Y154" s="1308"/>
      <c r="Z154" s="229"/>
      <c r="AA154" s="230"/>
      <c r="AB154" s="44" t="s">
        <v>1059</v>
      </c>
      <c r="AC154" s="231"/>
      <c r="AD154" s="231"/>
      <c r="AE154" s="246"/>
      <c r="AF154" s="1350"/>
      <c r="AG154" s="1352"/>
      <c r="AH154" s="1352"/>
      <c r="AI154" s="1350"/>
      <c r="AJ154" s="1352"/>
      <c r="AK154" s="1352"/>
      <c r="AL154" s="772"/>
    </row>
    <row r="155" spans="1:38" ht="11.25" customHeight="1">
      <c r="A155" s="1030" t="s">
        <v>1019</v>
      </c>
      <c r="E155" s="557"/>
      <c r="F155" s="1339"/>
      <c r="G155" s="1340"/>
      <c r="H155" s="1335" t="s">
        <v>116</v>
      </c>
      <c r="I155" s="1347"/>
      <c r="J155" s="1363"/>
      <c r="K155" s="1349"/>
      <c r="L155" s="1079"/>
      <c r="M155" s="1364"/>
      <c r="N155" s="229"/>
      <c r="O155" s="230"/>
      <c r="P155" s="44" t="s">
        <v>1060</v>
      </c>
      <c r="Q155" s="230"/>
      <c r="R155" s="230"/>
      <c r="S155" s="230"/>
      <c r="T155" s="230"/>
      <c r="U155" s="230"/>
      <c r="V155" s="230"/>
      <c r="W155" s="230"/>
      <c r="X155" s="230"/>
      <c r="Y155" s="230"/>
      <c r="Z155" s="230"/>
      <c r="AA155" s="230"/>
      <c r="AB155" s="230"/>
      <c r="AC155" s="230"/>
      <c r="AD155" s="230"/>
      <c r="AE155" s="247"/>
      <c r="AF155" s="1350"/>
      <c r="AG155" s="1352"/>
      <c r="AH155" s="1352"/>
      <c r="AI155" s="1350"/>
      <c r="AJ155" s="1352"/>
      <c r="AK155" s="1352"/>
      <c r="AL155" s="772"/>
    </row>
    <row r="156" spans="1:38" ht="12" customHeight="1">
      <c r="A156" t="s">
        <v>1019</v>
      </c>
      <c r="E156" s="557"/>
      <c r="F156" s="1341"/>
      <c r="G156" s="775"/>
      <c r="H156" s="775"/>
      <c r="I156" s="1337" t="s">
        <v>1070</v>
      </c>
      <c r="J156" s="1337"/>
      <c r="K156" s="1337"/>
      <c r="L156" s="776"/>
      <c r="M156" s="776"/>
      <c r="N156" s="777"/>
      <c r="O156" s="777"/>
      <c r="P156" s="777"/>
      <c r="Q156" s="777"/>
      <c r="R156" s="777"/>
      <c r="S156" s="777"/>
      <c r="T156" s="777"/>
      <c r="U156" s="777"/>
      <c r="V156" s="777"/>
      <c r="W156" s="777"/>
      <c r="X156" s="777"/>
      <c r="Y156" s="777"/>
      <c r="Z156" s="777"/>
      <c r="AA156" s="777"/>
      <c r="AB156" s="777"/>
      <c r="AC156" s="777"/>
      <c r="AD156" s="777"/>
      <c r="AE156" s="777"/>
      <c r="AF156" s="777"/>
      <c r="AG156" s="776"/>
      <c r="AH156" s="776"/>
      <c r="AI156" s="777"/>
      <c r="AJ156" s="776"/>
      <c r="AK156" s="777"/>
      <c r="AL156" s="772"/>
    </row>
    <row r="157" spans="1:38" ht="0.75" customHeight="1">
      <c r="A157" t="s">
        <v>1019</v>
      </c>
      <c r="E157" s="557"/>
      <c r="F157" s="1338">
        <v>2018</v>
      </c>
      <c r="G157" s="1335"/>
      <c r="H157" s="1343" t="s">
        <v>384</v>
      </c>
      <c r="I157" s="1344"/>
      <c r="J157" s="1334"/>
      <c r="K157" s="1334"/>
      <c r="L157" s="1336"/>
      <c r="M157" s="1190"/>
      <c r="N157" s="214"/>
      <c r="O157" s="215"/>
      <c r="P157" s="214"/>
      <c r="Q157" s="214"/>
      <c r="R157" s="214"/>
      <c r="S157" s="214"/>
      <c r="T157" s="214"/>
      <c r="U157" s="214"/>
      <c r="V157" s="214"/>
      <c r="W157" s="214"/>
      <c r="X157" s="214"/>
      <c r="Y157" s="214"/>
      <c r="Z157" s="214"/>
      <c r="AA157" s="214"/>
      <c r="AB157" s="214"/>
      <c r="AC157" s="214"/>
      <c r="AD157" s="214"/>
      <c r="AE157" s="214"/>
      <c r="AF157" s="1342"/>
      <c r="AG157" s="1336"/>
      <c r="AH157" s="1336"/>
      <c r="AI157" s="1342"/>
      <c r="AJ157" s="1336"/>
      <c r="AK157" s="1336"/>
      <c r="AL157" s="772"/>
    </row>
    <row r="158" spans="1:38" ht="0.75" customHeight="1">
      <c r="A158" t="s">
        <v>1019</v>
      </c>
      <c r="E158" s="557"/>
      <c r="F158" s="1338"/>
      <c r="G158" s="1335"/>
      <c r="H158" s="1343"/>
      <c r="I158" s="1344"/>
      <c r="J158" s="1334"/>
      <c r="K158" s="1334"/>
      <c r="L158" s="1336"/>
      <c r="M158" s="1190"/>
      <c r="N158" s="1345"/>
      <c r="O158" s="1346"/>
      <c r="P158" s="1331"/>
      <c r="Q158" s="1334"/>
      <c r="R158" s="1334"/>
      <c r="S158" s="1334"/>
      <c r="T158" s="1334"/>
      <c r="U158" s="1334"/>
      <c r="V158" s="1334"/>
      <c r="W158" s="1334"/>
      <c r="X158" s="1334"/>
      <c r="Y158" s="1334"/>
      <c r="Z158" s="216"/>
      <c r="AA158" s="217"/>
      <c r="AB158" s="217"/>
      <c r="AC158" s="218"/>
      <c r="AD158" s="218"/>
      <c r="AE158" s="219"/>
      <c r="AF158" s="1342"/>
      <c r="AG158" s="1336"/>
      <c r="AH158" s="1336"/>
      <c r="AI158" s="1342"/>
      <c r="AJ158" s="1336"/>
      <c r="AK158" s="1336"/>
      <c r="AL158" s="772"/>
    </row>
    <row r="159" spans="1:38" ht="0.75" customHeight="1">
      <c r="A159" t="s">
        <v>1019</v>
      </c>
      <c r="E159" s="557"/>
      <c r="F159" s="1338"/>
      <c r="G159" s="1335"/>
      <c r="H159" s="1343"/>
      <c r="I159" s="1344"/>
      <c r="J159" s="1334"/>
      <c r="K159" s="1334"/>
      <c r="L159" s="1336"/>
      <c r="M159" s="1190"/>
      <c r="N159" s="1345"/>
      <c r="O159" s="1346"/>
      <c r="P159" s="1332"/>
      <c r="Q159" s="1334"/>
      <c r="R159" s="1334"/>
      <c r="S159" s="1334"/>
      <c r="T159" s="1334"/>
      <c r="U159" s="1334"/>
      <c r="V159" s="1334"/>
      <c r="W159" s="1334"/>
      <c r="X159" s="1334"/>
      <c r="Y159" s="1334"/>
      <c r="AA159" s="773"/>
      <c r="AB159" s="774"/>
      <c r="AC159" s="220"/>
      <c r="AD159" s="774"/>
      <c r="AE159" s="220"/>
      <c r="AF159" s="1342"/>
      <c r="AG159" s="1336"/>
      <c r="AH159" s="1336"/>
      <c r="AI159" s="1342"/>
      <c r="AJ159" s="1336"/>
      <c r="AK159" s="1336"/>
      <c r="AL159" s="772"/>
    </row>
    <row r="160" spans="1:38" ht="0.75" customHeight="1">
      <c r="A160" t="s">
        <v>1019</v>
      </c>
      <c r="E160" s="557"/>
      <c r="F160" s="1338"/>
      <c r="G160" s="1335"/>
      <c r="H160" s="1343"/>
      <c r="I160" s="1344"/>
      <c r="J160" s="1334"/>
      <c r="K160" s="1334"/>
      <c r="L160" s="1336"/>
      <c r="M160" s="1190"/>
      <c r="N160" s="1345"/>
      <c r="O160" s="1346"/>
      <c r="P160" s="1333"/>
      <c r="Q160" s="1334"/>
      <c r="R160" s="1334"/>
      <c r="S160" s="1334"/>
      <c r="T160" s="1334"/>
      <c r="U160" s="1334"/>
      <c r="V160" s="1334"/>
      <c r="W160" s="1334"/>
      <c r="X160" s="1334"/>
      <c r="Y160" s="1334"/>
      <c r="Z160" s="216"/>
      <c r="AA160" s="217"/>
      <c r="AB160" s="221"/>
      <c r="AC160" s="218"/>
      <c r="AD160" s="218"/>
      <c r="AE160" s="222"/>
      <c r="AF160" s="1342"/>
      <c r="AG160" s="1336"/>
      <c r="AH160" s="1336"/>
      <c r="AI160" s="1342"/>
      <c r="AJ160" s="1336"/>
      <c r="AK160" s="1336"/>
      <c r="AL160" s="772"/>
    </row>
    <row r="161" spans="1:38" ht="0.75" customHeight="1">
      <c r="A161" t="s">
        <v>1019</v>
      </c>
      <c r="E161" s="557"/>
      <c r="F161" s="1338"/>
      <c r="G161" s="1335"/>
      <c r="H161" s="1343"/>
      <c r="I161" s="1344"/>
      <c r="J161" s="1334"/>
      <c r="K161" s="1334"/>
      <c r="L161" s="1336"/>
      <c r="M161" s="1190"/>
      <c r="N161" s="217"/>
      <c r="O161" s="217"/>
      <c r="P161" s="221"/>
      <c r="Q161" s="217"/>
      <c r="R161" s="217"/>
      <c r="S161" s="217"/>
      <c r="T161" s="217"/>
      <c r="U161" s="217"/>
      <c r="V161" s="217"/>
      <c r="W161" s="217"/>
      <c r="X161" s="217"/>
      <c r="Y161" s="217"/>
      <c r="Z161" s="217"/>
      <c r="AA161" s="217"/>
      <c r="AB161" s="217"/>
      <c r="AC161" s="217"/>
      <c r="AD161" s="217"/>
      <c r="AE161" s="223"/>
      <c r="AF161" s="1342"/>
      <c r="AG161" s="1336"/>
      <c r="AH161" s="1336"/>
      <c r="AI161" s="1342"/>
      <c r="AJ161" s="1336"/>
      <c r="AK161" s="1336"/>
      <c r="AL161" s="772"/>
    </row>
    <row r="162" spans="1:38" ht="11.25" customHeight="1">
      <c r="A162" s="1030" t="s">
        <v>1019</v>
      </c>
      <c r="B162" s="1030" t="s">
        <v>22</v>
      </c>
      <c r="E162" s="557"/>
      <c r="F162" s="1339"/>
      <c r="G162" s="1325" t="s">
        <v>103</v>
      </c>
      <c r="H162" s="1335" t="s">
        <v>114</v>
      </c>
      <c r="I162" s="1347" t="s">
        <v>1071</v>
      </c>
      <c r="J162" s="1360" t="s">
        <v>22</v>
      </c>
      <c r="K162" s="1349" t="s">
        <v>1096</v>
      </c>
      <c r="L162" s="1079" t="s">
        <v>19</v>
      </c>
      <c r="M162" s="1080"/>
      <c r="N162" s="242"/>
      <c r="O162" s="243" t="s">
        <v>384</v>
      </c>
      <c r="P162" s="244"/>
      <c r="Q162" s="244"/>
      <c r="R162" s="244"/>
      <c r="S162" s="244"/>
      <c r="T162" s="244"/>
      <c r="U162" s="244"/>
      <c r="V162" s="244"/>
      <c r="W162" s="244"/>
      <c r="X162" s="244"/>
      <c r="Y162" s="244"/>
      <c r="Z162" s="244"/>
      <c r="AA162" s="244"/>
      <c r="AB162" s="244"/>
      <c r="AC162" s="244"/>
      <c r="AD162" s="244"/>
      <c r="AE162" s="244"/>
      <c r="AF162" s="1350">
        <v>5</v>
      </c>
      <c r="AG162" s="1352" t="s">
        <v>1055</v>
      </c>
      <c r="AH162" s="1352" t="s">
        <v>1097</v>
      </c>
      <c r="AI162" s="1350">
        <v>5</v>
      </c>
      <c r="AJ162" s="1352" t="s">
        <v>1055</v>
      </c>
      <c r="AK162" s="1352" t="s">
        <v>1097</v>
      </c>
      <c r="AL162" s="772"/>
    </row>
    <row r="163" spans="1:38" ht="11.25" customHeight="1">
      <c r="A163" s="1030" t="s">
        <v>1019</v>
      </c>
      <c r="E163" s="557"/>
      <c r="F163" s="1339"/>
      <c r="G163" s="1340"/>
      <c r="H163" s="1335" t="s">
        <v>384</v>
      </c>
      <c r="I163" s="1347"/>
      <c r="J163" s="1360"/>
      <c r="K163" s="1349"/>
      <c r="L163" s="1079"/>
      <c r="M163" s="1080"/>
      <c r="N163" s="1355"/>
      <c r="O163" s="1356">
        <v>1</v>
      </c>
      <c r="P163" s="1357" t="s">
        <v>19</v>
      </c>
      <c r="Q163" s="1308" t="s">
        <v>22</v>
      </c>
      <c r="R163" s="1308" t="s">
        <v>22</v>
      </c>
      <c r="S163" s="1308" t="s">
        <v>22</v>
      </c>
      <c r="T163" s="1308" t="s">
        <v>22</v>
      </c>
      <c r="U163" s="1308" t="s">
        <v>22</v>
      </c>
      <c r="V163" s="1308" t="s">
        <v>22</v>
      </c>
      <c r="W163" s="1308" t="s">
        <v>22</v>
      </c>
      <c r="X163" s="1308" t="s">
        <v>22</v>
      </c>
      <c r="Y163" s="1308"/>
      <c r="Z163" s="229"/>
      <c r="AA163" s="230"/>
      <c r="AB163" s="230"/>
      <c r="AC163" s="231"/>
      <c r="AD163" s="231"/>
      <c r="AE163" s="245"/>
      <c r="AF163" s="1350"/>
      <c r="AG163" s="1352"/>
      <c r="AH163" s="1352"/>
      <c r="AI163" s="1350"/>
      <c r="AJ163" s="1352"/>
      <c r="AK163" s="1352"/>
      <c r="AL163" s="772"/>
    </row>
    <row r="164" spans="1:38" ht="11.25" customHeight="1">
      <c r="A164" s="1030" t="s">
        <v>1019</v>
      </c>
      <c r="E164" s="557"/>
      <c r="F164" s="1339"/>
      <c r="G164" s="1340"/>
      <c r="H164" s="1335" t="s">
        <v>384</v>
      </c>
      <c r="I164" s="1347"/>
      <c r="J164" s="1360"/>
      <c r="K164" s="1349"/>
      <c r="L164" s="1079"/>
      <c r="M164" s="1080"/>
      <c r="N164" s="1355"/>
      <c r="O164" s="1356"/>
      <c r="P164" s="1358"/>
      <c r="Q164" s="1308"/>
      <c r="R164" s="1308"/>
      <c r="S164" s="1361"/>
      <c r="T164" s="1308"/>
      <c r="U164" s="1308"/>
      <c r="V164" s="1308"/>
      <c r="W164" s="1308"/>
      <c r="X164" s="1308"/>
      <c r="Y164" s="1308"/>
      <c r="AA164" s="778">
        <v>1</v>
      </c>
      <c r="AB164" s="779" t="s">
        <v>1057</v>
      </c>
      <c r="AC164" s="237">
        <v>96.235519999999994</v>
      </c>
      <c r="AD164" s="779" t="str">
        <f>AB164</f>
        <v xml:space="preserve">  Кредиты</v>
      </c>
      <c r="AE164" s="237">
        <f>AC164</f>
        <v>96.235519999999994</v>
      </c>
      <c r="AF164" s="1350"/>
      <c r="AG164" s="1352"/>
      <c r="AH164" s="1352"/>
      <c r="AI164" s="1350"/>
      <c r="AJ164" s="1352"/>
      <c r="AK164" s="1352"/>
      <c r="AL164" s="772"/>
    </row>
    <row r="165" spans="1:38" ht="11.25" customHeight="1">
      <c r="A165" s="1030" t="s">
        <v>1019</v>
      </c>
      <c r="E165" s="557"/>
      <c r="F165" s="1339"/>
      <c r="G165" s="1340"/>
      <c r="H165" s="1335" t="s">
        <v>384</v>
      </c>
      <c r="I165" s="1347"/>
      <c r="J165" s="1360"/>
      <c r="K165" s="1349"/>
      <c r="L165" s="1079"/>
      <c r="M165" s="1080"/>
      <c r="N165" s="1355"/>
      <c r="O165" s="1356"/>
      <c r="P165" s="1359"/>
      <c r="Q165" s="1308"/>
      <c r="R165" s="1308"/>
      <c r="S165" s="1361"/>
      <c r="T165" s="1308"/>
      <c r="U165" s="1308"/>
      <c r="V165" s="1308"/>
      <c r="W165" s="1308"/>
      <c r="X165" s="1308"/>
      <c r="Y165" s="1308"/>
      <c r="Z165" s="229"/>
      <c r="AA165" s="230"/>
      <c r="AB165" s="44" t="s">
        <v>1059</v>
      </c>
      <c r="AC165" s="231"/>
      <c r="AD165" s="231"/>
      <c r="AE165" s="246"/>
      <c r="AF165" s="1350"/>
      <c r="AG165" s="1352"/>
      <c r="AH165" s="1352"/>
      <c r="AI165" s="1350"/>
      <c r="AJ165" s="1352"/>
      <c r="AK165" s="1352"/>
      <c r="AL165" s="772"/>
    </row>
    <row r="166" spans="1:38" ht="11.25" customHeight="1">
      <c r="A166" s="1030" t="s">
        <v>1019</v>
      </c>
      <c r="E166" s="557"/>
      <c r="F166" s="1339"/>
      <c r="G166" s="1340"/>
      <c r="H166" s="1335" t="s">
        <v>384</v>
      </c>
      <c r="I166" s="1347"/>
      <c r="J166" s="1360"/>
      <c r="K166" s="1349"/>
      <c r="L166" s="1079"/>
      <c r="M166" s="1080"/>
      <c r="N166" s="229"/>
      <c r="O166" s="230"/>
      <c r="P166" s="44" t="s">
        <v>1060</v>
      </c>
      <c r="Q166" s="230"/>
      <c r="R166" s="230"/>
      <c r="S166" s="230"/>
      <c r="T166" s="230"/>
      <c r="U166" s="230"/>
      <c r="V166" s="230"/>
      <c r="W166" s="230"/>
      <c r="X166" s="230"/>
      <c r="Y166" s="230"/>
      <c r="Z166" s="230"/>
      <c r="AA166" s="230"/>
      <c r="AB166" s="230"/>
      <c r="AC166" s="230"/>
      <c r="AD166" s="230"/>
      <c r="AE166" s="247"/>
      <c r="AF166" s="1350"/>
      <c r="AG166" s="1352"/>
      <c r="AH166" s="1352"/>
      <c r="AI166" s="1350"/>
      <c r="AJ166" s="1352"/>
      <c r="AK166" s="1352"/>
      <c r="AL166" s="772"/>
    </row>
    <row r="167" spans="1:38" ht="11.25" customHeight="1">
      <c r="A167" s="1030" t="s">
        <v>1019</v>
      </c>
      <c r="B167" s="1030" t="s">
        <v>22</v>
      </c>
      <c r="E167" s="557"/>
      <c r="F167" s="1339"/>
      <c r="G167" s="1325" t="s">
        <v>103</v>
      </c>
      <c r="H167" s="1335" t="s">
        <v>102</v>
      </c>
      <c r="I167" s="1347" t="s">
        <v>1071</v>
      </c>
      <c r="J167" s="1360" t="s">
        <v>22</v>
      </c>
      <c r="K167" s="1349" t="s">
        <v>1090</v>
      </c>
      <c r="L167" s="1079" t="s">
        <v>19</v>
      </c>
      <c r="M167" s="1080"/>
      <c r="N167" s="242"/>
      <c r="O167" s="243" t="s">
        <v>384</v>
      </c>
      <c r="P167" s="244"/>
      <c r="Q167" s="244"/>
      <c r="R167" s="244"/>
      <c r="S167" s="244"/>
      <c r="T167" s="244"/>
      <c r="U167" s="244"/>
      <c r="V167" s="244"/>
      <c r="W167" s="244"/>
      <c r="X167" s="244"/>
      <c r="Y167" s="244"/>
      <c r="Z167" s="244"/>
      <c r="AA167" s="244"/>
      <c r="AB167" s="244"/>
      <c r="AC167" s="244"/>
      <c r="AD167" s="244"/>
      <c r="AE167" s="244"/>
      <c r="AF167" s="1350">
        <v>2</v>
      </c>
      <c r="AG167" s="1352" t="s">
        <v>1055</v>
      </c>
      <c r="AH167" s="1352" t="s">
        <v>1073</v>
      </c>
      <c r="AI167" s="1350">
        <v>2</v>
      </c>
      <c r="AJ167" s="1352" t="s">
        <v>1055</v>
      </c>
      <c r="AK167" s="1352" t="s">
        <v>1073</v>
      </c>
      <c r="AL167" s="772"/>
    </row>
    <row r="168" spans="1:38" ht="11.25" customHeight="1">
      <c r="A168" s="1030" t="s">
        <v>1019</v>
      </c>
      <c r="E168" s="557"/>
      <c r="F168" s="1339"/>
      <c r="G168" s="1340"/>
      <c r="H168" s="1335" t="s">
        <v>114</v>
      </c>
      <c r="I168" s="1347"/>
      <c r="J168" s="1360"/>
      <c r="K168" s="1349"/>
      <c r="L168" s="1079"/>
      <c r="M168" s="1080"/>
      <c r="N168" s="1355"/>
      <c r="O168" s="1356">
        <v>1</v>
      </c>
      <c r="P168" s="1357" t="s">
        <v>19</v>
      </c>
      <c r="Q168" s="1308" t="s">
        <v>22</v>
      </c>
      <c r="R168" s="1308" t="s">
        <v>22</v>
      </c>
      <c r="S168" s="1308" t="s">
        <v>22</v>
      </c>
      <c r="T168" s="1308" t="s">
        <v>22</v>
      </c>
      <c r="U168" s="1308" t="s">
        <v>22</v>
      </c>
      <c r="V168" s="1308" t="s">
        <v>22</v>
      </c>
      <c r="W168" s="1308" t="s">
        <v>22</v>
      </c>
      <c r="X168" s="1308" t="s">
        <v>22</v>
      </c>
      <c r="Y168" s="1308"/>
      <c r="Z168" s="229"/>
      <c r="AA168" s="230"/>
      <c r="AB168" s="230"/>
      <c r="AC168" s="231"/>
      <c r="AD168" s="231"/>
      <c r="AE168" s="245"/>
      <c r="AF168" s="1350"/>
      <c r="AG168" s="1352"/>
      <c r="AH168" s="1352"/>
      <c r="AI168" s="1350"/>
      <c r="AJ168" s="1352"/>
      <c r="AK168" s="1352"/>
      <c r="AL168" s="772"/>
    </row>
    <row r="169" spans="1:38" ht="11.25" customHeight="1">
      <c r="A169" s="1030" t="s">
        <v>1019</v>
      </c>
      <c r="E169" s="557"/>
      <c r="F169" s="1339"/>
      <c r="G169" s="1340"/>
      <c r="H169" s="1335" t="s">
        <v>114</v>
      </c>
      <c r="I169" s="1347"/>
      <c r="J169" s="1360"/>
      <c r="K169" s="1349"/>
      <c r="L169" s="1079"/>
      <c r="M169" s="1080"/>
      <c r="N169" s="1355"/>
      <c r="O169" s="1356"/>
      <c r="P169" s="1358"/>
      <c r="Q169" s="1308"/>
      <c r="R169" s="1308"/>
      <c r="S169" s="1361"/>
      <c r="T169" s="1308"/>
      <c r="U169" s="1308"/>
      <c r="V169" s="1308"/>
      <c r="W169" s="1308"/>
      <c r="X169" s="1308"/>
      <c r="Y169" s="1308"/>
      <c r="AA169" s="778">
        <v>1</v>
      </c>
      <c r="AB169" s="779" t="s">
        <v>1057</v>
      </c>
      <c r="AC169" s="237">
        <v>9920.0261200000004</v>
      </c>
      <c r="AD169" s="779" t="str">
        <f>AB169</f>
        <v xml:space="preserve">  Кредиты</v>
      </c>
      <c r="AE169" s="237">
        <f>AC169</f>
        <v>9920.0261200000004</v>
      </c>
      <c r="AF169" s="1350"/>
      <c r="AG169" s="1352"/>
      <c r="AH169" s="1352"/>
      <c r="AI169" s="1350"/>
      <c r="AJ169" s="1352"/>
      <c r="AK169" s="1352"/>
      <c r="AL169" s="772"/>
    </row>
    <row r="170" spans="1:38" ht="11.25" customHeight="1">
      <c r="A170" s="1030" t="s">
        <v>1019</v>
      </c>
      <c r="E170" s="557"/>
      <c r="F170" s="1339"/>
      <c r="G170" s="1340"/>
      <c r="H170" s="1335" t="s">
        <v>114</v>
      </c>
      <c r="I170" s="1347"/>
      <c r="J170" s="1360"/>
      <c r="K170" s="1349"/>
      <c r="L170" s="1079"/>
      <c r="M170" s="1080"/>
      <c r="N170" s="1355"/>
      <c r="O170" s="1356"/>
      <c r="P170" s="1359"/>
      <c r="Q170" s="1308"/>
      <c r="R170" s="1308"/>
      <c r="S170" s="1361"/>
      <c r="T170" s="1308"/>
      <c r="U170" s="1308"/>
      <c r="V170" s="1308"/>
      <c r="W170" s="1308"/>
      <c r="X170" s="1308"/>
      <c r="Y170" s="1308"/>
      <c r="Z170" s="229"/>
      <c r="AA170" s="230"/>
      <c r="AB170" s="44" t="s">
        <v>1059</v>
      </c>
      <c r="AC170" s="231"/>
      <c r="AD170" s="231"/>
      <c r="AE170" s="246"/>
      <c r="AF170" s="1350"/>
      <c r="AG170" s="1352"/>
      <c r="AH170" s="1352"/>
      <c r="AI170" s="1350"/>
      <c r="AJ170" s="1352"/>
      <c r="AK170" s="1352"/>
      <c r="AL170" s="772"/>
    </row>
    <row r="171" spans="1:38" ht="11.25" customHeight="1">
      <c r="A171" s="1030" t="s">
        <v>1019</v>
      </c>
      <c r="E171" s="557"/>
      <c r="F171" s="1339"/>
      <c r="G171" s="1340"/>
      <c r="H171" s="1335" t="s">
        <v>114</v>
      </c>
      <c r="I171" s="1347"/>
      <c r="J171" s="1360"/>
      <c r="K171" s="1349"/>
      <c r="L171" s="1079"/>
      <c r="M171" s="1080"/>
      <c r="N171" s="229"/>
      <c r="O171" s="230"/>
      <c r="P171" s="44" t="s">
        <v>1060</v>
      </c>
      <c r="Q171" s="230"/>
      <c r="R171" s="230"/>
      <c r="S171" s="230"/>
      <c r="T171" s="230"/>
      <c r="U171" s="230"/>
      <c r="V171" s="230"/>
      <c r="W171" s="230"/>
      <c r="X171" s="230"/>
      <c r="Y171" s="230"/>
      <c r="Z171" s="230"/>
      <c r="AA171" s="230"/>
      <c r="AB171" s="230"/>
      <c r="AC171" s="230"/>
      <c r="AD171" s="230"/>
      <c r="AE171" s="247"/>
      <c r="AF171" s="1350"/>
      <c r="AG171" s="1352"/>
      <c r="AH171" s="1352"/>
      <c r="AI171" s="1350"/>
      <c r="AJ171" s="1352"/>
      <c r="AK171" s="1352"/>
      <c r="AL171" s="772"/>
    </row>
    <row r="172" spans="1:38" ht="11.25" customHeight="1">
      <c r="A172" s="1030" t="s">
        <v>1019</v>
      </c>
      <c r="B172" s="1030" t="s">
        <v>22</v>
      </c>
      <c r="E172" s="557"/>
      <c r="F172" s="1339"/>
      <c r="G172" s="1325" t="s">
        <v>103</v>
      </c>
      <c r="H172" s="1335" t="s">
        <v>89</v>
      </c>
      <c r="I172" s="1347" t="s">
        <v>1071</v>
      </c>
      <c r="J172" s="1360" t="s">
        <v>22</v>
      </c>
      <c r="K172" s="1349" t="s">
        <v>1091</v>
      </c>
      <c r="L172" s="1079" t="s">
        <v>19</v>
      </c>
      <c r="M172" s="1080"/>
      <c r="N172" s="242"/>
      <c r="O172" s="243" t="s">
        <v>384</v>
      </c>
      <c r="P172" s="244"/>
      <c r="Q172" s="244"/>
      <c r="R172" s="244"/>
      <c r="S172" s="244"/>
      <c r="T172" s="244"/>
      <c r="U172" s="244"/>
      <c r="V172" s="244"/>
      <c r="W172" s="244"/>
      <c r="X172" s="244"/>
      <c r="Y172" s="244"/>
      <c r="Z172" s="244"/>
      <c r="AA172" s="244"/>
      <c r="AB172" s="244"/>
      <c r="AC172" s="244"/>
      <c r="AD172" s="244"/>
      <c r="AE172" s="244"/>
      <c r="AF172" s="1350">
        <v>2</v>
      </c>
      <c r="AG172" s="1352" t="s">
        <v>1055</v>
      </c>
      <c r="AH172" s="1352" t="s">
        <v>1073</v>
      </c>
      <c r="AI172" s="1350">
        <v>2</v>
      </c>
      <c r="AJ172" s="1352" t="s">
        <v>1055</v>
      </c>
      <c r="AK172" s="1352" t="s">
        <v>1073</v>
      </c>
      <c r="AL172" s="772"/>
    </row>
    <row r="173" spans="1:38" ht="11.25" customHeight="1">
      <c r="A173" s="1030" t="s">
        <v>1019</v>
      </c>
      <c r="E173" s="557"/>
      <c r="F173" s="1339"/>
      <c r="G173" s="1340"/>
      <c r="H173" s="1335" t="s">
        <v>102</v>
      </c>
      <c r="I173" s="1347"/>
      <c r="J173" s="1360"/>
      <c r="K173" s="1349"/>
      <c r="L173" s="1079"/>
      <c r="M173" s="1080"/>
      <c r="N173" s="1355"/>
      <c r="O173" s="1356">
        <v>1</v>
      </c>
      <c r="P173" s="1357" t="s">
        <v>19</v>
      </c>
      <c r="Q173" s="1308" t="s">
        <v>22</v>
      </c>
      <c r="R173" s="1308" t="s">
        <v>22</v>
      </c>
      <c r="S173" s="1308" t="s">
        <v>22</v>
      </c>
      <c r="T173" s="1308" t="s">
        <v>22</v>
      </c>
      <c r="U173" s="1308" t="s">
        <v>22</v>
      </c>
      <c r="V173" s="1308" t="s">
        <v>22</v>
      </c>
      <c r="W173" s="1308" t="s">
        <v>22</v>
      </c>
      <c r="X173" s="1308" t="s">
        <v>22</v>
      </c>
      <c r="Y173" s="1308"/>
      <c r="Z173" s="229"/>
      <c r="AA173" s="230"/>
      <c r="AB173" s="230"/>
      <c r="AC173" s="231"/>
      <c r="AD173" s="231"/>
      <c r="AE173" s="245"/>
      <c r="AF173" s="1350"/>
      <c r="AG173" s="1352"/>
      <c r="AH173" s="1352"/>
      <c r="AI173" s="1350"/>
      <c r="AJ173" s="1352"/>
      <c r="AK173" s="1352"/>
      <c r="AL173" s="772"/>
    </row>
    <row r="174" spans="1:38" ht="11.25" customHeight="1">
      <c r="A174" s="1030" t="s">
        <v>1019</v>
      </c>
      <c r="E174" s="557"/>
      <c r="F174" s="1339"/>
      <c r="G174" s="1340"/>
      <c r="H174" s="1335" t="s">
        <v>102</v>
      </c>
      <c r="I174" s="1347"/>
      <c r="J174" s="1360"/>
      <c r="K174" s="1349"/>
      <c r="L174" s="1079"/>
      <c r="M174" s="1080"/>
      <c r="N174" s="1355"/>
      <c r="O174" s="1356"/>
      <c r="P174" s="1358"/>
      <c r="Q174" s="1308"/>
      <c r="R174" s="1308"/>
      <c r="S174" s="1361"/>
      <c r="T174" s="1308"/>
      <c r="U174" s="1308"/>
      <c r="V174" s="1308"/>
      <c r="W174" s="1308"/>
      <c r="X174" s="1308"/>
      <c r="Y174" s="1308"/>
      <c r="AA174" s="778">
        <v>1</v>
      </c>
      <c r="AB174" s="779" t="s">
        <v>1057</v>
      </c>
      <c r="AC174" s="237">
        <v>7966</v>
      </c>
      <c r="AD174" s="779" t="str">
        <f>AB174</f>
        <v xml:space="preserve">  Кредиты</v>
      </c>
      <c r="AE174" s="237">
        <f>AC174</f>
        <v>7966</v>
      </c>
      <c r="AF174" s="1350"/>
      <c r="AG174" s="1352"/>
      <c r="AH174" s="1352"/>
      <c r="AI174" s="1350"/>
      <c r="AJ174" s="1352"/>
      <c r="AK174" s="1352"/>
      <c r="AL174" s="772"/>
    </row>
    <row r="175" spans="1:38" ht="11.25" customHeight="1">
      <c r="A175" s="1030" t="s">
        <v>1019</v>
      </c>
      <c r="E175" s="557"/>
      <c r="F175" s="1339"/>
      <c r="G175" s="1340"/>
      <c r="H175" s="1335" t="s">
        <v>102</v>
      </c>
      <c r="I175" s="1347"/>
      <c r="J175" s="1360"/>
      <c r="K175" s="1349"/>
      <c r="L175" s="1079"/>
      <c r="M175" s="1080"/>
      <c r="N175" s="1355"/>
      <c r="O175" s="1356"/>
      <c r="P175" s="1359"/>
      <c r="Q175" s="1308"/>
      <c r="R175" s="1308"/>
      <c r="S175" s="1361"/>
      <c r="T175" s="1308"/>
      <c r="U175" s="1308"/>
      <c r="V175" s="1308"/>
      <c r="W175" s="1308"/>
      <c r="X175" s="1308"/>
      <c r="Y175" s="1308"/>
      <c r="Z175" s="229"/>
      <c r="AA175" s="230"/>
      <c r="AB175" s="44" t="s">
        <v>1059</v>
      </c>
      <c r="AC175" s="231"/>
      <c r="AD175" s="231"/>
      <c r="AE175" s="246"/>
      <c r="AF175" s="1350"/>
      <c r="AG175" s="1352"/>
      <c r="AH175" s="1352"/>
      <c r="AI175" s="1350"/>
      <c r="AJ175" s="1352"/>
      <c r="AK175" s="1352"/>
      <c r="AL175" s="772"/>
    </row>
    <row r="176" spans="1:38" ht="11.25" customHeight="1">
      <c r="A176" s="1030" t="s">
        <v>1019</v>
      </c>
      <c r="E176" s="557"/>
      <c r="F176" s="1339"/>
      <c r="G176" s="1340"/>
      <c r="H176" s="1335" t="s">
        <v>102</v>
      </c>
      <c r="I176" s="1347"/>
      <c r="J176" s="1360"/>
      <c r="K176" s="1349"/>
      <c r="L176" s="1079"/>
      <c r="M176" s="1080"/>
      <c r="N176" s="229"/>
      <c r="O176" s="230"/>
      <c r="P176" s="44" t="s">
        <v>1060</v>
      </c>
      <c r="Q176" s="230"/>
      <c r="R176" s="230"/>
      <c r="S176" s="230"/>
      <c r="T176" s="230"/>
      <c r="U176" s="230"/>
      <c r="V176" s="230"/>
      <c r="W176" s="230"/>
      <c r="X176" s="230"/>
      <c r="Y176" s="230"/>
      <c r="Z176" s="230"/>
      <c r="AA176" s="230"/>
      <c r="AB176" s="230"/>
      <c r="AC176" s="230"/>
      <c r="AD176" s="230"/>
      <c r="AE176" s="247"/>
      <c r="AF176" s="1350"/>
      <c r="AG176" s="1352"/>
      <c r="AH176" s="1352"/>
      <c r="AI176" s="1350"/>
      <c r="AJ176" s="1352"/>
      <c r="AK176" s="1352"/>
      <c r="AL176" s="772"/>
    </row>
    <row r="177" spans="1:38" ht="11.25" customHeight="1">
      <c r="A177" s="1030" t="s">
        <v>1019</v>
      </c>
      <c r="B177" s="1030" t="s">
        <v>22</v>
      </c>
      <c r="E177" s="557"/>
      <c r="F177" s="1339"/>
      <c r="G177" s="1325" t="s">
        <v>103</v>
      </c>
      <c r="H177" s="1335" t="s">
        <v>90</v>
      </c>
      <c r="I177" s="1347" t="s">
        <v>1071</v>
      </c>
      <c r="J177" s="1360" t="s">
        <v>22</v>
      </c>
      <c r="K177" s="1349" t="s">
        <v>1072</v>
      </c>
      <c r="L177" s="1079" t="s">
        <v>19</v>
      </c>
      <c r="M177" s="1080"/>
      <c r="N177" s="242"/>
      <c r="O177" s="243" t="s">
        <v>384</v>
      </c>
      <c r="P177" s="244"/>
      <c r="Q177" s="244"/>
      <c r="R177" s="244"/>
      <c r="S177" s="244"/>
      <c r="T177" s="244"/>
      <c r="U177" s="244"/>
      <c r="V177" s="244"/>
      <c r="W177" s="244"/>
      <c r="X177" s="244"/>
      <c r="Y177" s="244"/>
      <c r="Z177" s="244"/>
      <c r="AA177" s="244"/>
      <c r="AB177" s="244"/>
      <c r="AC177" s="244"/>
      <c r="AD177" s="244"/>
      <c r="AE177" s="244"/>
      <c r="AF177" s="1350">
        <v>2</v>
      </c>
      <c r="AG177" s="1352" t="s">
        <v>1055</v>
      </c>
      <c r="AH177" s="1352" t="s">
        <v>1073</v>
      </c>
      <c r="AI177" s="1350">
        <v>2</v>
      </c>
      <c r="AJ177" s="1352" t="s">
        <v>1055</v>
      </c>
      <c r="AK177" s="1352" t="s">
        <v>1073</v>
      </c>
      <c r="AL177" s="772"/>
    </row>
    <row r="178" spans="1:38" ht="11.25" customHeight="1">
      <c r="A178" s="1030" t="s">
        <v>1019</v>
      </c>
      <c r="E178" s="557"/>
      <c r="F178" s="1339"/>
      <c r="G178" s="1340"/>
      <c r="H178" s="1335" t="s">
        <v>89</v>
      </c>
      <c r="I178" s="1347"/>
      <c r="J178" s="1360"/>
      <c r="K178" s="1349"/>
      <c r="L178" s="1079"/>
      <c r="M178" s="1080"/>
      <c r="N178" s="1355"/>
      <c r="O178" s="1356">
        <v>1</v>
      </c>
      <c r="P178" s="1357" t="s">
        <v>61</v>
      </c>
      <c r="Q178" s="1348" t="s">
        <v>1074</v>
      </c>
      <c r="R178" s="1362" t="s">
        <v>1075</v>
      </c>
      <c r="S178" s="1362" t="s">
        <v>99</v>
      </c>
      <c r="T178" s="1362" t="s">
        <v>99</v>
      </c>
      <c r="U178" s="1362" t="s">
        <v>100</v>
      </c>
      <c r="V178" s="1362" t="s">
        <v>1066</v>
      </c>
      <c r="W178" s="1362" t="s">
        <v>1067</v>
      </c>
      <c r="X178" s="1362" t="s">
        <v>1076</v>
      </c>
      <c r="Y178" s="1362" t="s">
        <v>1077</v>
      </c>
      <c r="Z178" s="229"/>
      <c r="AA178" s="230"/>
      <c r="AB178" s="230"/>
      <c r="AC178" s="231"/>
      <c r="AD178" s="231"/>
      <c r="AE178" s="245"/>
      <c r="AF178" s="1350"/>
      <c r="AG178" s="1352"/>
      <c r="AH178" s="1352"/>
      <c r="AI178" s="1350"/>
      <c r="AJ178" s="1352"/>
      <c r="AK178" s="1352"/>
      <c r="AL178" s="772"/>
    </row>
    <row r="179" spans="1:38" ht="11.25" customHeight="1">
      <c r="A179" s="1030" t="s">
        <v>1019</v>
      </c>
      <c r="E179" s="557"/>
      <c r="F179" s="1339"/>
      <c r="G179" s="1340"/>
      <c r="H179" s="1335" t="s">
        <v>89</v>
      </c>
      <c r="I179" s="1347"/>
      <c r="J179" s="1360"/>
      <c r="K179" s="1349"/>
      <c r="L179" s="1079"/>
      <c r="M179" s="1080"/>
      <c r="N179" s="1355"/>
      <c r="O179" s="1356"/>
      <c r="P179" s="1358"/>
      <c r="Q179" s="1348"/>
      <c r="R179" s="1308"/>
      <c r="S179" s="1361"/>
      <c r="T179" s="1308"/>
      <c r="U179" s="1308"/>
      <c r="V179" s="1308"/>
      <c r="W179" s="1308"/>
      <c r="X179" s="1308"/>
      <c r="Y179" s="1308"/>
      <c r="AA179" s="778">
        <v>1</v>
      </c>
      <c r="AB179" s="779" t="s">
        <v>1057</v>
      </c>
      <c r="AC179" s="237">
        <v>133628.545148306</v>
      </c>
      <c r="AD179" s="779" t="str">
        <f>AB179</f>
        <v xml:space="preserve">  Кредиты</v>
      </c>
      <c r="AE179" s="237">
        <f>AC179</f>
        <v>133628.545148306</v>
      </c>
      <c r="AF179" s="1350"/>
      <c r="AG179" s="1352"/>
      <c r="AH179" s="1352"/>
      <c r="AI179" s="1350"/>
      <c r="AJ179" s="1352"/>
      <c r="AK179" s="1352"/>
      <c r="AL179" s="772"/>
    </row>
    <row r="180" spans="1:38" ht="11.25" customHeight="1">
      <c r="A180" s="1030" t="s">
        <v>1019</v>
      </c>
      <c r="E180" s="557"/>
      <c r="F180" s="1339"/>
      <c r="G180" s="1340"/>
      <c r="H180" s="1335" t="s">
        <v>89</v>
      </c>
      <c r="I180" s="1347"/>
      <c r="J180" s="1360"/>
      <c r="K180" s="1349"/>
      <c r="L180" s="1079"/>
      <c r="M180" s="1080"/>
      <c r="N180" s="1355"/>
      <c r="O180" s="1356"/>
      <c r="P180" s="1359"/>
      <c r="Q180" s="1348"/>
      <c r="R180" s="1308"/>
      <c r="S180" s="1361"/>
      <c r="T180" s="1308"/>
      <c r="U180" s="1308"/>
      <c r="V180" s="1308"/>
      <c r="W180" s="1308"/>
      <c r="X180" s="1308"/>
      <c r="Y180" s="1308"/>
      <c r="Z180" s="229"/>
      <c r="AA180" s="230"/>
      <c r="AB180" s="44" t="s">
        <v>1059</v>
      </c>
      <c r="AC180" s="231"/>
      <c r="AD180" s="231"/>
      <c r="AE180" s="246"/>
      <c r="AF180" s="1350"/>
      <c r="AG180" s="1352"/>
      <c r="AH180" s="1352"/>
      <c r="AI180" s="1350"/>
      <c r="AJ180" s="1352"/>
      <c r="AK180" s="1352"/>
      <c r="AL180" s="772"/>
    </row>
    <row r="181" spans="1:38" ht="11.25" customHeight="1">
      <c r="A181" s="1030" t="s">
        <v>1019</v>
      </c>
      <c r="E181" s="557"/>
      <c r="F181" s="1339"/>
      <c r="G181" s="1340"/>
      <c r="H181" s="1335" t="s">
        <v>89</v>
      </c>
      <c r="I181" s="1347"/>
      <c r="J181" s="1360"/>
      <c r="K181" s="1349"/>
      <c r="L181" s="1079"/>
      <c r="M181" s="1080"/>
      <c r="N181" s="229"/>
      <c r="O181" s="230"/>
      <c r="P181" s="44" t="s">
        <v>1060</v>
      </c>
      <c r="Q181" s="230"/>
      <c r="R181" s="230"/>
      <c r="S181" s="230"/>
      <c r="T181" s="230"/>
      <c r="U181" s="230"/>
      <c r="V181" s="230"/>
      <c r="W181" s="230"/>
      <c r="X181" s="230"/>
      <c r="Y181" s="230"/>
      <c r="Z181" s="230"/>
      <c r="AA181" s="230"/>
      <c r="AB181" s="230"/>
      <c r="AC181" s="230"/>
      <c r="AD181" s="230"/>
      <c r="AE181" s="247"/>
      <c r="AF181" s="1350"/>
      <c r="AG181" s="1352"/>
      <c r="AH181" s="1352"/>
      <c r="AI181" s="1350"/>
      <c r="AJ181" s="1352"/>
      <c r="AK181" s="1352"/>
      <c r="AL181" s="772"/>
    </row>
    <row r="182" spans="1:38" ht="11.25" customHeight="1">
      <c r="A182" s="1030" t="s">
        <v>1019</v>
      </c>
      <c r="B182" s="1030" t="s">
        <v>22</v>
      </c>
      <c r="E182" s="557"/>
      <c r="F182" s="1339"/>
      <c r="G182" s="1325" t="s">
        <v>103</v>
      </c>
      <c r="H182" s="1335" t="s">
        <v>115</v>
      </c>
      <c r="I182" s="1347" t="s">
        <v>1071</v>
      </c>
      <c r="J182" s="1360" t="s">
        <v>22</v>
      </c>
      <c r="K182" s="1349" t="s">
        <v>1098</v>
      </c>
      <c r="L182" s="1079" t="s">
        <v>19</v>
      </c>
      <c r="M182" s="1080"/>
      <c r="N182" s="242"/>
      <c r="O182" s="243" t="s">
        <v>384</v>
      </c>
      <c r="P182" s="244"/>
      <c r="Q182" s="244"/>
      <c r="R182" s="244"/>
      <c r="S182" s="244"/>
      <c r="T182" s="244"/>
      <c r="U182" s="244"/>
      <c r="V182" s="244"/>
      <c r="W182" s="244"/>
      <c r="X182" s="244"/>
      <c r="Y182" s="244"/>
      <c r="Z182" s="244"/>
      <c r="AA182" s="244"/>
      <c r="AB182" s="244"/>
      <c r="AC182" s="244"/>
      <c r="AD182" s="244"/>
      <c r="AE182" s="244"/>
      <c r="AF182" s="1350">
        <v>2</v>
      </c>
      <c r="AG182" s="1352" t="s">
        <v>1055</v>
      </c>
      <c r="AH182" s="1352" t="s">
        <v>1073</v>
      </c>
      <c r="AI182" s="1350">
        <v>2</v>
      </c>
      <c r="AJ182" s="1352" t="s">
        <v>1055</v>
      </c>
      <c r="AK182" s="1352" t="s">
        <v>1073</v>
      </c>
      <c r="AL182" s="772"/>
    </row>
    <row r="183" spans="1:38" ht="11.25" customHeight="1">
      <c r="A183" s="1030" t="s">
        <v>1019</v>
      </c>
      <c r="E183" s="557"/>
      <c r="F183" s="1339"/>
      <c r="G183" s="1340"/>
      <c r="H183" s="1335" t="s">
        <v>90</v>
      </c>
      <c r="I183" s="1347"/>
      <c r="J183" s="1360"/>
      <c r="K183" s="1349"/>
      <c r="L183" s="1079"/>
      <c r="M183" s="1080"/>
      <c r="N183" s="1355"/>
      <c r="O183" s="1356">
        <v>1</v>
      </c>
      <c r="P183" s="1357" t="s">
        <v>61</v>
      </c>
      <c r="Q183" s="1348" t="s">
        <v>1074</v>
      </c>
      <c r="R183" s="1362" t="s">
        <v>1075</v>
      </c>
      <c r="S183" s="1362" t="s">
        <v>99</v>
      </c>
      <c r="T183" s="1362" t="s">
        <v>99</v>
      </c>
      <c r="U183" s="1362" t="s">
        <v>100</v>
      </c>
      <c r="V183" s="1362" t="s">
        <v>1066</v>
      </c>
      <c r="W183" s="1362" t="s">
        <v>1067</v>
      </c>
      <c r="X183" s="1362" t="s">
        <v>1076</v>
      </c>
      <c r="Y183" s="1362" t="s">
        <v>1077</v>
      </c>
      <c r="Z183" s="229"/>
      <c r="AA183" s="230"/>
      <c r="AB183" s="230"/>
      <c r="AC183" s="231"/>
      <c r="AD183" s="231"/>
      <c r="AE183" s="245"/>
      <c r="AF183" s="1350"/>
      <c r="AG183" s="1352"/>
      <c r="AH183" s="1352"/>
      <c r="AI183" s="1350"/>
      <c r="AJ183" s="1352"/>
      <c r="AK183" s="1352"/>
      <c r="AL183" s="772"/>
    </row>
    <row r="184" spans="1:38" ht="11.25" customHeight="1">
      <c r="A184" s="1030" t="s">
        <v>1019</v>
      </c>
      <c r="E184" s="557"/>
      <c r="F184" s="1339"/>
      <c r="G184" s="1340"/>
      <c r="H184" s="1335" t="s">
        <v>90</v>
      </c>
      <c r="I184" s="1347"/>
      <c r="J184" s="1360"/>
      <c r="K184" s="1349"/>
      <c r="L184" s="1079"/>
      <c r="M184" s="1080"/>
      <c r="N184" s="1355"/>
      <c r="O184" s="1356"/>
      <c r="P184" s="1358"/>
      <c r="Q184" s="1348"/>
      <c r="R184" s="1308"/>
      <c r="S184" s="1361"/>
      <c r="T184" s="1308"/>
      <c r="U184" s="1308"/>
      <c r="V184" s="1308"/>
      <c r="W184" s="1308"/>
      <c r="X184" s="1308"/>
      <c r="Y184" s="1308"/>
      <c r="AA184" s="778">
        <v>1</v>
      </c>
      <c r="AB184" s="779" t="s">
        <v>1057</v>
      </c>
      <c r="AC184" s="237">
        <v>20116</v>
      </c>
      <c r="AD184" s="779" t="str">
        <f>AB184</f>
        <v xml:space="preserve">  Кредиты</v>
      </c>
      <c r="AE184" s="237">
        <f>AC184</f>
        <v>20116</v>
      </c>
      <c r="AF184" s="1350"/>
      <c r="AG184" s="1352"/>
      <c r="AH184" s="1352"/>
      <c r="AI184" s="1350"/>
      <c r="AJ184" s="1352"/>
      <c r="AK184" s="1352"/>
      <c r="AL184" s="772"/>
    </row>
    <row r="185" spans="1:38" ht="11.25" customHeight="1">
      <c r="A185" s="1030" t="s">
        <v>1019</v>
      </c>
      <c r="E185" s="557"/>
      <c r="F185" s="1339"/>
      <c r="G185" s="1340"/>
      <c r="H185" s="1335" t="s">
        <v>90</v>
      </c>
      <c r="I185" s="1347"/>
      <c r="J185" s="1360"/>
      <c r="K185" s="1349"/>
      <c r="L185" s="1079"/>
      <c r="M185" s="1080"/>
      <c r="N185" s="1355"/>
      <c r="O185" s="1356"/>
      <c r="P185" s="1359"/>
      <c r="Q185" s="1348"/>
      <c r="R185" s="1308"/>
      <c r="S185" s="1361"/>
      <c r="T185" s="1308"/>
      <c r="U185" s="1308"/>
      <c r="V185" s="1308"/>
      <c r="W185" s="1308"/>
      <c r="X185" s="1308"/>
      <c r="Y185" s="1308"/>
      <c r="Z185" s="229"/>
      <c r="AA185" s="230"/>
      <c r="AB185" s="44" t="s">
        <v>1059</v>
      </c>
      <c r="AC185" s="231"/>
      <c r="AD185" s="231"/>
      <c r="AE185" s="246"/>
      <c r="AF185" s="1350"/>
      <c r="AG185" s="1352"/>
      <c r="AH185" s="1352"/>
      <c r="AI185" s="1350"/>
      <c r="AJ185" s="1352"/>
      <c r="AK185" s="1352"/>
      <c r="AL185" s="772"/>
    </row>
    <row r="186" spans="1:38" ht="11.25" customHeight="1">
      <c r="A186" s="1030" t="s">
        <v>1019</v>
      </c>
      <c r="E186" s="557"/>
      <c r="F186" s="1339"/>
      <c r="G186" s="1340"/>
      <c r="H186" s="1335" t="s">
        <v>90</v>
      </c>
      <c r="I186" s="1347"/>
      <c r="J186" s="1360"/>
      <c r="K186" s="1349"/>
      <c r="L186" s="1079"/>
      <c r="M186" s="1080"/>
      <c r="N186" s="229"/>
      <c r="O186" s="230"/>
      <c r="P186" s="44" t="s">
        <v>1060</v>
      </c>
      <c r="Q186" s="230"/>
      <c r="R186" s="230"/>
      <c r="S186" s="230"/>
      <c r="T186" s="230"/>
      <c r="U186" s="230"/>
      <c r="V186" s="230"/>
      <c r="W186" s="230"/>
      <c r="X186" s="230"/>
      <c r="Y186" s="230"/>
      <c r="Z186" s="230"/>
      <c r="AA186" s="230"/>
      <c r="AB186" s="230"/>
      <c r="AC186" s="230"/>
      <c r="AD186" s="230"/>
      <c r="AE186" s="247"/>
      <c r="AF186" s="1350"/>
      <c r="AG186" s="1352"/>
      <c r="AH186" s="1352"/>
      <c r="AI186" s="1350"/>
      <c r="AJ186" s="1352"/>
      <c r="AK186" s="1352"/>
      <c r="AL186" s="772"/>
    </row>
    <row r="187" spans="1:38" ht="11.25" customHeight="1">
      <c r="A187" s="1030" t="s">
        <v>1019</v>
      </c>
      <c r="B187" s="1030" t="s">
        <v>22</v>
      </c>
      <c r="E187" s="557"/>
      <c r="F187" s="1339"/>
      <c r="G187" s="1325" t="s">
        <v>103</v>
      </c>
      <c r="H187" s="1335" t="s">
        <v>91</v>
      </c>
      <c r="I187" s="1347" t="s">
        <v>1071</v>
      </c>
      <c r="J187" s="1360" t="s">
        <v>22</v>
      </c>
      <c r="K187" s="1349" t="s">
        <v>1099</v>
      </c>
      <c r="L187" s="1079" t="s">
        <v>61</v>
      </c>
      <c r="M187" s="1364" t="s">
        <v>1018</v>
      </c>
      <c r="N187" s="242"/>
      <c r="O187" s="243" t="s">
        <v>384</v>
      </c>
      <c r="P187" s="244"/>
      <c r="Q187" s="244"/>
      <c r="R187" s="244"/>
      <c r="S187" s="244"/>
      <c r="T187" s="244"/>
      <c r="U187" s="244"/>
      <c r="V187" s="244"/>
      <c r="W187" s="244"/>
      <c r="X187" s="244"/>
      <c r="Y187" s="244"/>
      <c r="Z187" s="244"/>
      <c r="AA187" s="244"/>
      <c r="AB187" s="244"/>
      <c r="AC187" s="244"/>
      <c r="AD187" s="244"/>
      <c r="AE187" s="244"/>
      <c r="AF187" s="1350">
        <v>7</v>
      </c>
      <c r="AG187" s="1352" t="s">
        <v>1055</v>
      </c>
      <c r="AH187" s="1352" t="s">
        <v>1079</v>
      </c>
      <c r="AI187" s="1350">
        <v>7</v>
      </c>
      <c r="AJ187" s="1352" t="s">
        <v>1055</v>
      </c>
      <c r="AK187" s="1352" t="s">
        <v>1079</v>
      </c>
      <c r="AL187" s="772"/>
    </row>
    <row r="188" spans="1:38" ht="11.25" customHeight="1">
      <c r="A188" s="1030" t="s">
        <v>1019</v>
      </c>
      <c r="E188" s="557"/>
      <c r="F188" s="1339"/>
      <c r="G188" s="1340"/>
      <c r="H188" s="1335" t="s">
        <v>115</v>
      </c>
      <c r="I188" s="1347"/>
      <c r="J188" s="1360"/>
      <c r="K188" s="1349"/>
      <c r="L188" s="1079"/>
      <c r="M188" s="1364"/>
      <c r="N188" s="1355"/>
      <c r="O188" s="1356">
        <v>1</v>
      </c>
      <c r="P188" s="1357" t="s">
        <v>61</v>
      </c>
      <c r="Q188" s="1348" t="s">
        <v>1074</v>
      </c>
      <c r="R188" s="1362" t="s">
        <v>1075</v>
      </c>
      <c r="S188" s="1362" t="s">
        <v>99</v>
      </c>
      <c r="T188" s="1362" t="s">
        <v>99</v>
      </c>
      <c r="U188" s="1362" t="s">
        <v>100</v>
      </c>
      <c r="V188" s="1362" t="s">
        <v>1066</v>
      </c>
      <c r="W188" s="1362" t="s">
        <v>1067</v>
      </c>
      <c r="X188" s="1362" t="s">
        <v>1076</v>
      </c>
      <c r="Y188" s="1362" t="s">
        <v>1077</v>
      </c>
      <c r="Z188" s="229"/>
      <c r="AA188" s="230"/>
      <c r="AB188" s="230"/>
      <c r="AC188" s="231"/>
      <c r="AD188" s="231"/>
      <c r="AE188" s="245"/>
      <c r="AF188" s="1350"/>
      <c r="AG188" s="1352"/>
      <c r="AH188" s="1352"/>
      <c r="AI188" s="1350"/>
      <c r="AJ188" s="1352"/>
      <c r="AK188" s="1352"/>
      <c r="AL188" s="772"/>
    </row>
    <row r="189" spans="1:38" ht="11.25" customHeight="1">
      <c r="A189" s="1030" t="s">
        <v>1019</v>
      </c>
      <c r="E189" s="557"/>
      <c r="F189" s="1339"/>
      <c r="G189" s="1340"/>
      <c r="H189" s="1335" t="s">
        <v>115</v>
      </c>
      <c r="I189" s="1347"/>
      <c r="J189" s="1360"/>
      <c r="K189" s="1349"/>
      <c r="L189" s="1079"/>
      <c r="M189" s="1364"/>
      <c r="N189" s="1355"/>
      <c r="O189" s="1356"/>
      <c r="P189" s="1358"/>
      <c r="Q189" s="1348"/>
      <c r="R189" s="1308"/>
      <c r="S189" s="1361"/>
      <c r="T189" s="1308"/>
      <c r="U189" s="1308"/>
      <c r="V189" s="1308"/>
      <c r="W189" s="1308"/>
      <c r="X189" s="1308"/>
      <c r="Y189" s="1308"/>
      <c r="AA189" s="778">
        <v>1</v>
      </c>
      <c r="AB189" s="779" t="s">
        <v>1057</v>
      </c>
      <c r="AC189" s="237">
        <v>559.70295999999996</v>
      </c>
      <c r="AD189" s="779" t="str">
        <f>AB189</f>
        <v xml:space="preserve">  Кредиты</v>
      </c>
      <c r="AE189" s="237">
        <f>AC189</f>
        <v>559.70295999999996</v>
      </c>
      <c r="AF189" s="1350"/>
      <c r="AG189" s="1352"/>
      <c r="AH189" s="1352"/>
      <c r="AI189" s="1350"/>
      <c r="AJ189" s="1352"/>
      <c r="AK189" s="1352"/>
      <c r="AL189" s="772"/>
    </row>
    <row r="190" spans="1:38" ht="11.25" customHeight="1">
      <c r="A190" s="1030" t="s">
        <v>1019</v>
      </c>
      <c r="E190" s="557"/>
      <c r="F190" s="1339"/>
      <c r="G190" s="1340"/>
      <c r="H190" s="1335" t="s">
        <v>115</v>
      </c>
      <c r="I190" s="1347"/>
      <c r="J190" s="1360"/>
      <c r="K190" s="1349"/>
      <c r="L190" s="1079"/>
      <c r="M190" s="1364"/>
      <c r="N190" s="1355"/>
      <c r="O190" s="1356"/>
      <c r="P190" s="1359"/>
      <c r="Q190" s="1348"/>
      <c r="R190" s="1308"/>
      <c r="S190" s="1361"/>
      <c r="T190" s="1308"/>
      <c r="U190" s="1308"/>
      <c r="V190" s="1308"/>
      <c r="W190" s="1308"/>
      <c r="X190" s="1308"/>
      <c r="Y190" s="1308"/>
      <c r="Z190" s="229"/>
      <c r="AA190" s="230"/>
      <c r="AB190" s="44" t="s">
        <v>1059</v>
      </c>
      <c r="AC190" s="231"/>
      <c r="AD190" s="231"/>
      <c r="AE190" s="246"/>
      <c r="AF190" s="1350"/>
      <c r="AG190" s="1352"/>
      <c r="AH190" s="1352"/>
      <c r="AI190" s="1350"/>
      <c r="AJ190" s="1352"/>
      <c r="AK190" s="1352"/>
      <c r="AL190" s="772"/>
    </row>
    <row r="191" spans="1:38" ht="11.25" customHeight="1">
      <c r="A191" s="1030" t="s">
        <v>1019</v>
      </c>
      <c r="E191" s="557"/>
      <c r="F191" s="1339"/>
      <c r="G191" s="1340"/>
      <c r="H191" s="1335" t="s">
        <v>115</v>
      </c>
      <c r="I191" s="1347"/>
      <c r="J191" s="1360"/>
      <c r="K191" s="1349"/>
      <c r="L191" s="1079"/>
      <c r="M191" s="1364"/>
      <c r="N191" s="229"/>
      <c r="O191" s="230"/>
      <c r="P191" s="44" t="s">
        <v>1060</v>
      </c>
      <c r="Q191" s="230"/>
      <c r="R191" s="230"/>
      <c r="S191" s="230"/>
      <c r="T191" s="230"/>
      <c r="U191" s="230"/>
      <c r="V191" s="230"/>
      <c r="W191" s="230"/>
      <c r="X191" s="230"/>
      <c r="Y191" s="230"/>
      <c r="Z191" s="230"/>
      <c r="AA191" s="230"/>
      <c r="AB191" s="230"/>
      <c r="AC191" s="230"/>
      <c r="AD191" s="230"/>
      <c r="AE191" s="247"/>
      <c r="AF191" s="1350"/>
      <c r="AG191" s="1352"/>
      <c r="AH191" s="1352"/>
      <c r="AI191" s="1350"/>
      <c r="AJ191" s="1352"/>
      <c r="AK191" s="1352"/>
      <c r="AL191" s="772"/>
    </row>
    <row r="192" spans="1:38" ht="11.25" customHeight="1">
      <c r="A192" s="1030" t="s">
        <v>1019</v>
      </c>
      <c r="B192" s="1030" t="s">
        <v>1051</v>
      </c>
      <c r="E192" s="557"/>
      <c r="F192" s="1339"/>
      <c r="G192" s="1325" t="s">
        <v>103</v>
      </c>
      <c r="H192" s="1335" t="s">
        <v>92</v>
      </c>
      <c r="I192" s="1347" t="s">
        <v>1052</v>
      </c>
      <c r="J192" s="1363" t="s">
        <v>1093</v>
      </c>
      <c r="K192" s="1349" t="s">
        <v>1100</v>
      </c>
      <c r="L192" s="1079" t="s">
        <v>19</v>
      </c>
      <c r="M192" s="1080"/>
      <c r="N192" s="242"/>
      <c r="O192" s="243" t="s">
        <v>384</v>
      </c>
      <c r="P192" s="244"/>
      <c r="Q192" s="244"/>
      <c r="R192" s="244"/>
      <c r="S192" s="244"/>
      <c r="T192" s="244"/>
      <c r="U192" s="244"/>
      <c r="V192" s="244"/>
      <c r="W192" s="244"/>
      <c r="X192" s="244"/>
      <c r="Y192" s="244"/>
      <c r="Z192" s="244"/>
      <c r="AA192" s="244"/>
      <c r="AB192" s="244"/>
      <c r="AC192" s="244"/>
      <c r="AD192" s="244"/>
      <c r="AE192" s="244"/>
      <c r="AF192" s="1350">
        <v>11</v>
      </c>
      <c r="AG192" s="1352" t="s">
        <v>1055</v>
      </c>
      <c r="AH192" s="1352" t="s">
        <v>1101</v>
      </c>
      <c r="AI192" s="1350">
        <v>11</v>
      </c>
      <c r="AJ192" s="1352" t="s">
        <v>1055</v>
      </c>
      <c r="AK192" s="1352" t="s">
        <v>1101</v>
      </c>
      <c r="AL192" s="772"/>
    </row>
    <row r="193" spans="1:38" ht="11.25" customHeight="1">
      <c r="A193" s="1030" t="s">
        <v>1019</v>
      </c>
      <c r="E193" s="557"/>
      <c r="F193" s="1339"/>
      <c r="G193" s="1340"/>
      <c r="H193" s="1335" t="s">
        <v>91</v>
      </c>
      <c r="I193" s="1347"/>
      <c r="J193" s="1363"/>
      <c r="K193" s="1349"/>
      <c r="L193" s="1079"/>
      <c r="M193" s="1080"/>
      <c r="N193" s="1355"/>
      <c r="O193" s="1356">
        <v>1</v>
      </c>
      <c r="P193" s="1357" t="s">
        <v>19</v>
      </c>
      <c r="Q193" s="1308" t="s">
        <v>22</v>
      </c>
      <c r="R193" s="1308" t="s">
        <v>22</v>
      </c>
      <c r="S193" s="1308" t="s">
        <v>22</v>
      </c>
      <c r="T193" s="1308" t="s">
        <v>22</v>
      </c>
      <c r="U193" s="1308" t="s">
        <v>22</v>
      </c>
      <c r="V193" s="1308" t="s">
        <v>22</v>
      </c>
      <c r="W193" s="1308" t="s">
        <v>22</v>
      </c>
      <c r="X193" s="1308" t="s">
        <v>22</v>
      </c>
      <c r="Y193" s="1308"/>
      <c r="Z193" s="229"/>
      <c r="AA193" s="230"/>
      <c r="AB193" s="230"/>
      <c r="AC193" s="231"/>
      <c r="AD193" s="231"/>
      <c r="AE193" s="245"/>
      <c r="AF193" s="1350"/>
      <c r="AG193" s="1352"/>
      <c r="AH193" s="1352"/>
      <c r="AI193" s="1350"/>
      <c r="AJ193" s="1352"/>
      <c r="AK193" s="1352"/>
      <c r="AL193" s="772"/>
    </row>
    <row r="194" spans="1:38" ht="11.25" customHeight="1">
      <c r="A194" s="1030" t="s">
        <v>1019</v>
      </c>
      <c r="E194" s="557"/>
      <c r="F194" s="1339"/>
      <c r="G194" s="1340"/>
      <c r="H194" s="1335" t="s">
        <v>91</v>
      </c>
      <c r="I194" s="1347"/>
      <c r="J194" s="1363"/>
      <c r="K194" s="1349"/>
      <c r="L194" s="1079"/>
      <c r="M194" s="1080"/>
      <c r="N194" s="1355"/>
      <c r="O194" s="1356"/>
      <c r="P194" s="1358"/>
      <c r="Q194" s="1308"/>
      <c r="R194" s="1308"/>
      <c r="S194" s="1361"/>
      <c r="T194" s="1308"/>
      <c r="U194" s="1308"/>
      <c r="V194" s="1308"/>
      <c r="W194" s="1308"/>
      <c r="X194" s="1308"/>
      <c r="Y194" s="1308"/>
      <c r="AA194" s="778">
        <v>1</v>
      </c>
      <c r="AB194" s="779" t="s">
        <v>1057</v>
      </c>
      <c r="AC194" s="237">
        <v>871.45025169401799</v>
      </c>
      <c r="AD194" s="779" t="str">
        <f>AB194</f>
        <v xml:space="preserve">  Кредиты</v>
      </c>
      <c r="AE194" s="237">
        <f>AC194</f>
        <v>871.45025169401799</v>
      </c>
      <c r="AF194" s="1350"/>
      <c r="AG194" s="1352"/>
      <c r="AH194" s="1352"/>
      <c r="AI194" s="1350"/>
      <c r="AJ194" s="1352"/>
      <c r="AK194" s="1352"/>
      <c r="AL194" s="772"/>
    </row>
    <row r="195" spans="1:38" ht="11.25" customHeight="1">
      <c r="A195" s="1030" t="s">
        <v>1019</v>
      </c>
      <c r="E195" s="557"/>
      <c r="F195" s="1339"/>
      <c r="G195" s="1340"/>
      <c r="H195" s="1335" t="s">
        <v>91</v>
      </c>
      <c r="I195" s="1347"/>
      <c r="J195" s="1363"/>
      <c r="K195" s="1349"/>
      <c r="L195" s="1079"/>
      <c r="M195" s="1080"/>
      <c r="N195" s="1355"/>
      <c r="O195" s="1356"/>
      <c r="P195" s="1359"/>
      <c r="Q195" s="1308"/>
      <c r="R195" s="1308"/>
      <c r="S195" s="1361"/>
      <c r="T195" s="1308"/>
      <c r="U195" s="1308"/>
      <c r="V195" s="1308"/>
      <c r="W195" s="1308"/>
      <c r="X195" s="1308"/>
      <c r="Y195" s="1308"/>
      <c r="Z195" s="229"/>
      <c r="AA195" s="230"/>
      <c r="AB195" s="44" t="s">
        <v>1059</v>
      </c>
      <c r="AC195" s="231"/>
      <c r="AD195" s="231"/>
      <c r="AE195" s="246"/>
      <c r="AF195" s="1350"/>
      <c r="AG195" s="1352"/>
      <c r="AH195" s="1352"/>
      <c r="AI195" s="1350"/>
      <c r="AJ195" s="1352"/>
      <c r="AK195" s="1352"/>
      <c r="AL195" s="772"/>
    </row>
    <row r="196" spans="1:38" ht="11.25" customHeight="1">
      <c r="A196" s="1030" t="s">
        <v>1019</v>
      </c>
      <c r="E196" s="557"/>
      <c r="F196" s="1339"/>
      <c r="G196" s="1340"/>
      <c r="H196" s="1335" t="s">
        <v>91</v>
      </c>
      <c r="I196" s="1347"/>
      <c r="J196" s="1363"/>
      <c r="K196" s="1349"/>
      <c r="L196" s="1079"/>
      <c r="M196" s="1080"/>
      <c r="N196" s="229"/>
      <c r="O196" s="230"/>
      <c r="P196" s="44" t="s">
        <v>1060</v>
      </c>
      <c r="Q196" s="230"/>
      <c r="R196" s="230"/>
      <c r="S196" s="230"/>
      <c r="T196" s="230"/>
      <c r="U196" s="230"/>
      <c r="V196" s="230"/>
      <c r="W196" s="230"/>
      <c r="X196" s="230"/>
      <c r="Y196" s="230"/>
      <c r="Z196" s="230"/>
      <c r="AA196" s="230"/>
      <c r="AB196" s="230"/>
      <c r="AC196" s="230"/>
      <c r="AD196" s="230"/>
      <c r="AE196" s="247"/>
      <c r="AF196" s="1350"/>
      <c r="AG196" s="1352"/>
      <c r="AH196" s="1352"/>
      <c r="AI196" s="1350"/>
      <c r="AJ196" s="1352"/>
      <c r="AK196" s="1352"/>
      <c r="AL196" s="772"/>
    </row>
    <row r="197" spans="1:38" ht="11.25" customHeight="1">
      <c r="A197" s="1030" t="s">
        <v>1019</v>
      </c>
      <c r="B197" s="1030" t="s">
        <v>1051</v>
      </c>
      <c r="E197" s="557"/>
      <c r="F197" s="1339"/>
      <c r="G197" s="1325" t="s">
        <v>103</v>
      </c>
      <c r="H197" s="1335" t="s">
        <v>116</v>
      </c>
      <c r="I197" s="1347" t="s">
        <v>1052</v>
      </c>
      <c r="J197" s="1363" t="s">
        <v>1053</v>
      </c>
      <c r="K197" s="1349" t="s">
        <v>1078</v>
      </c>
      <c r="L197" s="1079" t="s">
        <v>61</v>
      </c>
      <c r="M197" s="1364" t="s">
        <v>1018</v>
      </c>
      <c r="N197" s="242"/>
      <c r="O197" s="243" t="s">
        <v>384</v>
      </c>
      <c r="P197" s="244"/>
      <c r="Q197" s="244"/>
      <c r="R197" s="244"/>
      <c r="S197" s="244"/>
      <c r="T197" s="244"/>
      <c r="U197" s="244"/>
      <c r="V197" s="244"/>
      <c r="W197" s="244"/>
      <c r="X197" s="244"/>
      <c r="Y197" s="244"/>
      <c r="Z197" s="244"/>
      <c r="AA197" s="244"/>
      <c r="AB197" s="244"/>
      <c r="AC197" s="244"/>
      <c r="AD197" s="244"/>
      <c r="AE197" s="244"/>
      <c r="AF197" s="1350">
        <v>7</v>
      </c>
      <c r="AG197" s="1352" t="s">
        <v>1055</v>
      </c>
      <c r="AH197" s="1352" t="s">
        <v>1079</v>
      </c>
      <c r="AI197" s="1350">
        <v>7</v>
      </c>
      <c r="AJ197" s="1352" t="s">
        <v>1055</v>
      </c>
      <c r="AK197" s="1352" t="s">
        <v>1079</v>
      </c>
      <c r="AL197" s="772"/>
    </row>
    <row r="198" spans="1:38" ht="11.25" customHeight="1">
      <c r="A198" s="1030" t="s">
        <v>1019</v>
      </c>
      <c r="E198" s="557"/>
      <c r="F198" s="1339"/>
      <c r="G198" s="1340"/>
      <c r="H198" s="1335" t="s">
        <v>92</v>
      </c>
      <c r="I198" s="1347"/>
      <c r="J198" s="1363"/>
      <c r="K198" s="1349"/>
      <c r="L198" s="1079"/>
      <c r="M198" s="1364"/>
      <c r="N198" s="1355"/>
      <c r="O198" s="1356">
        <v>1</v>
      </c>
      <c r="P198" s="1357" t="s">
        <v>19</v>
      </c>
      <c r="Q198" s="1308" t="s">
        <v>22</v>
      </c>
      <c r="R198" s="1308" t="s">
        <v>22</v>
      </c>
      <c r="S198" s="1308" t="s">
        <v>22</v>
      </c>
      <c r="T198" s="1308" t="s">
        <v>22</v>
      </c>
      <c r="U198" s="1308" t="s">
        <v>22</v>
      </c>
      <c r="V198" s="1308" t="s">
        <v>22</v>
      </c>
      <c r="W198" s="1308" t="s">
        <v>22</v>
      </c>
      <c r="X198" s="1308" t="s">
        <v>22</v>
      </c>
      <c r="Y198" s="1308"/>
      <c r="Z198" s="229"/>
      <c r="AA198" s="230"/>
      <c r="AB198" s="230"/>
      <c r="AC198" s="231"/>
      <c r="AD198" s="231"/>
      <c r="AE198" s="245"/>
      <c r="AF198" s="1350"/>
      <c r="AG198" s="1352"/>
      <c r="AH198" s="1352"/>
      <c r="AI198" s="1350"/>
      <c r="AJ198" s="1352"/>
      <c r="AK198" s="1352"/>
      <c r="AL198" s="772"/>
    </row>
    <row r="199" spans="1:38" ht="11.25" customHeight="1">
      <c r="A199" s="1030" t="s">
        <v>1019</v>
      </c>
      <c r="E199" s="557"/>
      <c r="F199" s="1339"/>
      <c r="G199" s="1340"/>
      <c r="H199" s="1335" t="s">
        <v>92</v>
      </c>
      <c r="I199" s="1347"/>
      <c r="J199" s="1363"/>
      <c r="K199" s="1349"/>
      <c r="L199" s="1079"/>
      <c r="M199" s="1364"/>
      <c r="N199" s="1355"/>
      <c r="O199" s="1356"/>
      <c r="P199" s="1358"/>
      <c r="Q199" s="1308"/>
      <c r="R199" s="1308"/>
      <c r="S199" s="1361"/>
      <c r="T199" s="1308"/>
      <c r="U199" s="1308"/>
      <c r="V199" s="1308"/>
      <c r="W199" s="1308"/>
      <c r="X199" s="1308"/>
      <c r="Y199" s="1308"/>
      <c r="AA199" s="778">
        <v>1</v>
      </c>
      <c r="AB199" s="779" t="s">
        <v>1057</v>
      </c>
      <c r="AC199" s="237">
        <v>1108</v>
      </c>
      <c r="AD199" s="779" t="str">
        <f>AB199</f>
        <v xml:space="preserve">  Кредиты</v>
      </c>
      <c r="AE199" s="237">
        <f>AC199</f>
        <v>1108</v>
      </c>
      <c r="AF199" s="1350"/>
      <c r="AG199" s="1352"/>
      <c r="AH199" s="1352"/>
      <c r="AI199" s="1350"/>
      <c r="AJ199" s="1352"/>
      <c r="AK199" s="1352"/>
      <c r="AL199" s="772"/>
    </row>
    <row r="200" spans="1:38" ht="11.25" customHeight="1">
      <c r="A200" s="1030" t="s">
        <v>1019</v>
      </c>
      <c r="E200" s="557"/>
      <c r="F200" s="1339"/>
      <c r="G200" s="1340"/>
      <c r="H200" s="1335" t="s">
        <v>92</v>
      </c>
      <c r="I200" s="1347"/>
      <c r="J200" s="1363"/>
      <c r="K200" s="1349"/>
      <c r="L200" s="1079"/>
      <c r="M200" s="1364"/>
      <c r="N200" s="1355"/>
      <c r="O200" s="1356"/>
      <c r="P200" s="1359"/>
      <c r="Q200" s="1308"/>
      <c r="R200" s="1308"/>
      <c r="S200" s="1361"/>
      <c r="T200" s="1308"/>
      <c r="U200" s="1308"/>
      <c r="V200" s="1308"/>
      <c r="W200" s="1308"/>
      <c r="X200" s="1308"/>
      <c r="Y200" s="1308"/>
      <c r="Z200" s="229"/>
      <c r="AA200" s="230"/>
      <c r="AB200" s="44" t="s">
        <v>1059</v>
      </c>
      <c r="AC200" s="231"/>
      <c r="AD200" s="231"/>
      <c r="AE200" s="246"/>
      <c r="AF200" s="1350"/>
      <c r="AG200" s="1352"/>
      <c r="AH200" s="1352"/>
      <c r="AI200" s="1350"/>
      <c r="AJ200" s="1352"/>
      <c r="AK200" s="1352"/>
      <c r="AL200" s="772"/>
    </row>
    <row r="201" spans="1:38" ht="11.25" customHeight="1">
      <c r="A201" s="1030" t="s">
        <v>1019</v>
      </c>
      <c r="E201" s="557"/>
      <c r="F201" s="1339"/>
      <c r="G201" s="1340"/>
      <c r="H201" s="1335" t="s">
        <v>92</v>
      </c>
      <c r="I201" s="1347"/>
      <c r="J201" s="1363"/>
      <c r="K201" s="1349"/>
      <c r="L201" s="1079"/>
      <c r="M201" s="1364"/>
      <c r="N201" s="229"/>
      <c r="O201" s="230"/>
      <c r="P201" s="44" t="s">
        <v>1060</v>
      </c>
      <c r="Q201" s="230"/>
      <c r="R201" s="230"/>
      <c r="S201" s="230"/>
      <c r="T201" s="230"/>
      <c r="U201" s="230"/>
      <c r="V201" s="230"/>
      <c r="W201" s="230"/>
      <c r="X201" s="230"/>
      <c r="Y201" s="230"/>
      <c r="Z201" s="230"/>
      <c r="AA201" s="230"/>
      <c r="AB201" s="230"/>
      <c r="AC201" s="230"/>
      <c r="AD201" s="230"/>
      <c r="AE201" s="247"/>
      <c r="AF201" s="1350"/>
      <c r="AG201" s="1352"/>
      <c r="AH201" s="1352"/>
      <c r="AI201" s="1350"/>
      <c r="AJ201" s="1352"/>
      <c r="AK201" s="1352"/>
      <c r="AL201" s="772"/>
    </row>
    <row r="202" spans="1:38" ht="11.25" customHeight="1">
      <c r="A202" s="1030" t="s">
        <v>1019</v>
      </c>
      <c r="B202" s="1030" t="s">
        <v>1051</v>
      </c>
      <c r="E202" s="557"/>
      <c r="F202" s="1339"/>
      <c r="G202" s="1325" t="s">
        <v>103</v>
      </c>
      <c r="H202" s="1335" t="s">
        <v>158</v>
      </c>
      <c r="I202" s="1347" t="s">
        <v>1052</v>
      </c>
      <c r="J202" s="1363" t="s">
        <v>1053</v>
      </c>
      <c r="K202" s="1349" t="s">
        <v>1080</v>
      </c>
      <c r="L202" s="1079" t="s">
        <v>19</v>
      </c>
      <c r="M202" s="1080"/>
      <c r="N202" s="242"/>
      <c r="O202" s="243" t="s">
        <v>384</v>
      </c>
      <c r="P202" s="244"/>
      <c r="Q202" s="244"/>
      <c r="R202" s="244"/>
      <c r="S202" s="244"/>
      <c r="T202" s="244"/>
      <c r="U202" s="244"/>
      <c r="V202" s="244"/>
      <c r="W202" s="244"/>
      <c r="X202" s="244"/>
      <c r="Y202" s="244"/>
      <c r="Z202" s="244"/>
      <c r="AA202" s="244"/>
      <c r="AB202" s="244"/>
      <c r="AC202" s="244"/>
      <c r="AD202" s="244"/>
      <c r="AE202" s="244"/>
      <c r="AF202" s="1350">
        <v>1</v>
      </c>
      <c r="AG202" s="1352" t="s">
        <v>1055</v>
      </c>
      <c r="AH202" s="1352" t="s">
        <v>1083</v>
      </c>
      <c r="AI202" s="1350">
        <v>1</v>
      </c>
      <c r="AJ202" s="1352" t="s">
        <v>1055</v>
      </c>
      <c r="AK202" s="1352" t="s">
        <v>1083</v>
      </c>
      <c r="AL202" s="772"/>
    </row>
    <row r="203" spans="1:38" ht="11.25" customHeight="1">
      <c r="A203" s="1030" t="s">
        <v>1019</v>
      </c>
      <c r="E203" s="557"/>
      <c r="F203" s="1339"/>
      <c r="G203" s="1340"/>
      <c r="H203" s="1335" t="s">
        <v>116</v>
      </c>
      <c r="I203" s="1347"/>
      <c r="J203" s="1363"/>
      <c r="K203" s="1349"/>
      <c r="L203" s="1079"/>
      <c r="M203" s="1080"/>
      <c r="N203" s="1355"/>
      <c r="O203" s="1356">
        <v>1</v>
      </c>
      <c r="P203" s="1357" t="s">
        <v>19</v>
      </c>
      <c r="Q203" s="1308" t="s">
        <v>22</v>
      </c>
      <c r="R203" s="1308" t="s">
        <v>22</v>
      </c>
      <c r="S203" s="1308" t="s">
        <v>22</v>
      </c>
      <c r="T203" s="1308" t="s">
        <v>22</v>
      </c>
      <c r="U203" s="1308" t="s">
        <v>22</v>
      </c>
      <c r="V203" s="1308" t="s">
        <v>22</v>
      </c>
      <c r="W203" s="1308" t="s">
        <v>22</v>
      </c>
      <c r="X203" s="1308" t="s">
        <v>22</v>
      </c>
      <c r="Y203" s="1308"/>
      <c r="Z203" s="229"/>
      <c r="AA203" s="230"/>
      <c r="AB203" s="230"/>
      <c r="AC203" s="231"/>
      <c r="AD203" s="231"/>
      <c r="AE203" s="245"/>
      <c r="AF203" s="1350"/>
      <c r="AG203" s="1352"/>
      <c r="AH203" s="1352"/>
      <c r="AI203" s="1350"/>
      <c r="AJ203" s="1352"/>
      <c r="AK203" s="1352"/>
      <c r="AL203" s="772"/>
    </row>
    <row r="204" spans="1:38" ht="11.25" customHeight="1">
      <c r="A204" s="1030" t="s">
        <v>1019</v>
      </c>
      <c r="E204" s="557"/>
      <c r="F204" s="1339"/>
      <c r="G204" s="1340"/>
      <c r="H204" s="1335" t="s">
        <v>116</v>
      </c>
      <c r="I204" s="1347"/>
      <c r="J204" s="1363"/>
      <c r="K204" s="1349"/>
      <c r="L204" s="1079"/>
      <c r="M204" s="1080"/>
      <c r="N204" s="1355"/>
      <c r="O204" s="1356"/>
      <c r="P204" s="1358"/>
      <c r="Q204" s="1308"/>
      <c r="R204" s="1308"/>
      <c r="S204" s="1361"/>
      <c r="T204" s="1308"/>
      <c r="U204" s="1308"/>
      <c r="V204" s="1308"/>
      <c r="W204" s="1308"/>
      <c r="X204" s="1308"/>
      <c r="Y204" s="1308"/>
      <c r="AA204" s="778">
        <v>1</v>
      </c>
      <c r="AB204" s="779" t="s">
        <v>1057</v>
      </c>
      <c r="AC204" s="237">
        <v>2072</v>
      </c>
      <c r="AD204" s="779" t="str">
        <f>AB204</f>
        <v xml:space="preserve">  Кредиты</v>
      </c>
      <c r="AE204" s="237">
        <f>AC204</f>
        <v>2072</v>
      </c>
      <c r="AF204" s="1350"/>
      <c r="AG204" s="1352"/>
      <c r="AH204" s="1352"/>
      <c r="AI204" s="1350"/>
      <c r="AJ204" s="1352"/>
      <c r="AK204" s="1352"/>
      <c r="AL204" s="772"/>
    </row>
    <row r="205" spans="1:38" ht="11.25" customHeight="1">
      <c r="A205" s="1030" t="s">
        <v>1019</v>
      </c>
      <c r="E205" s="557"/>
      <c r="F205" s="1339"/>
      <c r="G205" s="1340"/>
      <c r="H205" s="1335" t="s">
        <v>116</v>
      </c>
      <c r="I205" s="1347"/>
      <c r="J205" s="1363"/>
      <c r="K205" s="1349"/>
      <c r="L205" s="1079"/>
      <c r="M205" s="1080"/>
      <c r="N205" s="1355"/>
      <c r="O205" s="1356"/>
      <c r="P205" s="1359"/>
      <c r="Q205" s="1308"/>
      <c r="R205" s="1308"/>
      <c r="S205" s="1361"/>
      <c r="T205" s="1308"/>
      <c r="U205" s="1308"/>
      <c r="V205" s="1308"/>
      <c r="W205" s="1308"/>
      <c r="X205" s="1308"/>
      <c r="Y205" s="1308"/>
      <c r="Z205" s="229"/>
      <c r="AA205" s="230"/>
      <c r="AB205" s="44" t="s">
        <v>1059</v>
      </c>
      <c r="AC205" s="231"/>
      <c r="AD205" s="231"/>
      <c r="AE205" s="246"/>
      <c r="AF205" s="1350"/>
      <c r="AG205" s="1352"/>
      <c r="AH205" s="1352"/>
      <c r="AI205" s="1350"/>
      <c r="AJ205" s="1352"/>
      <c r="AK205" s="1352"/>
      <c r="AL205" s="772"/>
    </row>
    <row r="206" spans="1:38" ht="11.25" customHeight="1">
      <c r="A206" s="1030" t="s">
        <v>1019</v>
      </c>
      <c r="E206" s="557"/>
      <c r="F206" s="1339"/>
      <c r="G206" s="1340"/>
      <c r="H206" s="1335" t="s">
        <v>116</v>
      </c>
      <c r="I206" s="1347"/>
      <c r="J206" s="1363"/>
      <c r="K206" s="1349"/>
      <c r="L206" s="1079"/>
      <c r="M206" s="1080"/>
      <c r="N206" s="229"/>
      <c r="O206" s="230"/>
      <c r="P206" s="44" t="s">
        <v>1060</v>
      </c>
      <c r="Q206" s="230"/>
      <c r="R206" s="230"/>
      <c r="S206" s="230"/>
      <c r="T206" s="230"/>
      <c r="U206" s="230"/>
      <c r="V206" s="230"/>
      <c r="W206" s="230"/>
      <c r="X206" s="230"/>
      <c r="Y206" s="230"/>
      <c r="Z206" s="230"/>
      <c r="AA206" s="230"/>
      <c r="AB206" s="230"/>
      <c r="AC206" s="230"/>
      <c r="AD206" s="230"/>
      <c r="AE206" s="247"/>
      <c r="AF206" s="1350"/>
      <c r="AG206" s="1352"/>
      <c r="AH206" s="1352"/>
      <c r="AI206" s="1350"/>
      <c r="AJ206" s="1352"/>
      <c r="AK206" s="1352"/>
      <c r="AL206" s="772"/>
    </row>
    <row r="207" spans="1:38" ht="11.25" customHeight="1">
      <c r="A207" s="1030" t="s">
        <v>1019</v>
      </c>
      <c r="B207" s="1030" t="s">
        <v>1051</v>
      </c>
      <c r="E207" s="557"/>
      <c r="F207" s="1339"/>
      <c r="G207" s="1325" t="s">
        <v>103</v>
      </c>
      <c r="H207" s="1335" t="s">
        <v>159</v>
      </c>
      <c r="I207" s="1347" t="s">
        <v>1052</v>
      </c>
      <c r="J207" s="1363" t="s">
        <v>1053</v>
      </c>
      <c r="K207" s="1349" t="s">
        <v>1102</v>
      </c>
      <c r="L207" s="1079" t="s">
        <v>61</v>
      </c>
      <c r="M207" s="1364" t="s">
        <v>1018</v>
      </c>
      <c r="N207" s="242"/>
      <c r="O207" s="243" t="s">
        <v>384</v>
      </c>
      <c r="P207" s="244"/>
      <c r="Q207" s="244"/>
      <c r="R207" s="244"/>
      <c r="S207" s="244"/>
      <c r="T207" s="244"/>
      <c r="U207" s="244"/>
      <c r="V207" s="244"/>
      <c r="W207" s="244"/>
      <c r="X207" s="244"/>
      <c r="Y207" s="244"/>
      <c r="Z207" s="244"/>
      <c r="AA207" s="244"/>
      <c r="AB207" s="244"/>
      <c r="AC207" s="244"/>
      <c r="AD207" s="244"/>
      <c r="AE207" s="244"/>
      <c r="AF207" s="1350">
        <v>10</v>
      </c>
      <c r="AG207" s="1352" t="s">
        <v>1055</v>
      </c>
      <c r="AH207" s="1352" t="s">
        <v>1103</v>
      </c>
      <c r="AI207" s="1350">
        <v>10</v>
      </c>
      <c r="AJ207" s="1352" t="s">
        <v>1055</v>
      </c>
      <c r="AK207" s="1352" t="s">
        <v>1103</v>
      </c>
      <c r="AL207" s="772"/>
    </row>
    <row r="208" spans="1:38" ht="11.25" customHeight="1">
      <c r="A208" s="1030" t="s">
        <v>1019</v>
      </c>
      <c r="E208" s="557"/>
      <c r="F208" s="1339"/>
      <c r="G208" s="1340"/>
      <c r="H208" s="1335" t="s">
        <v>158</v>
      </c>
      <c r="I208" s="1347"/>
      <c r="J208" s="1363"/>
      <c r="K208" s="1349"/>
      <c r="L208" s="1079"/>
      <c r="M208" s="1364"/>
      <c r="N208" s="1355"/>
      <c r="O208" s="1356">
        <v>1</v>
      </c>
      <c r="P208" s="1357" t="s">
        <v>19</v>
      </c>
      <c r="Q208" s="1308" t="s">
        <v>22</v>
      </c>
      <c r="R208" s="1308" t="s">
        <v>22</v>
      </c>
      <c r="S208" s="1308" t="s">
        <v>22</v>
      </c>
      <c r="T208" s="1308" t="s">
        <v>22</v>
      </c>
      <c r="U208" s="1308" t="s">
        <v>22</v>
      </c>
      <c r="V208" s="1308" t="s">
        <v>22</v>
      </c>
      <c r="W208" s="1308" t="s">
        <v>22</v>
      </c>
      <c r="X208" s="1308" t="s">
        <v>22</v>
      </c>
      <c r="Y208" s="1308"/>
      <c r="Z208" s="229"/>
      <c r="AA208" s="230"/>
      <c r="AB208" s="230"/>
      <c r="AC208" s="231"/>
      <c r="AD208" s="231"/>
      <c r="AE208" s="245"/>
      <c r="AF208" s="1350"/>
      <c r="AG208" s="1352"/>
      <c r="AH208" s="1352"/>
      <c r="AI208" s="1350"/>
      <c r="AJ208" s="1352"/>
      <c r="AK208" s="1352"/>
      <c r="AL208" s="772"/>
    </row>
    <row r="209" spans="1:38" ht="11.25" customHeight="1">
      <c r="A209" s="1030" t="s">
        <v>1019</v>
      </c>
      <c r="E209" s="557"/>
      <c r="F209" s="1339"/>
      <c r="G209" s="1340"/>
      <c r="H209" s="1335" t="s">
        <v>158</v>
      </c>
      <c r="I209" s="1347"/>
      <c r="J209" s="1363"/>
      <c r="K209" s="1349"/>
      <c r="L209" s="1079"/>
      <c r="M209" s="1364"/>
      <c r="N209" s="1355"/>
      <c r="O209" s="1356"/>
      <c r="P209" s="1358"/>
      <c r="Q209" s="1308"/>
      <c r="R209" s="1308"/>
      <c r="S209" s="1361"/>
      <c r="T209" s="1308"/>
      <c r="U209" s="1308"/>
      <c r="V209" s="1308"/>
      <c r="W209" s="1308"/>
      <c r="X209" s="1308"/>
      <c r="Y209" s="1308"/>
      <c r="AA209" s="778">
        <v>1</v>
      </c>
      <c r="AB209" s="779" t="s">
        <v>1057</v>
      </c>
      <c r="AC209" s="237">
        <v>233</v>
      </c>
      <c r="AD209" s="779" t="str">
        <f>AB209</f>
        <v xml:space="preserve">  Кредиты</v>
      </c>
      <c r="AE209" s="237">
        <f>AC209</f>
        <v>233</v>
      </c>
      <c r="AF209" s="1350"/>
      <c r="AG209" s="1352"/>
      <c r="AH209" s="1352"/>
      <c r="AI209" s="1350"/>
      <c r="AJ209" s="1352"/>
      <c r="AK209" s="1352"/>
      <c r="AL209" s="772"/>
    </row>
    <row r="210" spans="1:38" ht="11.25" customHeight="1">
      <c r="A210" s="1030" t="s">
        <v>1019</v>
      </c>
      <c r="E210" s="557"/>
      <c r="F210" s="1339"/>
      <c r="G210" s="1340"/>
      <c r="H210" s="1335" t="s">
        <v>158</v>
      </c>
      <c r="I210" s="1347"/>
      <c r="J210" s="1363"/>
      <c r="K210" s="1349"/>
      <c r="L210" s="1079"/>
      <c r="M210" s="1364"/>
      <c r="N210" s="1355"/>
      <c r="O210" s="1356"/>
      <c r="P210" s="1359"/>
      <c r="Q210" s="1308"/>
      <c r="R210" s="1308"/>
      <c r="S210" s="1361"/>
      <c r="T210" s="1308"/>
      <c r="U210" s="1308"/>
      <c r="V210" s="1308"/>
      <c r="W210" s="1308"/>
      <c r="X210" s="1308"/>
      <c r="Y210" s="1308"/>
      <c r="Z210" s="229"/>
      <c r="AA210" s="230"/>
      <c r="AB210" s="44" t="s">
        <v>1059</v>
      </c>
      <c r="AC210" s="231"/>
      <c r="AD210" s="231"/>
      <c r="AE210" s="246"/>
      <c r="AF210" s="1350"/>
      <c r="AG210" s="1352"/>
      <c r="AH210" s="1352"/>
      <c r="AI210" s="1350"/>
      <c r="AJ210" s="1352"/>
      <c r="AK210" s="1352"/>
      <c r="AL210" s="772"/>
    </row>
    <row r="211" spans="1:38" ht="11.25" customHeight="1">
      <c r="A211" s="1030" t="s">
        <v>1019</v>
      </c>
      <c r="E211" s="557"/>
      <c r="F211" s="1339"/>
      <c r="G211" s="1340"/>
      <c r="H211" s="1335" t="s">
        <v>158</v>
      </c>
      <c r="I211" s="1347"/>
      <c r="J211" s="1363"/>
      <c r="K211" s="1349"/>
      <c r="L211" s="1079"/>
      <c r="M211" s="1364"/>
      <c r="N211" s="229"/>
      <c r="O211" s="230"/>
      <c r="P211" s="44" t="s">
        <v>1060</v>
      </c>
      <c r="Q211" s="230"/>
      <c r="R211" s="230"/>
      <c r="S211" s="230"/>
      <c r="T211" s="230"/>
      <c r="U211" s="230"/>
      <c r="V211" s="230"/>
      <c r="W211" s="230"/>
      <c r="X211" s="230"/>
      <c r="Y211" s="230"/>
      <c r="Z211" s="230"/>
      <c r="AA211" s="230"/>
      <c r="AB211" s="230"/>
      <c r="AC211" s="230"/>
      <c r="AD211" s="230"/>
      <c r="AE211" s="247"/>
      <c r="AF211" s="1350"/>
      <c r="AG211" s="1352"/>
      <c r="AH211" s="1352"/>
      <c r="AI211" s="1350"/>
      <c r="AJ211" s="1352"/>
      <c r="AK211" s="1352"/>
      <c r="AL211" s="772"/>
    </row>
    <row r="212" spans="1:38" ht="11.25" customHeight="1">
      <c r="A212" s="1030" t="s">
        <v>1019</v>
      </c>
      <c r="B212" s="1030" t="s">
        <v>1051</v>
      </c>
      <c r="E212" s="557"/>
      <c r="F212" s="1339"/>
      <c r="G212" s="1325" t="s">
        <v>103</v>
      </c>
      <c r="H212" s="1335" t="s">
        <v>160</v>
      </c>
      <c r="I212" s="1347" t="s">
        <v>1052</v>
      </c>
      <c r="J212" s="1363" t="s">
        <v>1093</v>
      </c>
      <c r="K212" s="1349" t="s">
        <v>1094</v>
      </c>
      <c r="L212" s="1079" t="s">
        <v>61</v>
      </c>
      <c r="M212" s="1364" t="s">
        <v>1018</v>
      </c>
      <c r="N212" s="242"/>
      <c r="O212" s="243" t="s">
        <v>384</v>
      </c>
      <c r="P212" s="244"/>
      <c r="Q212" s="244"/>
      <c r="R212" s="244"/>
      <c r="S212" s="244"/>
      <c r="T212" s="244"/>
      <c r="U212" s="244"/>
      <c r="V212" s="244"/>
      <c r="W212" s="244"/>
      <c r="X212" s="244"/>
      <c r="Y212" s="244"/>
      <c r="Z212" s="244"/>
      <c r="AA212" s="244"/>
      <c r="AB212" s="244"/>
      <c r="AC212" s="244"/>
      <c r="AD212" s="244"/>
      <c r="AE212" s="244"/>
      <c r="AF212" s="1350">
        <v>14</v>
      </c>
      <c r="AG212" s="1352" t="s">
        <v>1055</v>
      </c>
      <c r="AH212" s="1352" t="s">
        <v>1095</v>
      </c>
      <c r="AI212" s="1350">
        <v>14</v>
      </c>
      <c r="AJ212" s="1352" t="s">
        <v>1055</v>
      </c>
      <c r="AK212" s="1352" t="s">
        <v>1095</v>
      </c>
      <c r="AL212" s="772"/>
    </row>
    <row r="213" spans="1:38" ht="11.25" customHeight="1">
      <c r="A213" s="1030" t="s">
        <v>1019</v>
      </c>
      <c r="E213" s="557"/>
      <c r="F213" s="1339"/>
      <c r="G213" s="1340"/>
      <c r="H213" s="1335" t="s">
        <v>159</v>
      </c>
      <c r="I213" s="1347"/>
      <c r="J213" s="1363"/>
      <c r="K213" s="1349"/>
      <c r="L213" s="1079"/>
      <c r="M213" s="1364"/>
      <c r="N213" s="1355"/>
      <c r="O213" s="1356">
        <v>1</v>
      </c>
      <c r="P213" s="1357" t="s">
        <v>19</v>
      </c>
      <c r="Q213" s="1308" t="s">
        <v>22</v>
      </c>
      <c r="R213" s="1308" t="s">
        <v>22</v>
      </c>
      <c r="S213" s="1308" t="s">
        <v>22</v>
      </c>
      <c r="T213" s="1308" t="s">
        <v>22</v>
      </c>
      <c r="U213" s="1308" t="s">
        <v>22</v>
      </c>
      <c r="V213" s="1308" t="s">
        <v>22</v>
      </c>
      <c r="W213" s="1308" t="s">
        <v>22</v>
      </c>
      <c r="X213" s="1308" t="s">
        <v>22</v>
      </c>
      <c r="Y213" s="1308"/>
      <c r="Z213" s="229"/>
      <c r="AA213" s="230"/>
      <c r="AB213" s="230"/>
      <c r="AC213" s="231"/>
      <c r="AD213" s="231"/>
      <c r="AE213" s="245"/>
      <c r="AF213" s="1350"/>
      <c r="AG213" s="1352"/>
      <c r="AH213" s="1352"/>
      <c r="AI213" s="1350"/>
      <c r="AJ213" s="1352"/>
      <c r="AK213" s="1352"/>
      <c r="AL213" s="772"/>
    </row>
    <row r="214" spans="1:38" ht="11.25" customHeight="1">
      <c r="A214" s="1030" t="s">
        <v>1019</v>
      </c>
      <c r="E214" s="557"/>
      <c r="F214" s="1339"/>
      <c r="G214" s="1340"/>
      <c r="H214" s="1335" t="s">
        <v>159</v>
      </c>
      <c r="I214" s="1347"/>
      <c r="J214" s="1363"/>
      <c r="K214" s="1349"/>
      <c r="L214" s="1079"/>
      <c r="M214" s="1364"/>
      <c r="N214" s="1355"/>
      <c r="O214" s="1356"/>
      <c r="P214" s="1358"/>
      <c r="Q214" s="1308"/>
      <c r="R214" s="1308"/>
      <c r="S214" s="1361"/>
      <c r="T214" s="1308"/>
      <c r="U214" s="1308"/>
      <c r="V214" s="1308"/>
      <c r="W214" s="1308"/>
      <c r="X214" s="1308"/>
      <c r="Y214" s="1308"/>
      <c r="AA214" s="778">
        <v>1</v>
      </c>
      <c r="AB214" s="779" t="s">
        <v>1057</v>
      </c>
      <c r="AC214" s="237">
        <v>80512</v>
      </c>
      <c r="AD214" s="779" t="str">
        <f>AB214</f>
        <v xml:space="preserve">  Кредиты</v>
      </c>
      <c r="AE214" s="237">
        <f>AC214</f>
        <v>80512</v>
      </c>
      <c r="AF214" s="1350"/>
      <c r="AG214" s="1352"/>
      <c r="AH214" s="1352"/>
      <c r="AI214" s="1350"/>
      <c r="AJ214" s="1352"/>
      <c r="AK214" s="1352"/>
      <c r="AL214" s="772"/>
    </row>
    <row r="215" spans="1:38" ht="11.25" customHeight="1">
      <c r="A215" s="1030" t="s">
        <v>1019</v>
      </c>
      <c r="E215" s="557"/>
      <c r="F215" s="1339"/>
      <c r="G215" s="1340"/>
      <c r="H215" s="1335" t="s">
        <v>159</v>
      </c>
      <c r="I215" s="1347"/>
      <c r="J215" s="1363"/>
      <c r="K215" s="1349"/>
      <c r="L215" s="1079"/>
      <c r="M215" s="1364"/>
      <c r="N215" s="1355"/>
      <c r="O215" s="1356"/>
      <c r="P215" s="1359"/>
      <c r="Q215" s="1308"/>
      <c r="R215" s="1308"/>
      <c r="S215" s="1361"/>
      <c r="T215" s="1308"/>
      <c r="U215" s="1308"/>
      <c r="V215" s="1308"/>
      <c r="W215" s="1308"/>
      <c r="X215" s="1308"/>
      <c r="Y215" s="1308"/>
      <c r="Z215" s="229"/>
      <c r="AA215" s="230"/>
      <c r="AB215" s="44" t="s">
        <v>1059</v>
      </c>
      <c r="AC215" s="231"/>
      <c r="AD215" s="231"/>
      <c r="AE215" s="246"/>
      <c r="AF215" s="1350"/>
      <c r="AG215" s="1352"/>
      <c r="AH215" s="1352"/>
      <c r="AI215" s="1350"/>
      <c r="AJ215" s="1352"/>
      <c r="AK215" s="1352"/>
      <c r="AL215" s="772"/>
    </row>
    <row r="216" spans="1:38" ht="11.25" customHeight="1">
      <c r="A216" s="1030" t="s">
        <v>1019</v>
      </c>
      <c r="E216" s="557"/>
      <c r="F216" s="1339"/>
      <c r="G216" s="1340"/>
      <c r="H216" s="1335" t="s">
        <v>159</v>
      </c>
      <c r="I216" s="1347"/>
      <c r="J216" s="1363"/>
      <c r="K216" s="1349"/>
      <c r="L216" s="1079"/>
      <c r="M216" s="1364"/>
      <c r="N216" s="229"/>
      <c r="O216" s="230"/>
      <c r="P216" s="44" t="s">
        <v>1060</v>
      </c>
      <c r="Q216" s="230"/>
      <c r="R216" s="230"/>
      <c r="S216" s="230"/>
      <c r="T216" s="230"/>
      <c r="U216" s="230"/>
      <c r="V216" s="230"/>
      <c r="W216" s="230"/>
      <c r="X216" s="230"/>
      <c r="Y216" s="230"/>
      <c r="Z216" s="230"/>
      <c r="AA216" s="230"/>
      <c r="AB216" s="230"/>
      <c r="AC216" s="230"/>
      <c r="AD216" s="230"/>
      <c r="AE216" s="247"/>
      <c r="AF216" s="1350"/>
      <c r="AG216" s="1352"/>
      <c r="AH216" s="1352"/>
      <c r="AI216" s="1350"/>
      <c r="AJ216" s="1352"/>
      <c r="AK216" s="1352"/>
      <c r="AL216" s="772"/>
    </row>
    <row r="217" spans="1:38" ht="11.25" customHeight="1">
      <c r="A217" s="1030" t="s">
        <v>1019</v>
      </c>
      <c r="B217" s="1030" t="s">
        <v>22</v>
      </c>
      <c r="E217" s="557"/>
      <c r="F217" s="1339"/>
      <c r="G217" s="1325" t="s">
        <v>103</v>
      </c>
      <c r="H217" s="1335" t="s">
        <v>161</v>
      </c>
      <c r="I217" s="1347" t="s">
        <v>1061</v>
      </c>
      <c r="J217" s="1360" t="s">
        <v>22</v>
      </c>
      <c r="K217" s="1349" t="s">
        <v>1082</v>
      </c>
      <c r="L217" s="1079" t="s">
        <v>19</v>
      </c>
      <c r="M217" s="1080"/>
      <c r="N217" s="242"/>
      <c r="O217" s="243" t="s">
        <v>384</v>
      </c>
      <c r="P217" s="244"/>
      <c r="Q217" s="244"/>
      <c r="R217" s="244"/>
      <c r="S217" s="244"/>
      <c r="T217" s="244"/>
      <c r="U217" s="244"/>
      <c r="V217" s="244"/>
      <c r="W217" s="244"/>
      <c r="X217" s="244"/>
      <c r="Y217" s="244"/>
      <c r="Z217" s="244"/>
      <c r="AA217" s="244"/>
      <c r="AB217" s="244"/>
      <c r="AC217" s="244"/>
      <c r="AD217" s="244"/>
      <c r="AE217" s="244"/>
      <c r="AF217" s="1350">
        <v>1</v>
      </c>
      <c r="AG217" s="1352" t="s">
        <v>1055</v>
      </c>
      <c r="AH217" s="1352" t="s">
        <v>1083</v>
      </c>
      <c r="AI217" s="1350">
        <v>1</v>
      </c>
      <c r="AJ217" s="1352" t="s">
        <v>1055</v>
      </c>
      <c r="AK217" s="1352" t="s">
        <v>1083</v>
      </c>
      <c r="AL217" s="772"/>
    </row>
    <row r="218" spans="1:38" ht="11.25" customHeight="1">
      <c r="A218" s="1030" t="s">
        <v>1019</v>
      </c>
      <c r="E218" s="557"/>
      <c r="F218" s="1339"/>
      <c r="G218" s="1340"/>
      <c r="H218" s="1335" t="s">
        <v>160</v>
      </c>
      <c r="I218" s="1347"/>
      <c r="J218" s="1360"/>
      <c r="K218" s="1349"/>
      <c r="L218" s="1079"/>
      <c r="M218" s="1080"/>
      <c r="N218" s="1355"/>
      <c r="O218" s="1356">
        <v>1</v>
      </c>
      <c r="P218" s="1357" t="s">
        <v>19</v>
      </c>
      <c r="Q218" s="1308" t="s">
        <v>22</v>
      </c>
      <c r="R218" s="1308" t="s">
        <v>22</v>
      </c>
      <c r="S218" s="1308" t="s">
        <v>22</v>
      </c>
      <c r="T218" s="1308" t="s">
        <v>22</v>
      </c>
      <c r="U218" s="1308" t="s">
        <v>22</v>
      </c>
      <c r="V218" s="1308" t="s">
        <v>22</v>
      </c>
      <c r="W218" s="1308" t="s">
        <v>22</v>
      </c>
      <c r="X218" s="1308" t="s">
        <v>22</v>
      </c>
      <c r="Y218" s="1308"/>
      <c r="Z218" s="229"/>
      <c r="AA218" s="230"/>
      <c r="AB218" s="230"/>
      <c r="AC218" s="231"/>
      <c r="AD218" s="231"/>
      <c r="AE218" s="245"/>
      <c r="AF218" s="1350"/>
      <c r="AG218" s="1352"/>
      <c r="AH218" s="1352"/>
      <c r="AI218" s="1350"/>
      <c r="AJ218" s="1352"/>
      <c r="AK218" s="1352"/>
      <c r="AL218" s="772"/>
    </row>
    <row r="219" spans="1:38" ht="11.25" customHeight="1">
      <c r="A219" s="1030" t="s">
        <v>1019</v>
      </c>
      <c r="E219" s="557"/>
      <c r="F219" s="1339"/>
      <c r="G219" s="1340"/>
      <c r="H219" s="1335" t="s">
        <v>160</v>
      </c>
      <c r="I219" s="1347"/>
      <c r="J219" s="1360"/>
      <c r="K219" s="1349"/>
      <c r="L219" s="1079"/>
      <c r="M219" s="1080"/>
      <c r="N219" s="1355"/>
      <c r="O219" s="1356"/>
      <c r="P219" s="1358"/>
      <c r="Q219" s="1308"/>
      <c r="R219" s="1308"/>
      <c r="S219" s="1361"/>
      <c r="T219" s="1308"/>
      <c r="U219" s="1308"/>
      <c r="V219" s="1308"/>
      <c r="W219" s="1308"/>
      <c r="X219" s="1308"/>
      <c r="Y219" s="1308"/>
      <c r="AA219" s="778">
        <v>1</v>
      </c>
      <c r="AB219" s="779" t="s">
        <v>1057</v>
      </c>
      <c r="AC219" s="237">
        <v>11133</v>
      </c>
      <c r="AD219" s="779" t="str">
        <f>AB219</f>
        <v xml:space="preserve">  Кредиты</v>
      </c>
      <c r="AE219" s="237">
        <f>AC219</f>
        <v>11133</v>
      </c>
      <c r="AF219" s="1350"/>
      <c r="AG219" s="1352"/>
      <c r="AH219" s="1352"/>
      <c r="AI219" s="1350"/>
      <c r="AJ219" s="1352"/>
      <c r="AK219" s="1352"/>
      <c r="AL219" s="772"/>
    </row>
    <row r="220" spans="1:38" ht="11.25" customHeight="1">
      <c r="A220" s="1030" t="s">
        <v>1019</v>
      </c>
      <c r="E220" s="557"/>
      <c r="F220" s="1339"/>
      <c r="G220" s="1340"/>
      <c r="H220" s="1335" t="s">
        <v>160</v>
      </c>
      <c r="I220" s="1347"/>
      <c r="J220" s="1360"/>
      <c r="K220" s="1349"/>
      <c r="L220" s="1079"/>
      <c r="M220" s="1080"/>
      <c r="N220" s="1355"/>
      <c r="O220" s="1356"/>
      <c r="P220" s="1359"/>
      <c r="Q220" s="1308"/>
      <c r="R220" s="1308"/>
      <c r="S220" s="1361"/>
      <c r="T220" s="1308"/>
      <c r="U220" s="1308"/>
      <c r="V220" s="1308"/>
      <c r="W220" s="1308"/>
      <c r="X220" s="1308"/>
      <c r="Y220" s="1308"/>
      <c r="Z220" s="229"/>
      <c r="AA220" s="230"/>
      <c r="AB220" s="44" t="s">
        <v>1059</v>
      </c>
      <c r="AC220" s="231"/>
      <c r="AD220" s="231"/>
      <c r="AE220" s="246"/>
      <c r="AF220" s="1350"/>
      <c r="AG220" s="1352"/>
      <c r="AH220" s="1352"/>
      <c r="AI220" s="1350"/>
      <c r="AJ220" s="1352"/>
      <c r="AK220" s="1352"/>
      <c r="AL220" s="772"/>
    </row>
    <row r="221" spans="1:38" ht="11.25" customHeight="1">
      <c r="A221" s="1030" t="s">
        <v>1019</v>
      </c>
      <c r="E221" s="557"/>
      <c r="F221" s="1339"/>
      <c r="G221" s="1340"/>
      <c r="H221" s="1335" t="s">
        <v>160</v>
      </c>
      <c r="I221" s="1347"/>
      <c r="J221" s="1360"/>
      <c r="K221" s="1349"/>
      <c r="L221" s="1079"/>
      <c r="M221" s="1080"/>
      <c r="N221" s="229"/>
      <c r="O221" s="230"/>
      <c r="P221" s="44" t="s">
        <v>1060</v>
      </c>
      <c r="Q221" s="230"/>
      <c r="R221" s="230"/>
      <c r="S221" s="230"/>
      <c r="T221" s="230"/>
      <c r="U221" s="230"/>
      <c r="V221" s="230"/>
      <c r="W221" s="230"/>
      <c r="X221" s="230"/>
      <c r="Y221" s="230"/>
      <c r="Z221" s="230"/>
      <c r="AA221" s="230"/>
      <c r="AB221" s="230"/>
      <c r="AC221" s="230"/>
      <c r="AD221" s="230"/>
      <c r="AE221" s="247"/>
      <c r="AF221" s="1350"/>
      <c r="AG221" s="1352"/>
      <c r="AH221" s="1352"/>
      <c r="AI221" s="1350"/>
      <c r="AJ221" s="1352"/>
      <c r="AK221" s="1352"/>
      <c r="AL221" s="772"/>
    </row>
    <row r="222" spans="1:38" ht="11.25" customHeight="1">
      <c r="A222" s="1030" t="s">
        <v>1019</v>
      </c>
      <c r="B222" s="1030" t="s">
        <v>1086</v>
      </c>
      <c r="E222" s="557"/>
      <c r="F222" s="1339"/>
      <c r="G222" s="1325" t="s">
        <v>103</v>
      </c>
      <c r="H222" s="1335" t="s">
        <v>162</v>
      </c>
      <c r="I222" s="1347" t="s">
        <v>1087</v>
      </c>
      <c r="J222" s="1363" t="s">
        <v>1088</v>
      </c>
      <c r="K222" s="1349" t="s">
        <v>1089</v>
      </c>
      <c r="L222" s="1079" t="s">
        <v>19</v>
      </c>
      <c r="M222" s="1080"/>
      <c r="N222" s="242"/>
      <c r="O222" s="243" t="s">
        <v>384</v>
      </c>
      <c r="P222" s="244"/>
      <c r="Q222" s="244"/>
      <c r="R222" s="244"/>
      <c r="S222" s="244"/>
      <c r="T222" s="244"/>
      <c r="U222" s="244"/>
      <c r="V222" s="244"/>
      <c r="W222" s="244"/>
      <c r="X222" s="244"/>
      <c r="Y222" s="244"/>
      <c r="Z222" s="244"/>
      <c r="AA222" s="244"/>
      <c r="AB222" s="244"/>
      <c r="AC222" s="244"/>
      <c r="AD222" s="244"/>
      <c r="AE222" s="244"/>
      <c r="AF222" s="1350">
        <v>1</v>
      </c>
      <c r="AG222" s="1352" t="s">
        <v>1055</v>
      </c>
      <c r="AH222" s="1352" t="s">
        <v>1083</v>
      </c>
      <c r="AI222" s="1350">
        <v>1</v>
      </c>
      <c r="AJ222" s="1352" t="s">
        <v>1055</v>
      </c>
      <c r="AK222" s="1352" t="s">
        <v>1083</v>
      </c>
      <c r="AL222" s="772"/>
    </row>
    <row r="223" spans="1:38" ht="11.25" customHeight="1">
      <c r="A223" s="1030" t="s">
        <v>1019</v>
      </c>
      <c r="E223" s="557"/>
      <c r="F223" s="1339"/>
      <c r="G223" s="1340"/>
      <c r="H223" s="1335" t="s">
        <v>161</v>
      </c>
      <c r="I223" s="1347"/>
      <c r="J223" s="1363"/>
      <c r="K223" s="1349"/>
      <c r="L223" s="1079"/>
      <c r="M223" s="1080"/>
      <c r="N223" s="1355"/>
      <c r="O223" s="1356">
        <v>1</v>
      </c>
      <c r="P223" s="1357" t="s">
        <v>19</v>
      </c>
      <c r="Q223" s="1308" t="s">
        <v>22</v>
      </c>
      <c r="R223" s="1308" t="s">
        <v>22</v>
      </c>
      <c r="S223" s="1308" t="s">
        <v>22</v>
      </c>
      <c r="T223" s="1308" t="s">
        <v>22</v>
      </c>
      <c r="U223" s="1308" t="s">
        <v>22</v>
      </c>
      <c r="V223" s="1308" t="s">
        <v>22</v>
      </c>
      <c r="W223" s="1308" t="s">
        <v>22</v>
      </c>
      <c r="X223" s="1308" t="s">
        <v>22</v>
      </c>
      <c r="Y223" s="1308"/>
      <c r="Z223" s="229"/>
      <c r="AA223" s="230"/>
      <c r="AB223" s="230"/>
      <c r="AC223" s="231"/>
      <c r="AD223" s="231"/>
      <c r="AE223" s="245"/>
      <c r="AF223" s="1350"/>
      <c r="AG223" s="1352"/>
      <c r="AH223" s="1352"/>
      <c r="AI223" s="1350"/>
      <c r="AJ223" s="1352"/>
      <c r="AK223" s="1352"/>
      <c r="AL223" s="772"/>
    </row>
    <row r="224" spans="1:38" ht="11.25" customHeight="1">
      <c r="A224" s="1030" t="s">
        <v>1019</v>
      </c>
      <c r="E224" s="557"/>
      <c r="F224" s="1339"/>
      <c r="G224" s="1340"/>
      <c r="H224" s="1335" t="s">
        <v>161</v>
      </c>
      <c r="I224" s="1347"/>
      <c r="J224" s="1363"/>
      <c r="K224" s="1349"/>
      <c r="L224" s="1079"/>
      <c r="M224" s="1080"/>
      <c r="N224" s="1355"/>
      <c r="O224" s="1356"/>
      <c r="P224" s="1358"/>
      <c r="Q224" s="1308"/>
      <c r="R224" s="1308"/>
      <c r="S224" s="1361"/>
      <c r="T224" s="1308"/>
      <c r="U224" s="1308"/>
      <c r="V224" s="1308"/>
      <c r="W224" s="1308"/>
      <c r="X224" s="1308"/>
      <c r="Y224" s="1308"/>
      <c r="AA224" s="778">
        <v>1</v>
      </c>
      <c r="AB224" s="779" t="s">
        <v>1057</v>
      </c>
      <c r="AC224" s="237">
        <v>15747.5</v>
      </c>
      <c r="AD224" s="779" t="str">
        <f>AB224</f>
        <v xml:space="preserve">  Кредиты</v>
      </c>
      <c r="AE224" s="237">
        <f>AC224</f>
        <v>15747.5</v>
      </c>
      <c r="AF224" s="1350"/>
      <c r="AG224" s="1352"/>
      <c r="AH224" s="1352"/>
      <c r="AI224" s="1350"/>
      <c r="AJ224" s="1352"/>
      <c r="AK224" s="1352"/>
      <c r="AL224" s="772"/>
    </row>
    <row r="225" spans="1:38" ht="11.25" customHeight="1">
      <c r="A225" s="1030" t="s">
        <v>1019</v>
      </c>
      <c r="E225" s="557"/>
      <c r="F225" s="1339"/>
      <c r="G225" s="1340"/>
      <c r="H225" s="1335" t="s">
        <v>161</v>
      </c>
      <c r="I225" s="1347"/>
      <c r="J225" s="1363"/>
      <c r="K225" s="1349"/>
      <c r="L225" s="1079"/>
      <c r="M225" s="1080"/>
      <c r="N225" s="1355"/>
      <c r="O225" s="1356"/>
      <c r="P225" s="1359"/>
      <c r="Q225" s="1308"/>
      <c r="R225" s="1308"/>
      <c r="S225" s="1361"/>
      <c r="T225" s="1308"/>
      <c r="U225" s="1308"/>
      <c r="V225" s="1308"/>
      <c r="W225" s="1308"/>
      <c r="X225" s="1308"/>
      <c r="Y225" s="1308"/>
      <c r="Z225" s="229"/>
      <c r="AA225" s="230"/>
      <c r="AB225" s="44" t="s">
        <v>1059</v>
      </c>
      <c r="AC225" s="231"/>
      <c r="AD225" s="231"/>
      <c r="AE225" s="246"/>
      <c r="AF225" s="1350"/>
      <c r="AG225" s="1352"/>
      <c r="AH225" s="1352"/>
      <c r="AI225" s="1350"/>
      <c r="AJ225" s="1352"/>
      <c r="AK225" s="1352"/>
      <c r="AL225" s="772"/>
    </row>
    <row r="226" spans="1:38" ht="11.25" customHeight="1">
      <c r="A226" s="1030" t="s">
        <v>1019</v>
      </c>
      <c r="E226" s="557"/>
      <c r="F226" s="1339"/>
      <c r="G226" s="1340"/>
      <c r="H226" s="1335" t="s">
        <v>161</v>
      </c>
      <c r="I226" s="1347"/>
      <c r="J226" s="1363"/>
      <c r="K226" s="1349"/>
      <c r="L226" s="1079"/>
      <c r="M226" s="1080"/>
      <c r="N226" s="229"/>
      <c r="O226" s="230"/>
      <c r="P226" s="44" t="s">
        <v>1060</v>
      </c>
      <c r="Q226" s="230"/>
      <c r="R226" s="230"/>
      <c r="S226" s="230"/>
      <c r="T226" s="230"/>
      <c r="U226" s="230"/>
      <c r="V226" s="230"/>
      <c r="W226" s="230"/>
      <c r="X226" s="230"/>
      <c r="Y226" s="230"/>
      <c r="Z226" s="230"/>
      <c r="AA226" s="230"/>
      <c r="AB226" s="230"/>
      <c r="AC226" s="230"/>
      <c r="AD226" s="230"/>
      <c r="AE226" s="247"/>
      <c r="AF226" s="1350"/>
      <c r="AG226" s="1352"/>
      <c r="AH226" s="1352"/>
      <c r="AI226" s="1350"/>
      <c r="AJ226" s="1352"/>
      <c r="AK226" s="1352"/>
      <c r="AL226" s="772"/>
    </row>
    <row r="227" spans="1:38" ht="12" customHeight="1">
      <c r="A227" t="s">
        <v>1019</v>
      </c>
      <c r="E227" s="557"/>
      <c r="F227" s="1341"/>
      <c r="G227" s="775"/>
      <c r="H227" s="775"/>
      <c r="I227" s="1337" t="s">
        <v>1070</v>
      </c>
      <c r="J227" s="1337"/>
      <c r="K227" s="1337"/>
      <c r="L227" s="776"/>
      <c r="M227" s="776"/>
      <c r="N227" s="777"/>
      <c r="O227" s="777"/>
      <c r="P227" s="777"/>
      <c r="Q227" s="777"/>
      <c r="R227" s="777"/>
      <c r="S227" s="777"/>
      <c r="T227" s="777"/>
      <c r="U227" s="777"/>
      <c r="V227" s="777"/>
      <c r="W227" s="777"/>
      <c r="X227" s="777"/>
      <c r="Y227" s="777"/>
      <c r="Z227" s="777"/>
      <c r="AA227" s="777"/>
      <c r="AB227" s="777"/>
      <c r="AC227" s="777"/>
      <c r="AD227" s="777"/>
      <c r="AE227" s="777"/>
      <c r="AF227" s="777"/>
      <c r="AG227" s="776"/>
      <c r="AH227" s="776"/>
      <c r="AI227" s="777"/>
      <c r="AJ227" s="776"/>
      <c r="AK227" s="777"/>
      <c r="AL227" s="772"/>
    </row>
    <row r="228" spans="1:38" ht="0.75" customHeight="1">
      <c r="A228" t="s">
        <v>1019</v>
      </c>
      <c r="E228" s="557"/>
      <c r="F228" s="1338">
        <v>2019</v>
      </c>
      <c r="G228" s="1335"/>
      <c r="H228" s="1343" t="s">
        <v>384</v>
      </c>
      <c r="I228" s="1344"/>
      <c r="J228" s="1334"/>
      <c r="K228" s="1334"/>
      <c r="L228" s="1336"/>
      <c r="M228" s="1190"/>
      <c r="N228" s="214"/>
      <c r="O228" s="215"/>
      <c r="P228" s="214"/>
      <c r="Q228" s="214"/>
      <c r="R228" s="214"/>
      <c r="S228" s="214"/>
      <c r="T228" s="214"/>
      <c r="U228" s="214"/>
      <c r="V228" s="214"/>
      <c r="W228" s="214"/>
      <c r="X228" s="214"/>
      <c r="Y228" s="214"/>
      <c r="Z228" s="214"/>
      <c r="AA228" s="214"/>
      <c r="AB228" s="214"/>
      <c r="AC228" s="214"/>
      <c r="AD228" s="214"/>
      <c r="AE228" s="214"/>
      <c r="AF228" s="1342"/>
      <c r="AG228" s="1336"/>
      <c r="AH228" s="1336"/>
      <c r="AI228" s="1342"/>
      <c r="AJ228" s="1336"/>
      <c r="AK228" s="1336"/>
      <c r="AL228" s="772"/>
    </row>
    <row r="229" spans="1:38" ht="0.75" customHeight="1">
      <c r="A229" t="s">
        <v>1019</v>
      </c>
      <c r="E229" s="557"/>
      <c r="F229" s="1338"/>
      <c r="G229" s="1335"/>
      <c r="H229" s="1343"/>
      <c r="I229" s="1344"/>
      <c r="J229" s="1334"/>
      <c r="K229" s="1334"/>
      <c r="L229" s="1336"/>
      <c r="M229" s="1190"/>
      <c r="N229" s="1345"/>
      <c r="O229" s="1346"/>
      <c r="P229" s="1331"/>
      <c r="Q229" s="1334"/>
      <c r="R229" s="1334"/>
      <c r="S229" s="1334"/>
      <c r="T229" s="1334"/>
      <c r="U229" s="1334"/>
      <c r="V229" s="1334"/>
      <c r="W229" s="1334"/>
      <c r="X229" s="1334"/>
      <c r="Y229" s="1334"/>
      <c r="Z229" s="216"/>
      <c r="AA229" s="217"/>
      <c r="AB229" s="217"/>
      <c r="AC229" s="218"/>
      <c r="AD229" s="218"/>
      <c r="AE229" s="219"/>
      <c r="AF229" s="1342"/>
      <c r="AG229" s="1336"/>
      <c r="AH229" s="1336"/>
      <c r="AI229" s="1342"/>
      <c r="AJ229" s="1336"/>
      <c r="AK229" s="1336"/>
      <c r="AL229" s="772"/>
    </row>
    <row r="230" spans="1:38" ht="0.75" customHeight="1">
      <c r="A230" t="s">
        <v>1019</v>
      </c>
      <c r="E230" s="557"/>
      <c r="F230" s="1338"/>
      <c r="G230" s="1335"/>
      <c r="H230" s="1343"/>
      <c r="I230" s="1344"/>
      <c r="J230" s="1334"/>
      <c r="K230" s="1334"/>
      <c r="L230" s="1336"/>
      <c r="M230" s="1190"/>
      <c r="N230" s="1345"/>
      <c r="O230" s="1346"/>
      <c r="P230" s="1332"/>
      <c r="Q230" s="1334"/>
      <c r="R230" s="1334"/>
      <c r="S230" s="1334"/>
      <c r="T230" s="1334"/>
      <c r="U230" s="1334"/>
      <c r="V230" s="1334"/>
      <c r="W230" s="1334"/>
      <c r="X230" s="1334"/>
      <c r="Y230" s="1334"/>
      <c r="AA230" s="773"/>
      <c r="AB230" s="774"/>
      <c r="AC230" s="220"/>
      <c r="AD230" s="774"/>
      <c r="AE230" s="220"/>
      <c r="AF230" s="1342"/>
      <c r="AG230" s="1336"/>
      <c r="AH230" s="1336"/>
      <c r="AI230" s="1342"/>
      <c r="AJ230" s="1336"/>
      <c r="AK230" s="1336"/>
      <c r="AL230" s="772"/>
    </row>
    <row r="231" spans="1:38" ht="0.75" customHeight="1">
      <c r="A231" t="s">
        <v>1019</v>
      </c>
      <c r="E231" s="557"/>
      <c r="F231" s="1338"/>
      <c r="G231" s="1335"/>
      <c r="H231" s="1343"/>
      <c r="I231" s="1344"/>
      <c r="J231" s="1334"/>
      <c r="K231" s="1334"/>
      <c r="L231" s="1336"/>
      <c r="M231" s="1190"/>
      <c r="N231" s="1345"/>
      <c r="O231" s="1346"/>
      <c r="P231" s="1333"/>
      <c r="Q231" s="1334"/>
      <c r="R231" s="1334"/>
      <c r="S231" s="1334"/>
      <c r="T231" s="1334"/>
      <c r="U231" s="1334"/>
      <c r="V231" s="1334"/>
      <c r="W231" s="1334"/>
      <c r="X231" s="1334"/>
      <c r="Y231" s="1334"/>
      <c r="Z231" s="216"/>
      <c r="AA231" s="217"/>
      <c r="AB231" s="221"/>
      <c r="AC231" s="218"/>
      <c r="AD231" s="218"/>
      <c r="AE231" s="222"/>
      <c r="AF231" s="1342"/>
      <c r="AG231" s="1336"/>
      <c r="AH231" s="1336"/>
      <c r="AI231" s="1342"/>
      <c r="AJ231" s="1336"/>
      <c r="AK231" s="1336"/>
      <c r="AL231" s="772"/>
    </row>
    <row r="232" spans="1:38" ht="0.75" customHeight="1">
      <c r="A232" t="s">
        <v>1019</v>
      </c>
      <c r="E232" s="557"/>
      <c r="F232" s="1338"/>
      <c r="G232" s="1335"/>
      <c r="H232" s="1343"/>
      <c r="I232" s="1344"/>
      <c r="J232" s="1334"/>
      <c r="K232" s="1334"/>
      <c r="L232" s="1336"/>
      <c r="M232" s="1190"/>
      <c r="N232" s="217"/>
      <c r="O232" s="217"/>
      <c r="P232" s="221"/>
      <c r="Q232" s="217"/>
      <c r="R232" s="217"/>
      <c r="S232" s="217"/>
      <c r="T232" s="217"/>
      <c r="U232" s="217"/>
      <c r="V232" s="217"/>
      <c r="W232" s="217"/>
      <c r="X232" s="217"/>
      <c r="Y232" s="217"/>
      <c r="Z232" s="217"/>
      <c r="AA232" s="217"/>
      <c r="AB232" s="217"/>
      <c r="AC232" s="217"/>
      <c r="AD232" s="217"/>
      <c r="AE232" s="223"/>
      <c r="AF232" s="1342"/>
      <c r="AG232" s="1336"/>
      <c r="AH232" s="1336"/>
      <c r="AI232" s="1342"/>
      <c r="AJ232" s="1336"/>
      <c r="AK232" s="1336"/>
      <c r="AL232" s="772"/>
    </row>
    <row r="233" spans="1:38" ht="11.25" customHeight="1">
      <c r="A233" s="1030" t="s">
        <v>1019</v>
      </c>
      <c r="B233" s="1030" t="s">
        <v>22</v>
      </c>
      <c r="E233" s="557"/>
      <c r="F233" s="1339"/>
      <c r="G233" s="1325" t="s">
        <v>103</v>
      </c>
      <c r="H233" s="1335" t="s">
        <v>114</v>
      </c>
      <c r="I233" s="1347" t="s">
        <v>1071</v>
      </c>
      <c r="J233" s="1360" t="s">
        <v>22</v>
      </c>
      <c r="K233" s="1349" t="s">
        <v>1096</v>
      </c>
      <c r="L233" s="1079" t="s">
        <v>19</v>
      </c>
      <c r="M233" s="1080"/>
      <c r="N233" s="242"/>
      <c r="O233" s="243" t="s">
        <v>384</v>
      </c>
      <c r="P233" s="244"/>
      <c r="Q233" s="244"/>
      <c r="R233" s="244"/>
      <c r="S233" s="244"/>
      <c r="T233" s="244"/>
      <c r="U233" s="244"/>
      <c r="V233" s="244"/>
      <c r="W233" s="244"/>
      <c r="X233" s="244"/>
      <c r="Y233" s="244"/>
      <c r="Z233" s="244"/>
      <c r="AA233" s="244"/>
      <c r="AB233" s="244"/>
      <c r="AC233" s="244"/>
      <c r="AD233" s="244"/>
      <c r="AE233" s="244"/>
      <c r="AF233" s="1350">
        <v>4</v>
      </c>
      <c r="AG233" s="1352" t="s">
        <v>1055</v>
      </c>
      <c r="AH233" s="1352" t="s">
        <v>1097</v>
      </c>
      <c r="AI233" s="1350">
        <v>4</v>
      </c>
      <c r="AJ233" s="1352" t="s">
        <v>1055</v>
      </c>
      <c r="AK233" s="1352" t="s">
        <v>1097</v>
      </c>
      <c r="AL233" s="772"/>
    </row>
    <row r="234" spans="1:38" ht="11.25" customHeight="1">
      <c r="A234" s="1030" t="s">
        <v>1019</v>
      </c>
      <c r="E234" s="557"/>
      <c r="F234" s="1339"/>
      <c r="G234" s="1340"/>
      <c r="H234" s="1335" t="s">
        <v>384</v>
      </c>
      <c r="I234" s="1347"/>
      <c r="J234" s="1360"/>
      <c r="K234" s="1349"/>
      <c r="L234" s="1079"/>
      <c r="M234" s="1080"/>
      <c r="N234" s="1355"/>
      <c r="O234" s="1356">
        <v>1</v>
      </c>
      <c r="P234" s="1357" t="s">
        <v>19</v>
      </c>
      <c r="Q234" s="1308" t="s">
        <v>22</v>
      </c>
      <c r="R234" s="1308" t="s">
        <v>22</v>
      </c>
      <c r="S234" s="1308" t="s">
        <v>22</v>
      </c>
      <c r="T234" s="1308" t="s">
        <v>22</v>
      </c>
      <c r="U234" s="1308" t="s">
        <v>22</v>
      </c>
      <c r="V234" s="1308" t="s">
        <v>22</v>
      </c>
      <c r="W234" s="1308" t="s">
        <v>22</v>
      </c>
      <c r="X234" s="1308" t="s">
        <v>22</v>
      </c>
      <c r="Y234" s="1308"/>
      <c r="Z234" s="229"/>
      <c r="AA234" s="230"/>
      <c r="AB234" s="230"/>
      <c r="AC234" s="231"/>
      <c r="AD234" s="231"/>
      <c r="AE234" s="245"/>
      <c r="AF234" s="1350"/>
      <c r="AG234" s="1352"/>
      <c r="AH234" s="1352"/>
      <c r="AI234" s="1350"/>
      <c r="AJ234" s="1352"/>
      <c r="AK234" s="1352"/>
      <c r="AL234" s="772"/>
    </row>
    <row r="235" spans="1:38" ht="11.25" customHeight="1">
      <c r="A235" s="1030" t="s">
        <v>1019</v>
      </c>
      <c r="E235" s="557"/>
      <c r="F235" s="1339"/>
      <c r="G235" s="1340"/>
      <c r="H235" s="1335" t="s">
        <v>384</v>
      </c>
      <c r="I235" s="1347"/>
      <c r="J235" s="1360"/>
      <c r="K235" s="1349"/>
      <c r="L235" s="1079"/>
      <c r="M235" s="1080"/>
      <c r="N235" s="1355"/>
      <c r="O235" s="1356"/>
      <c r="P235" s="1358"/>
      <c r="Q235" s="1308"/>
      <c r="R235" s="1308"/>
      <c r="S235" s="1361"/>
      <c r="T235" s="1308"/>
      <c r="U235" s="1308"/>
      <c r="V235" s="1308"/>
      <c r="W235" s="1308"/>
      <c r="X235" s="1308"/>
      <c r="Y235" s="1308"/>
      <c r="AA235" s="778">
        <v>1</v>
      </c>
      <c r="AB235" s="779" t="s">
        <v>1057</v>
      </c>
      <c r="AC235" s="237">
        <v>3538</v>
      </c>
      <c r="AD235" s="779" t="str">
        <f>AB235</f>
        <v xml:space="preserve">  Кредиты</v>
      </c>
      <c r="AE235" s="237">
        <f>AC235</f>
        <v>3538</v>
      </c>
      <c r="AF235" s="1350"/>
      <c r="AG235" s="1352"/>
      <c r="AH235" s="1352"/>
      <c r="AI235" s="1350"/>
      <c r="AJ235" s="1352"/>
      <c r="AK235" s="1352"/>
      <c r="AL235" s="772"/>
    </row>
    <row r="236" spans="1:38" ht="11.25" customHeight="1">
      <c r="A236" s="1030" t="s">
        <v>1019</v>
      </c>
      <c r="E236" s="557"/>
      <c r="F236" s="1339"/>
      <c r="G236" s="1340"/>
      <c r="H236" s="1335" t="s">
        <v>384</v>
      </c>
      <c r="I236" s="1347"/>
      <c r="J236" s="1360"/>
      <c r="K236" s="1349"/>
      <c r="L236" s="1079"/>
      <c r="M236" s="1080"/>
      <c r="N236" s="1355"/>
      <c r="O236" s="1356"/>
      <c r="P236" s="1359"/>
      <c r="Q236" s="1308"/>
      <c r="R236" s="1308"/>
      <c r="S236" s="1361"/>
      <c r="T236" s="1308"/>
      <c r="U236" s="1308"/>
      <c r="V236" s="1308"/>
      <c r="W236" s="1308"/>
      <c r="X236" s="1308"/>
      <c r="Y236" s="1308"/>
      <c r="Z236" s="229"/>
      <c r="AA236" s="230"/>
      <c r="AB236" s="44" t="s">
        <v>1059</v>
      </c>
      <c r="AC236" s="231"/>
      <c r="AD236" s="231"/>
      <c r="AE236" s="246"/>
      <c r="AF236" s="1350"/>
      <c r="AG236" s="1352"/>
      <c r="AH236" s="1352"/>
      <c r="AI236" s="1350"/>
      <c r="AJ236" s="1352"/>
      <c r="AK236" s="1352"/>
      <c r="AL236" s="772"/>
    </row>
    <row r="237" spans="1:38" ht="11.25" customHeight="1">
      <c r="A237" s="1030" t="s">
        <v>1019</v>
      </c>
      <c r="E237" s="557"/>
      <c r="F237" s="1339"/>
      <c r="G237" s="1340"/>
      <c r="H237" s="1335" t="s">
        <v>384</v>
      </c>
      <c r="I237" s="1347"/>
      <c r="J237" s="1360"/>
      <c r="K237" s="1349"/>
      <c r="L237" s="1079"/>
      <c r="M237" s="1080"/>
      <c r="N237" s="229"/>
      <c r="O237" s="230"/>
      <c r="P237" s="44" t="s">
        <v>1060</v>
      </c>
      <c r="Q237" s="230"/>
      <c r="R237" s="230"/>
      <c r="S237" s="230"/>
      <c r="T237" s="230"/>
      <c r="U237" s="230"/>
      <c r="V237" s="230"/>
      <c r="W237" s="230"/>
      <c r="X237" s="230"/>
      <c r="Y237" s="230"/>
      <c r="Z237" s="230"/>
      <c r="AA237" s="230"/>
      <c r="AB237" s="230"/>
      <c r="AC237" s="230"/>
      <c r="AD237" s="230"/>
      <c r="AE237" s="247"/>
      <c r="AF237" s="1350"/>
      <c r="AG237" s="1352"/>
      <c r="AH237" s="1352"/>
      <c r="AI237" s="1350"/>
      <c r="AJ237" s="1352"/>
      <c r="AK237" s="1352"/>
      <c r="AL237" s="772"/>
    </row>
    <row r="238" spans="1:38" ht="11.25" customHeight="1">
      <c r="A238" s="1030" t="s">
        <v>1019</v>
      </c>
      <c r="B238" s="1030" t="s">
        <v>22</v>
      </c>
      <c r="E238" s="557"/>
      <c r="F238" s="1339"/>
      <c r="G238" s="1325" t="s">
        <v>103</v>
      </c>
      <c r="H238" s="1335" t="s">
        <v>102</v>
      </c>
      <c r="I238" s="1347" t="s">
        <v>1071</v>
      </c>
      <c r="J238" s="1360" t="s">
        <v>22</v>
      </c>
      <c r="K238" s="1349" t="s">
        <v>1090</v>
      </c>
      <c r="L238" s="1079" t="s">
        <v>19</v>
      </c>
      <c r="M238" s="1080"/>
      <c r="N238" s="242"/>
      <c r="O238" s="243" t="s">
        <v>384</v>
      </c>
      <c r="P238" s="244"/>
      <c r="Q238" s="244"/>
      <c r="R238" s="244"/>
      <c r="S238" s="244"/>
      <c r="T238" s="244"/>
      <c r="U238" s="244"/>
      <c r="V238" s="244"/>
      <c r="W238" s="244"/>
      <c r="X238" s="244"/>
      <c r="Y238" s="244"/>
      <c r="Z238" s="244"/>
      <c r="AA238" s="244"/>
      <c r="AB238" s="244"/>
      <c r="AC238" s="244"/>
      <c r="AD238" s="244"/>
      <c r="AE238" s="244"/>
      <c r="AF238" s="1350">
        <v>1</v>
      </c>
      <c r="AG238" s="1352" t="s">
        <v>1055</v>
      </c>
      <c r="AH238" s="1352" t="s">
        <v>1073</v>
      </c>
      <c r="AI238" s="1350">
        <v>1</v>
      </c>
      <c r="AJ238" s="1352" t="s">
        <v>1055</v>
      </c>
      <c r="AK238" s="1352" t="s">
        <v>1073</v>
      </c>
      <c r="AL238" s="772"/>
    </row>
    <row r="239" spans="1:38" ht="11.25" customHeight="1">
      <c r="A239" s="1030" t="s">
        <v>1019</v>
      </c>
      <c r="E239" s="557"/>
      <c r="F239" s="1339"/>
      <c r="G239" s="1340"/>
      <c r="H239" s="1335" t="s">
        <v>114</v>
      </c>
      <c r="I239" s="1347"/>
      <c r="J239" s="1360"/>
      <c r="K239" s="1349"/>
      <c r="L239" s="1079"/>
      <c r="M239" s="1080"/>
      <c r="N239" s="1355"/>
      <c r="O239" s="1356">
        <v>1</v>
      </c>
      <c r="P239" s="1357" t="s">
        <v>19</v>
      </c>
      <c r="Q239" s="1308" t="s">
        <v>22</v>
      </c>
      <c r="R239" s="1308" t="s">
        <v>22</v>
      </c>
      <c r="S239" s="1308" t="s">
        <v>22</v>
      </c>
      <c r="T239" s="1308" t="s">
        <v>22</v>
      </c>
      <c r="U239" s="1308" t="s">
        <v>22</v>
      </c>
      <c r="V239" s="1308" t="s">
        <v>22</v>
      </c>
      <c r="W239" s="1308" t="s">
        <v>22</v>
      </c>
      <c r="X239" s="1308" t="s">
        <v>22</v>
      </c>
      <c r="Y239" s="1308"/>
      <c r="Z239" s="229"/>
      <c r="AA239" s="230"/>
      <c r="AB239" s="230"/>
      <c r="AC239" s="231"/>
      <c r="AD239" s="231"/>
      <c r="AE239" s="245"/>
      <c r="AF239" s="1350"/>
      <c r="AG239" s="1352"/>
      <c r="AH239" s="1352"/>
      <c r="AI239" s="1350"/>
      <c r="AJ239" s="1352"/>
      <c r="AK239" s="1352"/>
      <c r="AL239" s="772"/>
    </row>
    <row r="240" spans="1:38" ht="11.25" customHeight="1">
      <c r="A240" s="1030" t="s">
        <v>1019</v>
      </c>
      <c r="E240" s="557"/>
      <c r="F240" s="1339"/>
      <c r="G240" s="1340"/>
      <c r="H240" s="1335" t="s">
        <v>114</v>
      </c>
      <c r="I240" s="1347"/>
      <c r="J240" s="1360"/>
      <c r="K240" s="1349"/>
      <c r="L240" s="1079"/>
      <c r="M240" s="1080"/>
      <c r="N240" s="1355"/>
      <c r="O240" s="1356"/>
      <c r="P240" s="1358"/>
      <c r="Q240" s="1308"/>
      <c r="R240" s="1308"/>
      <c r="S240" s="1361"/>
      <c r="T240" s="1308"/>
      <c r="U240" s="1308"/>
      <c r="V240" s="1308"/>
      <c r="W240" s="1308"/>
      <c r="X240" s="1308"/>
      <c r="Y240" s="1308"/>
      <c r="AA240" s="778">
        <v>1</v>
      </c>
      <c r="AB240" s="779" t="s">
        <v>1057</v>
      </c>
      <c r="AC240" s="237">
        <v>7913</v>
      </c>
      <c r="AD240" s="779" t="str">
        <f>AB240</f>
        <v xml:space="preserve">  Кредиты</v>
      </c>
      <c r="AE240" s="237">
        <f>AC240</f>
        <v>7913</v>
      </c>
      <c r="AF240" s="1350"/>
      <c r="AG240" s="1352"/>
      <c r="AH240" s="1352"/>
      <c r="AI240" s="1350"/>
      <c r="AJ240" s="1352"/>
      <c r="AK240" s="1352"/>
      <c r="AL240" s="772"/>
    </row>
    <row r="241" spans="1:38" ht="11.25" customHeight="1">
      <c r="A241" s="1030" t="s">
        <v>1019</v>
      </c>
      <c r="E241" s="557"/>
      <c r="F241" s="1339"/>
      <c r="G241" s="1340"/>
      <c r="H241" s="1335" t="s">
        <v>114</v>
      </c>
      <c r="I241" s="1347"/>
      <c r="J241" s="1360"/>
      <c r="K241" s="1349"/>
      <c r="L241" s="1079"/>
      <c r="M241" s="1080"/>
      <c r="N241" s="1355"/>
      <c r="O241" s="1356"/>
      <c r="P241" s="1359"/>
      <c r="Q241" s="1308"/>
      <c r="R241" s="1308"/>
      <c r="S241" s="1361"/>
      <c r="T241" s="1308"/>
      <c r="U241" s="1308"/>
      <c r="V241" s="1308"/>
      <c r="W241" s="1308"/>
      <c r="X241" s="1308"/>
      <c r="Y241" s="1308"/>
      <c r="Z241" s="229"/>
      <c r="AA241" s="230"/>
      <c r="AB241" s="44" t="s">
        <v>1059</v>
      </c>
      <c r="AC241" s="231"/>
      <c r="AD241" s="231"/>
      <c r="AE241" s="246"/>
      <c r="AF241" s="1350"/>
      <c r="AG241" s="1352"/>
      <c r="AH241" s="1352"/>
      <c r="AI241" s="1350"/>
      <c r="AJ241" s="1352"/>
      <c r="AK241" s="1352"/>
      <c r="AL241" s="772"/>
    </row>
    <row r="242" spans="1:38" ht="11.25" customHeight="1">
      <c r="A242" s="1030" t="s">
        <v>1019</v>
      </c>
      <c r="E242" s="557"/>
      <c r="F242" s="1339"/>
      <c r="G242" s="1340"/>
      <c r="H242" s="1335" t="s">
        <v>114</v>
      </c>
      <c r="I242" s="1347"/>
      <c r="J242" s="1360"/>
      <c r="K242" s="1349"/>
      <c r="L242" s="1079"/>
      <c r="M242" s="1080"/>
      <c r="N242" s="229"/>
      <c r="O242" s="230"/>
      <c r="P242" s="44" t="s">
        <v>1060</v>
      </c>
      <c r="Q242" s="230"/>
      <c r="R242" s="230"/>
      <c r="S242" s="230"/>
      <c r="T242" s="230"/>
      <c r="U242" s="230"/>
      <c r="V242" s="230"/>
      <c r="W242" s="230"/>
      <c r="X242" s="230"/>
      <c r="Y242" s="230"/>
      <c r="Z242" s="230"/>
      <c r="AA242" s="230"/>
      <c r="AB242" s="230"/>
      <c r="AC242" s="230"/>
      <c r="AD242" s="230"/>
      <c r="AE242" s="247"/>
      <c r="AF242" s="1350"/>
      <c r="AG242" s="1352"/>
      <c r="AH242" s="1352"/>
      <c r="AI242" s="1350"/>
      <c r="AJ242" s="1352"/>
      <c r="AK242" s="1352"/>
      <c r="AL242" s="772"/>
    </row>
    <row r="243" spans="1:38" ht="11.25" customHeight="1">
      <c r="A243" s="1030" t="s">
        <v>1019</v>
      </c>
      <c r="B243" s="1030" t="s">
        <v>22</v>
      </c>
      <c r="E243" s="557"/>
      <c r="F243" s="1339"/>
      <c r="G243" s="1325" t="s">
        <v>103</v>
      </c>
      <c r="H243" s="1335" t="s">
        <v>89</v>
      </c>
      <c r="I243" s="1347" t="s">
        <v>1071</v>
      </c>
      <c r="J243" s="1360" t="s">
        <v>22</v>
      </c>
      <c r="K243" s="1349" t="s">
        <v>1091</v>
      </c>
      <c r="L243" s="1079" t="s">
        <v>19</v>
      </c>
      <c r="M243" s="1080"/>
      <c r="N243" s="242"/>
      <c r="O243" s="243" t="s">
        <v>384</v>
      </c>
      <c r="P243" s="244"/>
      <c r="Q243" s="244"/>
      <c r="R243" s="244"/>
      <c r="S243" s="244"/>
      <c r="T243" s="244"/>
      <c r="U243" s="244"/>
      <c r="V243" s="244"/>
      <c r="W243" s="244"/>
      <c r="X243" s="244"/>
      <c r="Y243" s="244"/>
      <c r="Z243" s="244"/>
      <c r="AA243" s="244"/>
      <c r="AB243" s="244"/>
      <c r="AC243" s="244"/>
      <c r="AD243" s="244"/>
      <c r="AE243" s="244"/>
      <c r="AF243" s="1350">
        <v>1</v>
      </c>
      <c r="AG243" s="1352" t="s">
        <v>1055</v>
      </c>
      <c r="AH243" s="1352" t="s">
        <v>1073</v>
      </c>
      <c r="AI243" s="1350">
        <v>1</v>
      </c>
      <c r="AJ243" s="1352" t="s">
        <v>1055</v>
      </c>
      <c r="AK243" s="1352" t="s">
        <v>1073</v>
      </c>
      <c r="AL243" s="772"/>
    </row>
    <row r="244" spans="1:38" ht="11.25" customHeight="1">
      <c r="A244" s="1030" t="s">
        <v>1019</v>
      </c>
      <c r="E244" s="557"/>
      <c r="F244" s="1339"/>
      <c r="G244" s="1340"/>
      <c r="H244" s="1335" t="s">
        <v>102</v>
      </c>
      <c r="I244" s="1347"/>
      <c r="J244" s="1360"/>
      <c r="K244" s="1349"/>
      <c r="L244" s="1079"/>
      <c r="M244" s="1080"/>
      <c r="N244" s="1355"/>
      <c r="O244" s="1356">
        <v>1</v>
      </c>
      <c r="P244" s="1357" t="s">
        <v>19</v>
      </c>
      <c r="Q244" s="1308" t="s">
        <v>22</v>
      </c>
      <c r="R244" s="1308" t="s">
        <v>22</v>
      </c>
      <c r="S244" s="1308" t="s">
        <v>22</v>
      </c>
      <c r="T244" s="1308" t="s">
        <v>22</v>
      </c>
      <c r="U244" s="1308" t="s">
        <v>22</v>
      </c>
      <c r="V244" s="1308" t="s">
        <v>22</v>
      </c>
      <c r="W244" s="1308" t="s">
        <v>22</v>
      </c>
      <c r="X244" s="1308" t="s">
        <v>22</v>
      </c>
      <c r="Y244" s="1308"/>
      <c r="Z244" s="229"/>
      <c r="AA244" s="230"/>
      <c r="AB244" s="230"/>
      <c r="AC244" s="231"/>
      <c r="AD244" s="231"/>
      <c r="AE244" s="245"/>
      <c r="AF244" s="1350"/>
      <c r="AG244" s="1352"/>
      <c r="AH244" s="1352"/>
      <c r="AI244" s="1350"/>
      <c r="AJ244" s="1352"/>
      <c r="AK244" s="1352"/>
      <c r="AL244" s="772"/>
    </row>
    <row r="245" spans="1:38" ht="11.25" customHeight="1">
      <c r="A245" s="1030" t="s">
        <v>1019</v>
      </c>
      <c r="E245" s="557"/>
      <c r="F245" s="1339"/>
      <c r="G245" s="1340"/>
      <c r="H245" s="1335" t="s">
        <v>102</v>
      </c>
      <c r="I245" s="1347"/>
      <c r="J245" s="1360"/>
      <c r="K245" s="1349"/>
      <c r="L245" s="1079"/>
      <c r="M245" s="1080"/>
      <c r="N245" s="1355"/>
      <c r="O245" s="1356"/>
      <c r="P245" s="1358"/>
      <c r="Q245" s="1308"/>
      <c r="R245" s="1308"/>
      <c r="S245" s="1361"/>
      <c r="T245" s="1308"/>
      <c r="U245" s="1308"/>
      <c r="V245" s="1308"/>
      <c r="W245" s="1308"/>
      <c r="X245" s="1308"/>
      <c r="Y245" s="1308"/>
      <c r="AA245" s="778">
        <v>1</v>
      </c>
      <c r="AB245" s="779" t="s">
        <v>1057</v>
      </c>
      <c r="AC245" s="237">
        <v>7438</v>
      </c>
      <c r="AD245" s="779" t="str">
        <f>AB245</f>
        <v xml:space="preserve">  Кредиты</v>
      </c>
      <c r="AE245" s="237">
        <f>AC245</f>
        <v>7438</v>
      </c>
      <c r="AF245" s="1350"/>
      <c r="AG245" s="1352"/>
      <c r="AH245" s="1352"/>
      <c r="AI245" s="1350"/>
      <c r="AJ245" s="1352"/>
      <c r="AK245" s="1352"/>
      <c r="AL245" s="772"/>
    </row>
    <row r="246" spans="1:38" ht="11.25" customHeight="1">
      <c r="A246" s="1030" t="s">
        <v>1019</v>
      </c>
      <c r="E246" s="557"/>
      <c r="F246" s="1339"/>
      <c r="G246" s="1340"/>
      <c r="H246" s="1335" t="s">
        <v>102</v>
      </c>
      <c r="I246" s="1347"/>
      <c r="J246" s="1360"/>
      <c r="K246" s="1349"/>
      <c r="L246" s="1079"/>
      <c r="M246" s="1080"/>
      <c r="N246" s="1355"/>
      <c r="O246" s="1356"/>
      <c r="P246" s="1359"/>
      <c r="Q246" s="1308"/>
      <c r="R246" s="1308"/>
      <c r="S246" s="1361"/>
      <c r="T246" s="1308"/>
      <c r="U246" s="1308"/>
      <c r="V246" s="1308"/>
      <c r="W246" s="1308"/>
      <c r="X246" s="1308"/>
      <c r="Y246" s="1308"/>
      <c r="Z246" s="229"/>
      <c r="AA246" s="230"/>
      <c r="AB246" s="44" t="s">
        <v>1059</v>
      </c>
      <c r="AC246" s="231"/>
      <c r="AD246" s="231"/>
      <c r="AE246" s="246"/>
      <c r="AF246" s="1350"/>
      <c r="AG246" s="1352"/>
      <c r="AH246" s="1352"/>
      <c r="AI246" s="1350"/>
      <c r="AJ246" s="1352"/>
      <c r="AK246" s="1352"/>
      <c r="AL246" s="772"/>
    </row>
    <row r="247" spans="1:38" ht="11.25" customHeight="1">
      <c r="A247" s="1030" t="s">
        <v>1019</v>
      </c>
      <c r="E247" s="557"/>
      <c r="F247" s="1339"/>
      <c r="G247" s="1340"/>
      <c r="H247" s="1335" t="s">
        <v>102</v>
      </c>
      <c r="I247" s="1347"/>
      <c r="J247" s="1360"/>
      <c r="K247" s="1349"/>
      <c r="L247" s="1079"/>
      <c r="M247" s="1080"/>
      <c r="N247" s="229"/>
      <c r="O247" s="230"/>
      <c r="P247" s="44" t="s">
        <v>1060</v>
      </c>
      <c r="Q247" s="230"/>
      <c r="R247" s="230"/>
      <c r="S247" s="230"/>
      <c r="T247" s="230"/>
      <c r="U247" s="230"/>
      <c r="V247" s="230"/>
      <c r="W247" s="230"/>
      <c r="X247" s="230"/>
      <c r="Y247" s="230"/>
      <c r="Z247" s="230"/>
      <c r="AA247" s="230"/>
      <c r="AB247" s="230"/>
      <c r="AC247" s="230"/>
      <c r="AD247" s="230"/>
      <c r="AE247" s="247"/>
      <c r="AF247" s="1350"/>
      <c r="AG247" s="1352"/>
      <c r="AH247" s="1352"/>
      <c r="AI247" s="1350"/>
      <c r="AJ247" s="1352"/>
      <c r="AK247" s="1352"/>
      <c r="AL247" s="772"/>
    </row>
    <row r="248" spans="1:38" ht="11.25" customHeight="1">
      <c r="A248" s="1030" t="s">
        <v>1019</v>
      </c>
      <c r="B248" s="1030" t="s">
        <v>22</v>
      </c>
      <c r="E248" s="557"/>
      <c r="F248" s="1339"/>
      <c r="G248" s="1325" t="s">
        <v>103</v>
      </c>
      <c r="H248" s="1335" t="s">
        <v>90</v>
      </c>
      <c r="I248" s="1347" t="s">
        <v>1071</v>
      </c>
      <c r="J248" s="1360" t="s">
        <v>22</v>
      </c>
      <c r="K248" s="1349" t="s">
        <v>1104</v>
      </c>
      <c r="L248" s="1079" t="s">
        <v>61</v>
      </c>
      <c r="M248" s="1364" t="s">
        <v>1018</v>
      </c>
      <c r="N248" s="242"/>
      <c r="O248" s="243" t="s">
        <v>384</v>
      </c>
      <c r="P248" s="244"/>
      <c r="Q248" s="244"/>
      <c r="R248" s="244"/>
      <c r="S248" s="244"/>
      <c r="T248" s="244"/>
      <c r="U248" s="244"/>
      <c r="V248" s="244"/>
      <c r="W248" s="244"/>
      <c r="X248" s="244"/>
      <c r="Y248" s="244"/>
      <c r="Z248" s="244"/>
      <c r="AA248" s="244"/>
      <c r="AB248" s="244"/>
      <c r="AC248" s="244"/>
      <c r="AD248" s="244"/>
      <c r="AE248" s="244"/>
      <c r="AF248" s="1350">
        <v>8</v>
      </c>
      <c r="AG248" s="1352" t="s">
        <v>1055</v>
      </c>
      <c r="AH248" s="1352" t="s">
        <v>1105</v>
      </c>
      <c r="AI248" s="1350">
        <v>8</v>
      </c>
      <c r="AJ248" s="1352" t="s">
        <v>1055</v>
      </c>
      <c r="AK248" s="1352" t="s">
        <v>1105</v>
      </c>
      <c r="AL248" s="772"/>
    </row>
    <row r="249" spans="1:38" ht="11.25" customHeight="1">
      <c r="A249" s="1030" t="s">
        <v>1019</v>
      </c>
      <c r="E249" s="557"/>
      <c r="F249" s="1339"/>
      <c r="G249" s="1340"/>
      <c r="H249" s="1335" t="s">
        <v>89</v>
      </c>
      <c r="I249" s="1347"/>
      <c r="J249" s="1360"/>
      <c r="K249" s="1349"/>
      <c r="L249" s="1079"/>
      <c r="M249" s="1364"/>
      <c r="N249" s="1355"/>
      <c r="O249" s="1356">
        <v>1</v>
      </c>
      <c r="P249" s="1357" t="s">
        <v>61</v>
      </c>
      <c r="Q249" s="1348" t="s">
        <v>1074</v>
      </c>
      <c r="R249" s="1362" t="s">
        <v>1075</v>
      </c>
      <c r="S249" s="1362" t="s">
        <v>99</v>
      </c>
      <c r="T249" s="1362" t="s">
        <v>99</v>
      </c>
      <c r="U249" s="1362" t="s">
        <v>100</v>
      </c>
      <c r="V249" s="1362" t="s">
        <v>1066</v>
      </c>
      <c r="W249" s="1362" t="s">
        <v>1067</v>
      </c>
      <c r="X249" s="1362" t="s">
        <v>1076</v>
      </c>
      <c r="Y249" s="1362" t="s">
        <v>1077</v>
      </c>
      <c r="Z249" s="229"/>
      <c r="AA249" s="230"/>
      <c r="AB249" s="230"/>
      <c r="AC249" s="231"/>
      <c r="AD249" s="231"/>
      <c r="AE249" s="245"/>
      <c r="AF249" s="1350"/>
      <c r="AG249" s="1352"/>
      <c r="AH249" s="1352"/>
      <c r="AI249" s="1350"/>
      <c r="AJ249" s="1352"/>
      <c r="AK249" s="1352"/>
      <c r="AL249" s="772"/>
    </row>
    <row r="250" spans="1:38" ht="11.25" customHeight="1">
      <c r="A250" s="1030" t="s">
        <v>1019</v>
      </c>
      <c r="E250" s="557"/>
      <c r="F250" s="1339"/>
      <c r="G250" s="1340"/>
      <c r="H250" s="1335" t="s">
        <v>89</v>
      </c>
      <c r="I250" s="1347"/>
      <c r="J250" s="1360"/>
      <c r="K250" s="1349"/>
      <c r="L250" s="1079"/>
      <c r="M250" s="1364"/>
      <c r="N250" s="1355"/>
      <c r="O250" s="1356"/>
      <c r="P250" s="1358"/>
      <c r="Q250" s="1348"/>
      <c r="R250" s="1308"/>
      <c r="S250" s="1361"/>
      <c r="T250" s="1308"/>
      <c r="U250" s="1308"/>
      <c r="V250" s="1308"/>
      <c r="W250" s="1308"/>
      <c r="X250" s="1308"/>
      <c r="Y250" s="1308"/>
      <c r="AA250" s="778">
        <v>1</v>
      </c>
      <c r="AB250" s="779" t="s">
        <v>1057</v>
      </c>
      <c r="AC250" s="237">
        <v>2463</v>
      </c>
      <c r="AD250" s="779" t="str">
        <f>AB250</f>
        <v xml:space="preserve">  Кредиты</v>
      </c>
      <c r="AE250" s="237">
        <f>AC250</f>
        <v>2463</v>
      </c>
      <c r="AF250" s="1350"/>
      <c r="AG250" s="1352"/>
      <c r="AH250" s="1352"/>
      <c r="AI250" s="1350"/>
      <c r="AJ250" s="1352"/>
      <c r="AK250" s="1352"/>
      <c r="AL250" s="772"/>
    </row>
    <row r="251" spans="1:38" ht="11.25" customHeight="1">
      <c r="A251" s="1030" t="s">
        <v>1019</v>
      </c>
      <c r="E251" s="557"/>
      <c r="F251" s="1339"/>
      <c r="G251" s="1340"/>
      <c r="H251" s="1335" t="s">
        <v>89</v>
      </c>
      <c r="I251" s="1347"/>
      <c r="J251" s="1360"/>
      <c r="K251" s="1349"/>
      <c r="L251" s="1079"/>
      <c r="M251" s="1364"/>
      <c r="N251" s="1355"/>
      <c r="O251" s="1356"/>
      <c r="P251" s="1359"/>
      <c r="Q251" s="1348"/>
      <c r="R251" s="1308"/>
      <c r="S251" s="1361"/>
      <c r="T251" s="1308"/>
      <c r="U251" s="1308"/>
      <c r="V251" s="1308"/>
      <c r="W251" s="1308"/>
      <c r="X251" s="1308"/>
      <c r="Y251" s="1308"/>
      <c r="Z251" s="229"/>
      <c r="AA251" s="230"/>
      <c r="AB251" s="44" t="s">
        <v>1059</v>
      </c>
      <c r="AC251" s="231"/>
      <c r="AD251" s="231"/>
      <c r="AE251" s="246"/>
      <c r="AF251" s="1350"/>
      <c r="AG251" s="1352"/>
      <c r="AH251" s="1352"/>
      <c r="AI251" s="1350"/>
      <c r="AJ251" s="1352"/>
      <c r="AK251" s="1352"/>
      <c r="AL251" s="772"/>
    </row>
    <row r="252" spans="1:38" ht="11.25" customHeight="1">
      <c r="A252" s="1030" t="s">
        <v>1019</v>
      </c>
      <c r="E252" s="557"/>
      <c r="F252" s="1339"/>
      <c r="G252" s="1340"/>
      <c r="H252" s="1335" t="s">
        <v>89</v>
      </c>
      <c r="I252" s="1347"/>
      <c r="J252" s="1360"/>
      <c r="K252" s="1349"/>
      <c r="L252" s="1079"/>
      <c r="M252" s="1364"/>
      <c r="N252" s="229"/>
      <c r="O252" s="230"/>
      <c r="P252" s="44" t="s">
        <v>1060</v>
      </c>
      <c r="Q252" s="230"/>
      <c r="R252" s="230"/>
      <c r="S252" s="230"/>
      <c r="T252" s="230"/>
      <c r="U252" s="230"/>
      <c r="V252" s="230"/>
      <c r="W252" s="230"/>
      <c r="X252" s="230"/>
      <c r="Y252" s="230"/>
      <c r="Z252" s="230"/>
      <c r="AA252" s="230"/>
      <c r="AB252" s="230"/>
      <c r="AC252" s="230"/>
      <c r="AD252" s="230"/>
      <c r="AE252" s="247"/>
      <c r="AF252" s="1350"/>
      <c r="AG252" s="1352"/>
      <c r="AH252" s="1352"/>
      <c r="AI252" s="1350"/>
      <c r="AJ252" s="1352"/>
      <c r="AK252" s="1352"/>
      <c r="AL252" s="772"/>
    </row>
    <row r="253" spans="1:38" ht="11.25" customHeight="1">
      <c r="A253" s="1030" t="s">
        <v>1019</v>
      </c>
      <c r="B253" s="1030" t="s">
        <v>22</v>
      </c>
      <c r="E253" s="557"/>
      <c r="F253" s="1339"/>
      <c r="G253" s="1325" t="s">
        <v>103</v>
      </c>
      <c r="H253" s="1335" t="s">
        <v>115</v>
      </c>
      <c r="I253" s="1347" t="s">
        <v>1071</v>
      </c>
      <c r="J253" s="1360" t="s">
        <v>22</v>
      </c>
      <c r="K253" s="1349" t="s">
        <v>1072</v>
      </c>
      <c r="L253" s="1079" t="s">
        <v>19</v>
      </c>
      <c r="M253" s="1080"/>
      <c r="N253" s="242"/>
      <c r="O253" s="243" t="s">
        <v>384</v>
      </c>
      <c r="P253" s="244"/>
      <c r="Q253" s="244"/>
      <c r="R253" s="244"/>
      <c r="S253" s="244"/>
      <c r="T253" s="244"/>
      <c r="U253" s="244"/>
      <c r="V253" s="244"/>
      <c r="W253" s="244"/>
      <c r="X253" s="244"/>
      <c r="Y253" s="244"/>
      <c r="Z253" s="244"/>
      <c r="AA253" s="244"/>
      <c r="AB253" s="244"/>
      <c r="AC253" s="244"/>
      <c r="AD253" s="244"/>
      <c r="AE253" s="244"/>
      <c r="AF253" s="1350">
        <v>1</v>
      </c>
      <c r="AG253" s="1352" t="s">
        <v>1055</v>
      </c>
      <c r="AH253" s="1352" t="s">
        <v>1073</v>
      </c>
      <c r="AI253" s="1350">
        <v>1</v>
      </c>
      <c r="AJ253" s="1352" t="s">
        <v>1055</v>
      </c>
      <c r="AK253" s="1352" t="s">
        <v>1073</v>
      </c>
      <c r="AL253" s="772"/>
    </row>
    <row r="254" spans="1:38" ht="11.25" customHeight="1">
      <c r="A254" s="1030" t="s">
        <v>1019</v>
      </c>
      <c r="E254" s="557"/>
      <c r="F254" s="1339"/>
      <c r="G254" s="1340"/>
      <c r="H254" s="1335" t="s">
        <v>90</v>
      </c>
      <c r="I254" s="1347"/>
      <c r="J254" s="1360"/>
      <c r="K254" s="1349"/>
      <c r="L254" s="1079"/>
      <c r="M254" s="1080"/>
      <c r="N254" s="1355"/>
      <c r="O254" s="1356">
        <v>1</v>
      </c>
      <c r="P254" s="1357" t="s">
        <v>61</v>
      </c>
      <c r="Q254" s="1348" t="s">
        <v>1074</v>
      </c>
      <c r="R254" s="1362" t="s">
        <v>1075</v>
      </c>
      <c r="S254" s="1362" t="s">
        <v>99</v>
      </c>
      <c r="T254" s="1362" t="s">
        <v>99</v>
      </c>
      <c r="U254" s="1362" t="s">
        <v>100</v>
      </c>
      <c r="V254" s="1362" t="s">
        <v>1066</v>
      </c>
      <c r="W254" s="1362" t="s">
        <v>1067</v>
      </c>
      <c r="X254" s="1362" t="s">
        <v>1076</v>
      </c>
      <c r="Y254" s="1362" t="s">
        <v>1077</v>
      </c>
      <c r="Z254" s="229"/>
      <c r="AA254" s="230"/>
      <c r="AB254" s="230"/>
      <c r="AC254" s="231"/>
      <c r="AD254" s="231"/>
      <c r="AE254" s="245"/>
      <c r="AF254" s="1350"/>
      <c r="AG254" s="1352"/>
      <c r="AH254" s="1352"/>
      <c r="AI254" s="1350"/>
      <c r="AJ254" s="1352"/>
      <c r="AK254" s="1352"/>
      <c r="AL254" s="772"/>
    </row>
    <row r="255" spans="1:38" ht="11.25" customHeight="1">
      <c r="A255" s="1030" t="s">
        <v>1019</v>
      </c>
      <c r="E255" s="557"/>
      <c r="F255" s="1339"/>
      <c r="G255" s="1340"/>
      <c r="H255" s="1335" t="s">
        <v>90</v>
      </c>
      <c r="I255" s="1347"/>
      <c r="J255" s="1360"/>
      <c r="K255" s="1349"/>
      <c r="L255" s="1079"/>
      <c r="M255" s="1080"/>
      <c r="N255" s="1355"/>
      <c r="O255" s="1356"/>
      <c r="P255" s="1358"/>
      <c r="Q255" s="1348"/>
      <c r="R255" s="1308"/>
      <c r="S255" s="1361"/>
      <c r="T255" s="1308"/>
      <c r="U255" s="1308"/>
      <c r="V255" s="1308"/>
      <c r="W255" s="1308"/>
      <c r="X255" s="1308"/>
      <c r="Y255" s="1308"/>
      <c r="AA255" s="778">
        <v>1</v>
      </c>
      <c r="AB255" s="779" t="s">
        <v>1057</v>
      </c>
      <c r="AC255" s="237">
        <v>145974</v>
      </c>
      <c r="AD255" s="779" t="str">
        <f>AB255</f>
        <v xml:space="preserve">  Кредиты</v>
      </c>
      <c r="AE255" s="237">
        <f>AC255</f>
        <v>145974</v>
      </c>
      <c r="AF255" s="1350"/>
      <c r="AG255" s="1352"/>
      <c r="AH255" s="1352"/>
      <c r="AI255" s="1350"/>
      <c r="AJ255" s="1352"/>
      <c r="AK255" s="1352"/>
      <c r="AL255" s="772"/>
    </row>
    <row r="256" spans="1:38" ht="11.25" customHeight="1">
      <c r="A256" s="1030" t="s">
        <v>1019</v>
      </c>
      <c r="E256" s="557"/>
      <c r="F256" s="1339"/>
      <c r="G256" s="1340"/>
      <c r="H256" s="1335" t="s">
        <v>90</v>
      </c>
      <c r="I256" s="1347"/>
      <c r="J256" s="1360"/>
      <c r="K256" s="1349"/>
      <c r="L256" s="1079"/>
      <c r="M256" s="1080"/>
      <c r="N256" s="1355"/>
      <c r="O256" s="1356"/>
      <c r="P256" s="1359"/>
      <c r="Q256" s="1348"/>
      <c r="R256" s="1308"/>
      <c r="S256" s="1361"/>
      <c r="T256" s="1308"/>
      <c r="U256" s="1308"/>
      <c r="V256" s="1308"/>
      <c r="W256" s="1308"/>
      <c r="X256" s="1308"/>
      <c r="Y256" s="1308"/>
      <c r="Z256" s="229"/>
      <c r="AA256" s="230"/>
      <c r="AB256" s="44" t="s">
        <v>1059</v>
      </c>
      <c r="AC256" s="231"/>
      <c r="AD256" s="231"/>
      <c r="AE256" s="246"/>
      <c r="AF256" s="1350"/>
      <c r="AG256" s="1352"/>
      <c r="AH256" s="1352"/>
      <c r="AI256" s="1350"/>
      <c r="AJ256" s="1352"/>
      <c r="AK256" s="1352"/>
      <c r="AL256" s="772"/>
    </row>
    <row r="257" spans="1:38" ht="11.25" customHeight="1">
      <c r="A257" s="1030" t="s">
        <v>1019</v>
      </c>
      <c r="E257" s="557"/>
      <c r="F257" s="1339"/>
      <c r="G257" s="1340"/>
      <c r="H257" s="1335" t="s">
        <v>90</v>
      </c>
      <c r="I257" s="1347"/>
      <c r="J257" s="1360"/>
      <c r="K257" s="1349"/>
      <c r="L257" s="1079"/>
      <c r="M257" s="1080"/>
      <c r="N257" s="229"/>
      <c r="O257" s="230"/>
      <c r="P257" s="44" t="s">
        <v>1060</v>
      </c>
      <c r="Q257" s="230"/>
      <c r="R257" s="230"/>
      <c r="S257" s="230"/>
      <c r="T257" s="230"/>
      <c r="U257" s="230"/>
      <c r="V257" s="230"/>
      <c r="W257" s="230"/>
      <c r="X257" s="230"/>
      <c r="Y257" s="230"/>
      <c r="Z257" s="230"/>
      <c r="AA257" s="230"/>
      <c r="AB257" s="230"/>
      <c r="AC257" s="230"/>
      <c r="AD257" s="230"/>
      <c r="AE257" s="247"/>
      <c r="AF257" s="1350"/>
      <c r="AG257" s="1352"/>
      <c r="AH257" s="1352"/>
      <c r="AI257" s="1350"/>
      <c r="AJ257" s="1352"/>
      <c r="AK257" s="1352"/>
      <c r="AL257" s="772"/>
    </row>
    <row r="258" spans="1:38" ht="11.25" customHeight="1">
      <c r="A258" s="1030" t="s">
        <v>1019</v>
      </c>
      <c r="B258" s="1030" t="s">
        <v>22</v>
      </c>
      <c r="E258" s="557"/>
      <c r="F258" s="1339"/>
      <c r="G258" s="1325" t="s">
        <v>103</v>
      </c>
      <c r="H258" s="1335" t="s">
        <v>91</v>
      </c>
      <c r="I258" s="1347" t="s">
        <v>1071</v>
      </c>
      <c r="J258" s="1360" t="s">
        <v>22</v>
      </c>
      <c r="K258" s="1349" t="s">
        <v>1098</v>
      </c>
      <c r="L258" s="1079" t="s">
        <v>19</v>
      </c>
      <c r="M258" s="1080"/>
      <c r="N258" s="242"/>
      <c r="O258" s="243" t="s">
        <v>384</v>
      </c>
      <c r="P258" s="244"/>
      <c r="Q258" s="244"/>
      <c r="R258" s="244"/>
      <c r="S258" s="244"/>
      <c r="T258" s="244"/>
      <c r="U258" s="244"/>
      <c r="V258" s="244"/>
      <c r="W258" s="244"/>
      <c r="X258" s="244"/>
      <c r="Y258" s="244"/>
      <c r="Z258" s="244"/>
      <c r="AA258" s="244"/>
      <c r="AB258" s="244"/>
      <c r="AC258" s="244"/>
      <c r="AD258" s="244"/>
      <c r="AE258" s="244"/>
      <c r="AF258" s="1350">
        <v>1</v>
      </c>
      <c r="AG258" s="1352" t="s">
        <v>1055</v>
      </c>
      <c r="AH258" s="1352" t="s">
        <v>1073</v>
      </c>
      <c r="AI258" s="1350">
        <v>1</v>
      </c>
      <c r="AJ258" s="1352" t="s">
        <v>1055</v>
      </c>
      <c r="AK258" s="1352" t="s">
        <v>1073</v>
      </c>
      <c r="AL258" s="772"/>
    </row>
    <row r="259" spans="1:38" ht="11.25" customHeight="1">
      <c r="A259" s="1030" t="s">
        <v>1019</v>
      </c>
      <c r="E259" s="557"/>
      <c r="F259" s="1339"/>
      <c r="G259" s="1340"/>
      <c r="H259" s="1335" t="s">
        <v>115</v>
      </c>
      <c r="I259" s="1347"/>
      <c r="J259" s="1360"/>
      <c r="K259" s="1349"/>
      <c r="L259" s="1079"/>
      <c r="M259" s="1080"/>
      <c r="N259" s="1355"/>
      <c r="O259" s="1356">
        <v>1</v>
      </c>
      <c r="P259" s="1357" t="s">
        <v>61</v>
      </c>
      <c r="Q259" s="1348" t="s">
        <v>1074</v>
      </c>
      <c r="R259" s="1362" t="s">
        <v>1075</v>
      </c>
      <c r="S259" s="1362" t="s">
        <v>99</v>
      </c>
      <c r="T259" s="1362" t="s">
        <v>99</v>
      </c>
      <c r="U259" s="1362" t="s">
        <v>100</v>
      </c>
      <c r="V259" s="1362" t="s">
        <v>1066</v>
      </c>
      <c r="W259" s="1362" t="s">
        <v>1067</v>
      </c>
      <c r="X259" s="1362" t="s">
        <v>1076</v>
      </c>
      <c r="Y259" s="1362" t="s">
        <v>1077</v>
      </c>
      <c r="Z259" s="229"/>
      <c r="AA259" s="230"/>
      <c r="AB259" s="230"/>
      <c r="AC259" s="231"/>
      <c r="AD259" s="231"/>
      <c r="AE259" s="245"/>
      <c r="AF259" s="1350"/>
      <c r="AG259" s="1352"/>
      <c r="AH259" s="1352"/>
      <c r="AI259" s="1350"/>
      <c r="AJ259" s="1352"/>
      <c r="AK259" s="1352"/>
      <c r="AL259" s="772"/>
    </row>
    <row r="260" spans="1:38" ht="11.25" customHeight="1">
      <c r="A260" s="1030" t="s">
        <v>1019</v>
      </c>
      <c r="E260" s="557"/>
      <c r="F260" s="1339"/>
      <c r="G260" s="1340"/>
      <c r="H260" s="1335" t="s">
        <v>115</v>
      </c>
      <c r="I260" s="1347"/>
      <c r="J260" s="1360"/>
      <c r="K260" s="1349"/>
      <c r="L260" s="1079"/>
      <c r="M260" s="1080"/>
      <c r="N260" s="1355"/>
      <c r="O260" s="1356"/>
      <c r="P260" s="1358"/>
      <c r="Q260" s="1348"/>
      <c r="R260" s="1308"/>
      <c r="S260" s="1361"/>
      <c r="T260" s="1308"/>
      <c r="U260" s="1308"/>
      <c r="V260" s="1308"/>
      <c r="W260" s="1308"/>
      <c r="X260" s="1308"/>
      <c r="Y260" s="1308"/>
      <c r="AA260" s="778">
        <v>1</v>
      </c>
      <c r="AB260" s="779" t="s">
        <v>1057</v>
      </c>
      <c r="AC260" s="237">
        <v>9305</v>
      </c>
      <c r="AD260" s="779" t="str">
        <f>AB260</f>
        <v xml:space="preserve">  Кредиты</v>
      </c>
      <c r="AE260" s="237">
        <f>AC260</f>
        <v>9305</v>
      </c>
      <c r="AF260" s="1350"/>
      <c r="AG260" s="1352"/>
      <c r="AH260" s="1352"/>
      <c r="AI260" s="1350"/>
      <c r="AJ260" s="1352"/>
      <c r="AK260" s="1352"/>
      <c r="AL260" s="772"/>
    </row>
    <row r="261" spans="1:38" ht="11.25" customHeight="1">
      <c r="A261" s="1030" t="s">
        <v>1019</v>
      </c>
      <c r="E261" s="557"/>
      <c r="F261" s="1339"/>
      <c r="G261" s="1340"/>
      <c r="H261" s="1335" t="s">
        <v>115</v>
      </c>
      <c r="I261" s="1347"/>
      <c r="J261" s="1360"/>
      <c r="K261" s="1349"/>
      <c r="L261" s="1079"/>
      <c r="M261" s="1080"/>
      <c r="N261" s="1355"/>
      <c r="O261" s="1356"/>
      <c r="P261" s="1359"/>
      <c r="Q261" s="1348"/>
      <c r="R261" s="1308"/>
      <c r="S261" s="1361"/>
      <c r="T261" s="1308"/>
      <c r="U261" s="1308"/>
      <c r="V261" s="1308"/>
      <c r="W261" s="1308"/>
      <c r="X261" s="1308"/>
      <c r="Y261" s="1308"/>
      <c r="Z261" s="229"/>
      <c r="AA261" s="230"/>
      <c r="AB261" s="44" t="s">
        <v>1059</v>
      </c>
      <c r="AC261" s="231"/>
      <c r="AD261" s="231"/>
      <c r="AE261" s="246"/>
      <c r="AF261" s="1350"/>
      <c r="AG261" s="1352"/>
      <c r="AH261" s="1352"/>
      <c r="AI261" s="1350"/>
      <c r="AJ261" s="1352"/>
      <c r="AK261" s="1352"/>
      <c r="AL261" s="772"/>
    </row>
    <row r="262" spans="1:38" ht="11.25" customHeight="1">
      <c r="A262" s="1030" t="s">
        <v>1019</v>
      </c>
      <c r="E262" s="557"/>
      <c r="F262" s="1339"/>
      <c r="G262" s="1340"/>
      <c r="H262" s="1335" t="s">
        <v>115</v>
      </c>
      <c r="I262" s="1347"/>
      <c r="J262" s="1360"/>
      <c r="K262" s="1349"/>
      <c r="L262" s="1079"/>
      <c r="M262" s="1080"/>
      <c r="N262" s="229"/>
      <c r="O262" s="230"/>
      <c r="P262" s="44" t="s">
        <v>1060</v>
      </c>
      <c r="Q262" s="230"/>
      <c r="R262" s="230"/>
      <c r="S262" s="230"/>
      <c r="T262" s="230"/>
      <c r="U262" s="230"/>
      <c r="V262" s="230"/>
      <c r="W262" s="230"/>
      <c r="X262" s="230"/>
      <c r="Y262" s="230"/>
      <c r="Z262" s="230"/>
      <c r="AA262" s="230"/>
      <c r="AB262" s="230"/>
      <c r="AC262" s="230"/>
      <c r="AD262" s="230"/>
      <c r="AE262" s="247"/>
      <c r="AF262" s="1350"/>
      <c r="AG262" s="1352"/>
      <c r="AH262" s="1352"/>
      <c r="AI262" s="1350"/>
      <c r="AJ262" s="1352"/>
      <c r="AK262" s="1352"/>
      <c r="AL262" s="772"/>
    </row>
    <row r="263" spans="1:38" ht="11.25" customHeight="1">
      <c r="A263" s="1030" t="s">
        <v>1019</v>
      </c>
      <c r="B263" s="1030" t="s">
        <v>22</v>
      </c>
      <c r="E263" s="557"/>
      <c r="F263" s="1339"/>
      <c r="G263" s="1325" t="s">
        <v>103</v>
      </c>
      <c r="H263" s="1335" t="s">
        <v>92</v>
      </c>
      <c r="I263" s="1347" t="s">
        <v>1071</v>
      </c>
      <c r="J263" s="1360" t="s">
        <v>22</v>
      </c>
      <c r="K263" s="1349" t="s">
        <v>1099</v>
      </c>
      <c r="L263" s="1079" t="s">
        <v>61</v>
      </c>
      <c r="M263" s="1364" t="s">
        <v>1018</v>
      </c>
      <c r="N263" s="242"/>
      <c r="O263" s="243" t="s">
        <v>384</v>
      </c>
      <c r="P263" s="244"/>
      <c r="Q263" s="244"/>
      <c r="R263" s="244"/>
      <c r="S263" s="244"/>
      <c r="T263" s="244"/>
      <c r="U263" s="244"/>
      <c r="V263" s="244"/>
      <c r="W263" s="244"/>
      <c r="X263" s="244"/>
      <c r="Y263" s="244"/>
      <c r="Z263" s="244"/>
      <c r="AA263" s="244"/>
      <c r="AB263" s="244"/>
      <c r="AC263" s="244"/>
      <c r="AD263" s="244"/>
      <c r="AE263" s="244"/>
      <c r="AF263" s="1350">
        <v>6</v>
      </c>
      <c r="AG263" s="1352" t="s">
        <v>1055</v>
      </c>
      <c r="AH263" s="1352" t="s">
        <v>1079</v>
      </c>
      <c r="AI263" s="1350">
        <v>6</v>
      </c>
      <c r="AJ263" s="1352" t="s">
        <v>1055</v>
      </c>
      <c r="AK263" s="1352" t="s">
        <v>1079</v>
      </c>
      <c r="AL263" s="772"/>
    </row>
    <row r="264" spans="1:38" ht="11.25" customHeight="1">
      <c r="A264" s="1030" t="s">
        <v>1019</v>
      </c>
      <c r="E264" s="557"/>
      <c r="F264" s="1339"/>
      <c r="G264" s="1340"/>
      <c r="H264" s="1335" t="s">
        <v>91</v>
      </c>
      <c r="I264" s="1347"/>
      <c r="J264" s="1360"/>
      <c r="K264" s="1349"/>
      <c r="L264" s="1079"/>
      <c r="M264" s="1364"/>
      <c r="N264" s="1355"/>
      <c r="O264" s="1356">
        <v>1</v>
      </c>
      <c r="P264" s="1357" t="s">
        <v>61</v>
      </c>
      <c r="Q264" s="1348" t="s">
        <v>1074</v>
      </c>
      <c r="R264" s="1362" t="s">
        <v>1075</v>
      </c>
      <c r="S264" s="1362" t="s">
        <v>99</v>
      </c>
      <c r="T264" s="1362" t="s">
        <v>99</v>
      </c>
      <c r="U264" s="1362" t="s">
        <v>100</v>
      </c>
      <c r="V264" s="1362" t="s">
        <v>1066</v>
      </c>
      <c r="W264" s="1362" t="s">
        <v>1067</v>
      </c>
      <c r="X264" s="1362" t="s">
        <v>1076</v>
      </c>
      <c r="Y264" s="1362" t="s">
        <v>1077</v>
      </c>
      <c r="Z264" s="229"/>
      <c r="AA264" s="230"/>
      <c r="AB264" s="230"/>
      <c r="AC264" s="231"/>
      <c r="AD264" s="231"/>
      <c r="AE264" s="245"/>
      <c r="AF264" s="1350"/>
      <c r="AG264" s="1352"/>
      <c r="AH264" s="1352"/>
      <c r="AI264" s="1350"/>
      <c r="AJ264" s="1352"/>
      <c r="AK264" s="1352"/>
      <c r="AL264" s="772"/>
    </row>
    <row r="265" spans="1:38" ht="11.25" customHeight="1">
      <c r="A265" s="1030" t="s">
        <v>1019</v>
      </c>
      <c r="E265" s="557"/>
      <c r="F265" s="1339"/>
      <c r="G265" s="1340"/>
      <c r="H265" s="1335" t="s">
        <v>91</v>
      </c>
      <c r="I265" s="1347"/>
      <c r="J265" s="1360"/>
      <c r="K265" s="1349"/>
      <c r="L265" s="1079"/>
      <c r="M265" s="1364"/>
      <c r="N265" s="1355"/>
      <c r="O265" s="1356"/>
      <c r="P265" s="1358"/>
      <c r="Q265" s="1348"/>
      <c r="R265" s="1308"/>
      <c r="S265" s="1361"/>
      <c r="T265" s="1308"/>
      <c r="U265" s="1308"/>
      <c r="V265" s="1308"/>
      <c r="W265" s="1308"/>
      <c r="X265" s="1308"/>
      <c r="Y265" s="1308"/>
      <c r="AA265" s="778">
        <v>1</v>
      </c>
      <c r="AB265" s="779" t="s">
        <v>1057</v>
      </c>
      <c r="AC265" s="237">
        <v>37261</v>
      </c>
      <c r="AD265" s="779" t="str">
        <f>AB265</f>
        <v xml:space="preserve">  Кредиты</v>
      </c>
      <c r="AE265" s="237">
        <f>AC265</f>
        <v>37261</v>
      </c>
      <c r="AF265" s="1350"/>
      <c r="AG265" s="1352"/>
      <c r="AH265" s="1352"/>
      <c r="AI265" s="1350"/>
      <c r="AJ265" s="1352"/>
      <c r="AK265" s="1352"/>
      <c r="AL265" s="772"/>
    </row>
    <row r="266" spans="1:38" ht="11.25" customHeight="1">
      <c r="A266" s="1030" t="s">
        <v>1019</v>
      </c>
      <c r="E266" s="557"/>
      <c r="F266" s="1339"/>
      <c r="G266" s="1340"/>
      <c r="H266" s="1335" t="s">
        <v>91</v>
      </c>
      <c r="I266" s="1347"/>
      <c r="J266" s="1360"/>
      <c r="K266" s="1349"/>
      <c r="L266" s="1079"/>
      <c r="M266" s="1364"/>
      <c r="N266" s="1355"/>
      <c r="O266" s="1356"/>
      <c r="P266" s="1359"/>
      <c r="Q266" s="1348"/>
      <c r="R266" s="1308"/>
      <c r="S266" s="1361"/>
      <c r="T266" s="1308"/>
      <c r="U266" s="1308"/>
      <c r="V266" s="1308"/>
      <c r="W266" s="1308"/>
      <c r="X266" s="1308"/>
      <c r="Y266" s="1308"/>
      <c r="Z266" s="229"/>
      <c r="AA266" s="230"/>
      <c r="AB266" s="44" t="s">
        <v>1059</v>
      </c>
      <c r="AC266" s="231"/>
      <c r="AD266" s="231"/>
      <c r="AE266" s="246"/>
      <c r="AF266" s="1350"/>
      <c r="AG266" s="1352"/>
      <c r="AH266" s="1352"/>
      <c r="AI266" s="1350"/>
      <c r="AJ266" s="1352"/>
      <c r="AK266" s="1352"/>
      <c r="AL266" s="772"/>
    </row>
    <row r="267" spans="1:38" ht="11.25" customHeight="1">
      <c r="A267" s="1030" t="s">
        <v>1019</v>
      </c>
      <c r="E267" s="557"/>
      <c r="F267" s="1339"/>
      <c r="G267" s="1340"/>
      <c r="H267" s="1335" t="s">
        <v>91</v>
      </c>
      <c r="I267" s="1347"/>
      <c r="J267" s="1360"/>
      <c r="K267" s="1349"/>
      <c r="L267" s="1079"/>
      <c r="M267" s="1364"/>
      <c r="N267" s="229"/>
      <c r="O267" s="230"/>
      <c r="P267" s="44" t="s">
        <v>1060</v>
      </c>
      <c r="Q267" s="230"/>
      <c r="R267" s="230"/>
      <c r="S267" s="230"/>
      <c r="T267" s="230"/>
      <c r="U267" s="230"/>
      <c r="V267" s="230"/>
      <c r="W267" s="230"/>
      <c r="X267" s="230"/>
      <c r="Y267" s="230"/>
      <c r="Z267" s="230"/>
      <c r="AA267" s="230"/>
      <c r="AB267" s="230"/>
      <c r="AC267" s="230"/>
      <c r="AD267" s="230"/>
      <c r="AE267" s="247"/>
      <c r="AF267" s="1350"/>
      <c r="AG267" s="1352"/>
      <c r="AH267" s="1352"/>
      <c r="AI267" s="1350"/>
      <c r="AJ267" s="1352"/>
      <c r="AK267" s="1352"/>
      <c r="AL267" s="772"/>
    </row>
    <row r="268" spans="1:38" ht="11.25" customHeight="1">
      <c r="A268" s="1030" t="s">
        <v>1019</v>
      </c>
      <c r="B268" s="1030" t="s">
        <v>22</v>
      </c>
      <c r="E268" s="557"/>
      <c r="F268" s="1339"/>
      <c r="G268" s="1325" t="s">
        <v>103</v>
      </c>
      <c r="H268" s="1335" t="s">
        <v>116</v>
      </c>
      <c r="I268" s="1347" t="s">
        <v>1071</v>
      </c>
      <c r="J268" s="1360" t="s">
        <v>22</v>
      </c>
      <c r="K268" s="1349" t="s">
        <v>1106</v>
      </c>
      <c r="L268" s="1079" t="s">
        <v>19</v>
      </c>
      <c r="M268" s="1080"/>
      <c r="N268" s="242"/>
      <c r="O268" s="243" t="s">
        <v>384</v>
      </c>
      <c r="P268" s="244"/>
      <c r="Q268" s="244"/>
      <c r="R268" s="244"/>
      <c r="S268" s="244"/>
      <c r="T268" s="244"/>
      <c r="U268" s="244"/>
      <c r="V268" s="244"/>
      <c r="W268" s="244"/>
      <c r="X268" s="244"/>
      <c r="Y268" s="244"/>
      <c r="Z268" s="244"/>
      <c r="AA268" s="244"/>
      <c r="AB268" s="244"/>
      <c r="AC268" s="244"/>
      <c r="AD268" s="244"/>
      <c r="AE268" s="244"/>
      <c r="AF268" s="1350">
        <v>5</v>
      </c>
      <c r="AG268" s="1352" t="s">
        <v>1055</v>
      </c>
      <c r="AH268" s="1352" t="s">
        <v>1107</v>
      </c>
      <c r="AI268" s="1350">
        <v>5</v>
      </c>
      <c r="AJ268" s="1352" t="s">
        <v>1055</v>
      </c>
      <c r="AK268" s="1352" t="s">
        <v>1107</v>
      </c>
      <c r="AL268" s="772"/>
    </row>
    <row r="269" spans="1:38" ht="11.25" customHeight="1">
      <c r="A269" s="1030" t="s">
        <v>1019</v>
      </c>
      <c r="E269" s="557"/>
      <c r="F269" s="1339"/>
      <c r="G269" s="1340"/>
      <c r="H269" s="1335" t="s">
        <v>92</v>
      </c>
      <c r="I269" s="1347"/>
      <c r="J269" s="1360"/>
      <c r="K269" s="1349"/>
      <c r="L269" s="1079"/>
      <c r="M269" s="1080"/>
      <c r="N269" s="1355"/>
      <c r="O269" s="1356">
        <v>1</v>
      </c>
      <c r="P269" s="1357" t="s">
        <v>61</v>
      </c>
      <c r="Q269" s="1348" t="s">
        <v>1108</v>
      </c>
      <c r="R269" s="1362" t="s">
        <v>1075</v>
      </c>
      <c r="S269" s="1362" t="s">
        <v>99</v>
      </c>
      <c r="T269" s="1362" t="s">
        <v>99</v>
      </c>
      <c r="U269" s="1362" t="s">
        <v>100</v>
      </c>
      <c r="V269" s="1362" t="s">
        <v>1066</v>
      </c>
      <c r="W269" s="1362" t="s">
        <v>1067</v>
      </c>
      <c r="X269" s="1362" t="s">
        <v>1109</v>
      </c>
      <c r="Y269" s="1362" t="s">
        <v>1013</v>
      </c>
      <c r="Z269" s="229"/>
      <c r="AA269" s="230"/>
      <c r="AB269" s="230"/>
      <c r="AC269" s="231"/>
      <c r="AD269" s="231"/>
      <c r="AE269" s="245"/>
      <c r="AF269" s="1350"/>
      <c r="AG269" s="1352"/>
      <c r="AH269" s="1352"/>
      <c r="AI269" s="1350"/>
      <c r="AJ269" s="1352"/>
      <c r="AK269" s="1352"/>
      <c r="AL269" s="772"/>
    </row>
    <row r="270" spans="1:38" ht="11.25" customHeight="1">
      <c r="A270" s="1030" t="s">
        <v>1019</v>
      </c>
      <c r="E270" s="557"/>
      <c r="F270" s="1339"/>
      <c r="G270" s="1340"/>
      <c r="H270" s="1335" t="s">
        <v>92</v>
      </c>
      <c r="I270" s="1347"/>
      <c r="J270" s="1360"/>
      <c r="K270" s="1349"/>
      <c r="L270" s="1079"/>
      <c r="M270" s="1080"/>
      <c r="N270" s="1355"/>
      <c r="O270" s="1356"/>
      <c r="P270" s="1358"/>
      <c r="Q270" s="1348"/>
      <c r="R270" s="1308"/>
      <c r="S270" s="1361"/>
      <c r="T270" s="1308"/>
      <c r="U270" s="1308"/>
      <c r="V270" s="1308"/>
      <c r="W270" s="1308"/>
      <c r="X270" s="1308"/>
      <c r="Y270" s="1308"/>
      <c r="AA270" s="778">
        <v>1</v>
      </c>
      <c r="AB270" s="779" t="s">
        <v>1057</v>
      </c>
      <c r="AC270" s="237">
        <v>2768</v>
      </c>
      <c r="AD270" s="779" t="str">
        <f>AB270</f>
        <v xml:space="preserve">  Кредиты</v>
      </c>
      <c r="AE270" s="237">
        <f>AC270</f>
        <v>2768</v>
      </c>
      <c r="AF270" s="1350"/>
      <c r="AG270" s="1352"/>
      <c r="AH270" s="1352"/>
      <c r="AI270" s="1350"/>
      <c r="AJ270" s="1352"/>
      <c r="AK270" s="1352"/>
      <c r="AL270" s="772"/>
    </row>
    <row r="271" spans="1:38" ht="11.25" customHeight="1">
      <c r="A271" s="1030" t="s">
        <v>1019</v>
      </c>
      <c r="E271" s="557"/>
      <c r="F271" s="1339"/>
      <c r="G271" s="1340"/>
      <c r="H271" s="1335" t="s">
        <v>92</v>
      </c>
      <c r="I271" s="1347"/>
      <c r="J271" s="1360"/>
      <c r="K271" s="1349"/>
      <c r="L271" s="1079"/>
      <c r="M271" s="1080"/>
      <c r="N271" s="1355"/>
      <c r="O271" s="1356"/>
      <c r="P271" s="1359"/>
      <c r="Q271" s="1348"/>
      <c r="R271" s="1308"/>
      <c r="S271" s="1361"/>
      <c r="T271" s="1308"/>
      <c r="U271" s="1308"/>
      <c r="V271" s="1308"/>
      <c r="W271" s="1308"/>
      <c r="X271" s="1308"/>
      <c r="Y271" s="1308"/>
      <c r="Z271" s="229"/>
      <c r="AA271" s="230"/>
      <c r="AB271" s="44" t="s">
        <v>1059</v>
      </c>
      <c r="AC271" s="231"/>
      <c r="AD271" s="231"/>
      <c r="AE271" s="246"/>
      <c r="AF271" s="1350"/>
      <c r="AG271" s="1352"/>
      <c r="AH271" s="1352"/>
      <c r="AI271" s="1350"/>
      <c r="AJ271" s="1352"/>
      <c r="AK271" s="1352"/>
      <c r="AL271" s="772"/>
    </row>
    <row r="272" spans="1:38" ht="11.25" customHeight="1">
      <c r="A272" s="1030" t="s">
        <v>1019</v>
      </c>
      <c r="E272" s="557"/>
      <c r="F272" s="1339"/>
      <c r="G272" s="1340"/>
      <c r="H272" s="1335" t="s">
        <v>92</v>
      </c>
      <c r="I272" s="1347"/>
      <c r="J272" s="1360"/>
      <c r="K272" s="1349"/>
      <c r="L272" s="1079"/>
      <c r="M272" s="1080"/>
      <c r="N272" s="229"/>
      <c r="O272" s="230"/>
      <c r="P272" s="44" t="s">
        <v>1060</v>
      </c>
      <c r="Q272" s="230"/>
      <c r="R272" s="230"/>
      <c r="S272" s="230"/>
      <c r="T272" s="230"/>
      <c r="U272" s="230"/>
      <c r="V272" s="230"/>
      <c r="W272" s="230"/>
      <c r="X272" s="230"/>
      <c r="Y272" s="230"/>
      <c r="Z272" s="230"/>
      <c r="AA272" s="230"/>
      <c r="AB272" s="230"/>
      <c r="AC272" s="230"/>
      <c r="AD272" s="230"/>
      <c r="AE272" s="247"/>
      <c r="AF272" s="1350"/>
      <c r="AG272" s="1352"/>
      <c r="AH272" s="1352"/>
      <c r="AI272" s="1350"/>
      <c r="AJ272" s="1352"/>
      <c r="AK272" s="1352"/>
      <c r="AL272" s="772"/>
    </row>
    <row r="273" spans="1:38" ht="11.25" customHeight="1">
      <c r="A273" s="1030" t="s">
        <v>1019</v>
      </c>
      <c r="B273" s="1030" t="s">
        <v>1051</v>
      </c>
      <c r="E273" s="557"/>
      <c r="F273" s="1339"/>
      <c r="G273" s="1325" t="s">
        <v>103</v>
      </c>
      <c r="H273" s="1335" t="s">
        <v>158</v>
      </c>
      <c r="I273" s="1347" t="s">
        <v>1052</v>
      </c>
      <c r="J273" s="1363" t="s">
        <v>1093</v>
      </c>
      <c r="K273" s="1349" t="s">
        <v>1100</v>
      </c>
      <c r="L273" s="1079" t="s">
        <v>19</v>
      </c>
      <c r="M273" s="1080"/>
      <c r="N273" s="242"/>
      <c r="O273" s="243" t="s">
        <v>384</v>
      </c>
      <c r="P273" s="244"/>
      <c r="Q273" s="244"/>
      <c r="R273" s="244"/>
      <c r="S273" s="244"/>
      <c r="T273" s="244"/>
      <c r="U273" s="244"/>
      <c r="V273" s="244"/>
      <c r="W273" s="244"/>
      <c r="X273" s="244"/>
      <c r="Y273" s="244"/>
      <c r="Z273" s="244"/>
      <c r="AA273" s="244"/>
      <c r="AB273" s="244"/>
      <c r="AC273" s="244"/>
      <c r="AD273" s="244"/>
      <c r="AE273" s="244"/>
      <c r="AF273" s="1350">
        <v>10</v>
      </c>
      <c r="AG273" s="1352" t="s">
        <v>1055</v>
      </c>
      <c r="AH273" s="1352" t="s">
        <v>1101</v>
      </c>
      <c r="AI273" s="1350">
        <v>10</v>
      </c>
      <c r="AJ273" s="1352" t="s">
        <v>1055</v>
      </c>
      <c r="AK273" s="1352" t="s">
        <v>1101</v>
      </c>
      <c r="AL273" s="772"/>
    </row>
    <row r="274" spans="1:38" ht="11.25" customHeight="1">
      <c r="A274" s="1030" t="s">
        <v>1019</v>
      </c>
      <c r="E274" s="557"/>
      <c r="F274" s="1339"/>
      <c r="G274" s="1340"/>
      <c r="H274" s="1335" t="s">
        <v>116</v>
      </c>
      <c r="I274" s="1347"/>
      <c r="J274" s="1363"/>
      <c r="K274" s="1349"/>
      <c r="L274" s="1079"/>
      <c r="M274" s="1080"/>
      <c r="N274" s="1355"/>
      <c r="O274" s="1356">
        <v>1</v>
      </c>
      <c r="P274" s="1357" t="s">
        <v>19</v>
      </c>
      <c r="Q274" s="1308" t="s">
        <v>22</v>
      </c>
      <c r="R274" s="1308" t="s">
        <v>22</v>
      </c>
      <c r="S274" s="1308" t="s">
        <v>22</v>
      </c>
      <c r="T274" s="1308" t="s">
        <v>22</v>
      </c>
      <c r="U274" s="1308" t="s">
        <v>22</v>
      </c>
      <c r="V274" s="1308" t="s">
        <v>22</v>
      </c>
      <c r="W274" s="1308" t="s">
        <v>22</v>
      </c>
      <c r="X274" s="1308" t="s">
        <v>22</v>
      </c>
      <c r="Y274" s="1308"/>
      <c r="Z274" s="229"/>
      <c r="AA274" s="230"/>
      <c r="AB274" s="230"/>
      <c r="AC274" s="231"/>
      <c r="AD274" s="231"/>
      <c r="AE274" s="245"/>
      <c r="AF274" s="1350"/>
      <c r="AG274" s="1352"/>
      <c r="AH274" s="1352"/>
      <c r="AI274" s="1350"/>
      <c r="AJ274" s="1352"/>
      <c r="AK274" s="1352"/>
      <c r="AL274" s="772"/>
    </row>
    <row r="275" spans="1:38" ht="11.25" customHeight="1">
      <c r="A275" s="1030" t="s">
        <v>1019</v>
      </c>
      <c r="E275" s="557"/>
      <c r="F275" s="1339"/>
      <c r="G275" s="1340"/>
      <c r="H275" s="1335" t="s">
        <v>116</v>
      </c>
      <c r="I275" s="1347"/>
      <c r="J275" s="1363"/>
      <c r="K275" s="1349"/>
      <c r="L275" s="1079"/>
      <c r="M275" s="1080"/>
      <c r="N275" s="1355"/>
      <c r="O275" s="1356"/>
      <c r="P275" s="1358"/>
      <c r="Q275" s="1308"/>
      <c r="R275" s="1308"/>
      <c r="S275" s="1361"/>
      <c r="T275" s="1308"/>
      <c r="U275" s="1308"/>
      <c r="V275" s="1308"/>
      <c r="W275" s="1308"/>
      <c r="X275" s="1308"/>
      <c r="Y275" s="1308"/>
      <c r="AA275" s="778">
        <v>1</v>
      </c>
      <c r="AB275" s="779" t="s">
        <v>1057</v>
      </c>
      <c r="AC275" s="237">
        <v>1469</v>
      </c>
      <c r="AD275" s="779" t="str">
        <f>AB275</f>
        <v xml:space="preserve">  Кредиты</v>
      </c>
      <c r="AE275" s="237">
        <f>AC275</f>
        <v>1469</v>
      </c>
      <c r="AF275" s="1350"/>
      <c r="AG275" s="1352"/>
      <c r="AH275" s="1352"/>
      <c r="AI275" s="1350"/>
      <c r="AJ275" s="1352"/>
      <c r="AK275" s="1352"/>
      <c r="AL275" s="772"/>
    </row>
    <row r="276" spans="1:38" ht="11.25" customHeight="1">
      <c r="A276" s="1030" t="s">
        <v>1019</v>
      </c>
      <c r="E276" s="557"/>
      <c r="F276" s="1339"/>
      <c r="G276" s="1340"/>
      <c r="H276" s="1335" t="s">
        <v>116</v>
      </c>
      <c r="I276" s="1347"/>
      <c r="J276" s="1363"/>
      <c r="K276" s="1349"/>
      <c r="L276" s="1079"/>
      <c r="M276" s="1080"/>
      <c r="N276" s="1355"/>
      <c r="O276" s="1356"/>
      <c r="P276" s="1359"/>
      <c r="Q276" s="1308"/>
      <c r="R276" s="1308"/>
      <c r="S276" s="1361"/>
      <c r="T276" s="1308"/>
      <c r="U276" s="1308"/>
      <c r="V276" s="1308"/>
      <c r="W276" s="1308"/>
      <c r="X276" s="1308"/>
      <c r="Y276" s="1308"/>
      <c r="Z276" s="229"/>
      <c r="AA276" s="230"/>
      <c r="AB276" s="44" t="s">
        <v>1059</v>
      </c>
      <c r="AC276" s="231"/>
      <c r="AD276" s="231"/>
      <c r="AE276" s="246"/>
      <c r="AF276" s="1350"/>
      <c r="AG276" s="1352"/>
      <c r="AH276" s="1352"/>
      <c r="AI276" s="1350"/>
      <c r="AJ276" s="1352"/>
      <c r="AK276" s="1352"/>
      <c r="AL276" s="772"/>
    </row>
    <row r="277" spans="1:38" ht="11.25" customHeight="1">
      <c r="A277" s="1030" t="s">
        <v>1019</v>
      </c>
      <c r="E277" s="557"/>
      <c r="F277" s="1339"/>
      <c r="G277" s="1340"/>
      <c r="H277" s="1335" t="s">
        <v>116</v>
      </c>
      <c r="I277" s="1347"/>
      <c r="J277" s="1363"/>
      <c r="K277" s="1349"/>
      <c r="L277" s="1079"/>
      <c r="M277" s="1080"/>
      <c r="N277" s="229"/>
      <c r="O277" s="230"/>
      <c r="P277" s="44" t="s">
        <v>1060</v>
      </c>
      <c r="Q277" s="230"/>
      <c r="R277" s="230"/>
      <c r="S277" s="230"/>
      <c r="T277" s="230"/>
      <c r="U277" s="230"/>
      <c r="V277" s="230"/>
      <c r="W277" s="230"/>
      <c r="X277" s="230"/>
      <c r="Y277" s="230"/>
      <c r="Z277" s="230"/>
      <c r="AA277" s="230"/>
      <c r="AB277" s="230"/>
      <c r="AC277" s="230"/>
      <c r="AD277" s="230"/>
      <c r="AE277" s="247"/>
      <c r="AF277" s="1350"/>
      <c r="AG277" s="1352"/>
      <c r="AH277" s="1352"/>
      <c r="AI277" s="1350"/>
      <c r="AJ277" s="1352"/>
      <c r="AK277" s="1352"/>
      <c r="AL277" s="772"/>
    </row>
    <row r="278" spans="1:38" ht="11.25" customHeight="1">
      <c r="A278" s="1030" t="s">
        <v>1019</v>
      </c>
      <c r="B278" s="1030" t="s">
        <v>1051</v>
      </c>
      <c r="E278" s="557"/>
      <c r="F278" s="1339"/>
      <c r="G278" s="1325" t="s">
        <v>103</v>
      </c>
      <c r="H278" s="1335" t="s">
        <v>159</v>
      </c>
      <c r="I278" s="1347" t="s">
        <v>1052</v>
      </c>
      <c r="J278" s="1363" t="s">
        <v>1053</v>
      </c>
      <c r="K278" s="1349" t="s">
        <v>1078</v>
      </c>
      <c r="L278" s="1079" t="s">
        <v>61</v>
      </c>
      <c r="M278" s="1364" t="s">
        <v>1018</v>
      </c>
      <c r="N278" s="242"/>
      <c r="O278" s="243" t="s">
        <v>384</v>
      </c>
      <c r="P278" s="244"/>
      <c r="Q278" s="244"/>
      <c r="R278" s="244"/>
      <c r="S278" s="244"/>
      <c r="T278" s="244"/>
      <c r="U278" s="244"/>
      <c r="V278" s="244"/>
      <c r="W278" s="244"/>
      <c r="X278" s="244"/>
      <c r="Y278" s="244"/>
      <c r="Z278" s="244"/>
      <c r="AA278" s="244"/>
      <c r="AB278" s="244"/>
      <c r="AC278" s="244"/>
      <c r="AD278" s="244"/>
      <c r="AE278" s="244"/>
      <c r="AF278" s="1350">
        <v>6</v>
      </c>
      <c r="AG278" s="1352" t="s">
        <v>1055</v>
      </c>
      <c r="AH278" s="1352" t="s">
        <v>1079</v>
      </c>
      <c r="AI278" s="1350">
        <v>6</v>
      </c>
      <c r="AJ278" s="1352" t="s">
        <v>1055</v>
      </c>
      <c r="AK278" s="1352" t="s">
        <v>1079</v>
      </c>
      <c r="AL278" s="772"/>
    </row>
    <row r="279" spans="1:38" ht="11.25" customHeight="1">
      <c r="A279" s="1030" t="s">
        <v>1019</v>
      </c>
      <c r="E279" s="557"/>
      <c r="F279" s="1339"/>
      <c r="G279" s="1340"/>
      <c r="H279" s="1335" t="s">
        <v>158</v>
      </c>
      <c r="I279" s="1347"/>
      <c r="J279" s="1363"/>
      <c r="K279" s="1349"/>
      <c r="L279" s="1079"/>
      <c r="M279" s="1364"/>
      <c r="N279" s="1355"/>
      <c r="O279" s="1356">
        <v>1</v>
      </c>
      <c r="P279" s="1357" t="s">
        <v>19</v>
      </c>
      <c r="Q279" s="1308" t="s">
        <v>22</v>
      </c>
      <c r="R279" s="1308" t="s">
        <v>22</v>
      </c>
      <c r="S279" s="1308" t="s">
        <v>22</v>
      </c>
      <c r="T279" s="1308" t="s">
        <v>22</v>
      </c>
      <c r="U279" s="1308" t="s">
        <v>22</v>
      </c>
      <c r="V279" s="1308" t="s">
        <v>22</v>
      </c>
      <c r="W279" s="1308" t="s">
        <v>22</v>
      </c>
      <c r="X279" s="1308" t="s">
        <v>22</v>
      </c>
      <c r="Y279" s="1308"/>
      <c r="Z279" s="229"/>
      <c r="AA279" s="230"/>
      <c r="AB279" s="230"/>
      <c r="AC279" s="231"/>
      <c r="AD279" s="231"/>
      <c r="AE279" s="245"/>
      <c r="AF279" s="1350"/>
      <c r="AG279" s="1352"/>
      <c r="AH279" s="1352"/>
      <c r="AI279" s="1350"/>
      <c r="AJ279" s="1352"/>
      <c r="AK279" s="1352"/>
      <c r="AL279" s="772"/>
    </row>
    <row r="280" spans="1:38" ht="11.25" customHeight="1">
      <c r="A280" s="1030" t="s">
        <v>1019</v>
      </c>
      <c r="E280" s="557"/>
      <c r="F280" s="1339"/>
      <c r="G280" s="1340"/>
      <c r="H280" s="1335" t="s">
        <v>158</v>
      </c>
      <c r="I280" s="1347"/>
      <c r="J280" s="1363"/>
      <c r="K280" s="1349"/>
      <c r="L280" s="1079"/>
      <c r="M280" s="1364"/>
      <c r="N280" s="1355"/>
      <c r="O280" s="1356"/>
      <c r="P280" s="1358"/>
      <c r="Q280" s="1308"/>
      <c r="R280" s="1308"/>
      <c r="S280" s="1361"/>
      <c r="T280" s="1308"/>
      <c r="U280" s="1308"/>
      <c r="V280" s="1308"/>
      <c r="W280" s="1308"/>
      <c r="X280" s="1308"/>
      <c r="Y280" s="1308"/>
      <c r="AA280" s="778">
        <v>1</v>
      </c>
      <c r="AB280" s="779" t="s">
        <v>1057</v>
      </c>
      <c r="AC280" s="237">
        <v>902</v>
      </c>
      <c r="AD280" s="779" t="str">
        <f>AB280</f>
        <v xml:space="preserve">  Кредиты</v>
      </c>
      <c r="AE280" s="237">
        <f>AC280</f>
        <v>902</v>
      </c>
      <c r="AF280" s="1350"/>
      <c r="AG280" s="1352"/>
      <c r="AH280" s="1352"/>
      <c r="AI280" s="1350"/>
      <c r="AJ280" s="1352"/>
      <c r="AK280" s="1352"/>
      <c r="AL280" s="772"/>
    </row>
    <row r="281" spans="1:38" ht="11.25" customHeight="1">
      <c r="A281" s="1030" t="s">
        <v>1019</v>
      </c>
      <c r="E281" s="557"/>
      <c r="F281" s="1339"/>
      <c r="G281" s="1340"/>
      <c r="H281" s="1335" t="s">
        <v>158</v>
      </c>
      <c r="I281" s="1347"/>
      <c r="J281" s="1363"/>
      <c r="K281" s="1349"/>
      <c r="L281" s="1079"/>
      <c r="M281" s="1364"/>
      <c r="N281" s="1355"/>
      <c r="O281" s="1356"/>
      <c r="P281" s="1359"/>
      <c r="Q281" s="1308"/>
      <c r="R281" s="1308"/>
      <c r="S281" s="1361"/>
      <c r="T281" s="1308"/>
      <c r="U281" s="1308"/>
      <c r="V281" s="1308"/>
      <c r="W281" s="1308"/>
      <c r="X281" s="1308"/>
      <c r="Y281" s="1308"/>
      <c r="Z281" s="229"/>
      <c r="AA281" s="230"/>
      <c r="AB281" s="44" t="s">
        <v>1059</v>
      </c>
      <c r="AC281" s="231"/>
      <c r="AD281" s="231"/>
      <c r="AE281" s="246"/>
      <c r="AF281" s="1350"/>
      <c r="AG281" s="1352"/>
      <c r="AH281" s="1352"/>
      <c r="AI281" s="1350"/>
      <c r="AJ281" s="1352"/>
      <c r="AK281" s="1352"/>
      <c r="AL281" s="772"/>
    </row>
    <row r="282" spans="1:38" ht="11.25" customHeight="1">
      <c r="A282" s="1030" t="s">
        <v>1019</v>
      </c>
      <c r="E282" s="557"/>
      <c r="F282" s="1339"/>
      <c r="G282" s="1340"/>
      <c r="H282" s="1335" t="s">
        <v>158</v>
      </c>
      <c r="I282" s="1347"/>
      <c r="J282" s="1363"/>
      <c r="K282" s="1349"/>
      <c r="L282" s="1079"/>
      <c r="M282" s="1364"/>
      <c r="N282" s="229"/>
      <c r="O282" s="230"/>
      <c r="P282" s="44" t="s">
        <v>1060</v>
      </c>
      <c r="Q282" s="230"/>
      <c r="R282" s="230"/>
      <c r="S282" s="230"/>
      <c r="T282" s="230"/>
      <c r="U282" s="230"/>
      <c r="V282" s="230"/>
      <c r="W282" s="230"/>
      <c r="X282" s="230"/>
      <c r="Y282" s="230"/>
      <c r="Z282" s="230"/>
      <c r="AA282" s="230"/>
      <c r="AB282" s="230"/>
      <c r="AC282" s="230"/>
      <c r="AD282" s="230"/>
      <c r="AE282" s="247"/>
      <c r="AF282" s="1350"/>
      <c r="AG282" s="1352"/>
      <c r="AH282" s="1352"/>
      <c r="AI282" s="1350"/>
      <c r="AJ282" s="1352"/>
      <c r="AK282" s="1352"/>
      <c r="AL282" s="772"/>
    </row>
    <row r="283" spans="1:38" ht="11.25" customHeight="1">
      <c r="A283" s="1030" t="s">
        <v>1019</v>
      </c>
      <c r="B283" s="1030" t="s">
        <v>1051</v>
      </c>
      <c r="E283" s="557"/>
      <c r="F283" s="1339"/>
      <c r="G283" s="1325" t="s">
        <v>103</v>
      </c>
      <c r="H283" s="1335" t="s">
        <v>160</v>
      </c>
      <c r="I283" s="1347" t="s">
        <v>1052</v>
      </c>
      <c r="J283" s="1363" t="s">
        <v>1053</v>
      </c>
      <c r="K283" s="1349" t="s">
        <v>1102</v>
      </c>
      <c r="L283" s="1079" t="s">
        <v>61</v>
      </c>
      <c r="M283" s="1364" t="s">
        <v>1018</v>
      </c>
      <c r="N283" s="242"/>
      <c r="O283" s="243" t="s">
        <v>384</v>
      </c>
      <c r="P283" s="244"/>
      <c r="Q283" s="244"/>
      <c r="R283" s="244"/>
      <c r="S283" s="244"/>
      <c r="T283" s="244"/>
      <c r="U283" s="244"/>
      <c r="V283" s="244"/>
      <c r="W283" s="244"/>
      <c r="X283" s="244"/>
      <c r="Y283" s="244"/>
      <c r="Z283" s="244"/>
      <c r="AA283" s="244"/>
      <c r="AB283" s="244"/>
      <c r="AC283" s="244"/>
      <c r="AD283" s="244"/>
      <c r="AE283" s="244"/>
      <c r="AF283" s="1350">
        <v>9</v>
      </c>
      <c r="AG283" s="1352" t="s">
        <v>1055</v>
      </c>
      <c r="AH283" s="1352" t="s">
        <v>1103</v>
      </c>
      <c r="AI283" s="1350">
        <v>9</v>
      </c>
      <c r="AJ283" s="1352" t="s">
        <v>1055</v>
      </c>
      <c r="AK283" s="1352" t="s">
        <v>1103</v>
      </c>
      <c r="AL283" s="772"/>
    </row>
    <row r="284" spans="1:38" ht="11.25" customHeight="1">
      <c r="A284" s="1030" t="s">
        <v>1019</v>
      </c>
      <c r="E284" s="557"/>
      <c r="F284" s="1339"/>
      <c r="G284" s="1340"/>
      <c r="H284" s="1335" t="s">
        <v>159</v>
      </c>
      <c r="I284" s="1347"/>
      <c r="J284" s="1363"/>
      <c r="K284" s="1349"/>
      <c r="L284" s="1079"/>
      <c r="M284" s="1364"/>
      <c r="N284" s="1355"/>
      <c r="O284" s="1356">
        <v>1</v>
      </c>
      <c r="P284" s="1357" t="s">
        <v>19</v>
      </c>
      <c r="Q284" s="1308" t="s">
        <v>22</v>
      </c>
      <c r="R284" s="1308" t="s">
        <v>22</v>
      </c>
      <c r="S284" s="1308" t="s">
        <v>22</v>
      </c>
      <c r="T284" s="1308" t="s">
        <v>22</v>
      </c>
      <c r="U284" s="1308" t="s">
        <v>22</v>
      </c>
      <c r="V284" s="1308" t="s">
        <v>22</v>
      </c>
      <c r="W284" s="1308" t="s">
        <v>22</v>
      </c>
      <c r="X284" s="1308" t="s">
        <v>22</v>
      </c>
      <c r="Y284" s="1308"/>
      <c r="Z284" s="229"/>
      <c r="AA284" s="230"/>
      <c r="AB284" s="230"/>
      <c r="AC284" s="231"/>
      <c r="AD284" s="231"/>
      <c r="AE284" s="245"/>
      <c r="AF284" s="1350"/>
      <c r="AG284" s="1352"/>
      <c r="AH284" s="1352"/>
      <c r="AI284" s="1350"/>
      <c r="AJ284" s="1352"/>
      <c r="AK284" s="1352"/>
      <c r="AL284" s="772"/>
    </row>
    <row r="285" spans="1:38" ht="11.25" customHeight="1">
      <c r="A285" s="1030" t="s">
        <v>1019</v>
      </c>
      <c r="E285" s="557"/>
      <c r="F285" s="1339"/>
      <c r="G285" s="1340"/>
      <c r="H285" s="1335" t="s">
        <v>159</v>
      </c>
      <c r="I285" s="1347"/>
      <c r="J285" s="1363"/>
      <c r="K285" s="1349"/>
      <c r="L285" s="1079"/>
      <c r="M285" s="1364"/>
      <c r="N285" s="1355"/>
      <c r="O285" s="1356"/>
      <c r="P285" s="1358"/>
      <c r="Q285" s="1308"/>
      <c r="R285" s="1308"/>
      <c r="S285" s="1361"/>
      <c r="T285" s="1308"/>
      <c r="U285" s="1308"/>
      <c r="V285" s="1308"/>
      <c r="W285" s="1308"/>
      <c r="X285" s="1308"/>
      <c r="Y285" s="1308"/>
      <c r="AA285" s="778">
        <v>1</v>
      </c>
      <c r="AB285" s="779" t="s">
        <v>1057</v>
      </c>
      <c r="AC285" s="237">
        <v>40000</v>
      </c>
      <c r="AD285" s="779" t="str">
        <f>AB285</f>
        <v xml:space="preserve">  Кредиты</v>
      </c>
      <c r="AE285" s="237">
        <f>AC285</f>
        <v>40000</v>
      </c>
      <c r="AF285" s="1350"/>
      <c r="AG285" s="1352"/>
      <c r="AH285" s="1352"/>
      <c r="AI285" s="1350"/>
      <c r="AJ285" s="1352"/>
      <c r="AK285" s="1352"/>
      <c r="AL285" s="772"/>
    </row>
    <row r="286" spans="1:38" ht="11.25" customHeight="1">
      <c r="A286" s="1030" t="s">
        <v>1019</v>
      </c>
      <c r="E286" s="557"/>
      <c r="F286" s="1339"/>
      <c r="G286" s="1340"/>
      <c r="H286" s="1335" t="s">
        <v>159</v>
      </c>
      <c r="I286" s="1347"/>
      <c r="J286" s="1363"/>
      <c r="K286" s="1349"/>
      <c r="L286" s="1079"/>
      <c r="M286" s="1364"/>
      <c r="N286" s="1355"/>
      <c r="O286" s="1356"/>
      <c r="P286" s="1359"/>
      <c r="Q286" s="1308"/>
      <c r="R286" s="1308"/>
      <c r="S286" s="1361"/>
      <c r="T286" s="1308"/>
      <c r="U286" s="1308"/>
      <c r="V286" s="1308"/>
      <c r="W286" s="1308"/>
      <c r="X286" s="1308"/>
      <c r="Y286" s="1308"/>
      <c r="Z286" s="229"/>
      <c r="AA286" s="230"/>
      <c r="AB286" s="44" t="s">
        <v>1059</v>
      </c>
      <c r="AC286" s="231"/>
      <c r="AD286" s="231"/>
      <c r="AE286" s="246"/>
      <c r="AF286" s="1350"/>
      <c r="AG286" s="1352"/>
      <c r="AH286" s="1352"/>
      <c r="AI286" s="1350"/>
      <c r="AJ286" s="1352"/>
      <c r="AK286" s="1352"/>
      <c r="AL286" s="772"/>
    </row>
    <row r="287" spans="1:38" ht="11.25" customHeight="1">
      <c r="A287" s="1030" t="s">
        <v>1019</v>
      </c>
      <c r="E287" s="557"/>
      <c r="F287" s="1339"/>
      <c r="G287" s="1340"/>
      <c r="H287" s="1335" t="s">
        <v>159</v>
      </c>
      <c r="I287" s="1347"/>
      <c r="J287" s="1363"/>
      <c r="K287" s="1349"/>
      <c r="L287" s="1079"/>
      <c r="M287" s="1364"/>
      <c r="N287" s="229"/>
      <c r="O287" s="230"/>
      <c r="P287" s="44" t="s">
        <v>1060</v>
      </c>
      <c r="Q287" s="230"/>
      <c r="R287" s="230"/>
      <c r="S287" s="230"/>
      <c r="T287" s="230"/>
      <c r="U287" s="230"/>
      <c r="V287" s="230"/>
      <c r="W287" s="230"/>
      <c r="X287" s="230"/>
      <c r="Y287" s="230"/>
      <c r="Z287" s="230"/>
      <c r="AA287" s="230"/>
      <c r="AB287" s="230"/>
      <c r="AC287" s="230"/>
      <c r="AD287" s="230"/>
      <c r="AE287" s="247"/>
      <c r="AF287" s="1350"/>
      <c r="AG287" s="1352"/>
      <c r="AH287" s="1352"/>
      <c r="AI287" s="1350"/>
      <c r="AJ287" s="1352"/>
      <c r="AK287" s="1352"/>
      <c r="AL287" s="772"/>
    </row>
    <row r="288" spans="1:38" ht="11.25" customHeight="1">
      <c r="A288" s="1030" t="s">
        <v>1019</v>
      </c>
      <c r="B288" s="1030" t="s">
        <v>1051</v>
      </c>
      <c r="E288" s="557"/>
      <c r="F288" s="1339"/>
      <c r="G288" s="1325" t="s">
        <v>103</v>
      </c>
      <c r="H288" s="1335" t="s">
        <v>161</v>
      </c>
      <c r="I288" s="1347" t="s">
        <v>1052</v>
      </c>
      <c r="J288" s="1363" t="s">
        <v>1053</v>
      </c>
      <c r="K288" s="1349" t="s">
        <v>1110</v>
      </c>
      <c r="L288" s="1079" t="s">
        <v>61</v>
      </c>
      <c r="M288" s="1364" t="s">
        <v>1018</v>
      </c>
      <c r="N288" s="242"/>
      <c r="O288" s="243" t="s">
        <v>384</v>
      </c>
      <c r="P288" s="244"/>
      <c r="Q288" s="244"/>
      <c r="R288" s="244"/>
      <c r="S288" s="244"/>
      <c r="T288" s="244"/>
      <c r="U288" s="244"/>
      <c r="V288" s="244"/>
      <c r="W288" s="244"/>
      <c r="X288" s="244"/>
      <c r="Y288" s="244"/>
      <c r="Z288" s="244"/>
      <c r="AA288" s="244"/>
      <c r="AB288" s="244"/>
      <c r="AC288" s="244"/>
      <c r="AD288" s="244"/>
      <c r="AE288" s="244"/>
      <c r="AF288" s="1350">
        <v>5</v>
      </c>
      <c r="AG288" s="1352" t="s">
        <v>1055</v>
      </c>
      <c r="AH288" s="1352" t="s">
        <v>1107</v>
      </c>
      <c r="AI288" s="1350">
        <v>5</v>
      </c>
      <c r="AJ288" s="1352" t="s">
        <v>1055</v>
      </c>
      <c r="AK288" s="1352" t="s">
        <v>1107</v>
      </c>
      <c r="AL288" s="772"/>
    </row>
    <row r="289" spans="1:38" ht="11.25" customHeight="1">
      <c r="A289" s="1030" t="s">
        <v>1019</v>
      </c>
      <c r="E289" s="557"/>
      <c r="F289" s="1339"/>
      <c r="G289" s="1340"/>
      <c r="H289" s="1335" t="s">
        <v>160</v>
      </c>
      <c r="I289" s="1347"/>
      <c r="J289" s="1363"/>
      <c r="K289" s="1349"/>
      <c r="L289" s="1079"/>
      <c r="M289" s="1364"/>
      <c r="N289" s="1355"/>
      <c r="O289" s="1356">
        <v>1</v>
      </c>
      <c r="P289" s="1357" t="s">
        <v>19</v>
      </c>
      <c r="Q289" s="1308" t="s">
        <v>22</v>
      </c>
      <c r="R289" s="1308" t="s">
        <v>22</v>
      </c>
      <c r="S289" s="1308" t="s">
        <v>22</v>
      </c>
      <c r="T289" s="1308" t="s">
        <v>22</v>
      </c>
      <c r="U289" s="1308" t="s">
        <v>22</v>
      </c>
      <c r="V289" s="1308" t="s">
        <v>22</v>
      </c>
      <c r="W289" s="1308" t="s">
        <v>22</v>
      </c>
      <c r="X289" s="1308" t="s">
        <v>22</v>
      </c>
      <c r="Y289" s="1308"/>
      <c r="Z289" s="229"/>
      <c r="AA289" s="230"/>
      <c r="AB289" s="230"/>
      <c r="AC289" s="231"/>
      <c r="AD289" s="231"/>
      <c r="AE289" s="245"/>
      <c r="AF289" s="1350"/>
      <c r="AG289" s="1352"/>
      <c r="AH289" s="1352"/>
      <c r="AI289" s="1350"/>
      <c r="AJ289" s="1352"/>
      <c r="AK289" s="1352"/>
      <c r="AL289" s="772"/>
    </row>
    <row r="290" spans="1:38" ht="11.25" customHeight="1">
      <c r="A290" s="1030" t="s">
        <v>1019</v>
      </c>
      <c r="E290" s="557"/>
      <c r="F290" s="1339"/>
      <c r="G290" s="1340"/>
      <c r="H290" s="1335" t="s">
        <v>160</v>
      </c>
      <c r="I290" s="1347"/>
      <c r="J290" s="1363"/>
      <c r="K290" s="1349"/>
      <c r="L290" s="1079"/>
      <c r="M290" s="1364"/>
      <c r="N290" s="1355"/>
      <c r="O290" s="1356"/>
      <c r="P290" s="1358"/>
      <c r="Q290" s="1308"/>
      <c r="R290" s="1308"/>
      <c r="S290" s="1361"/>
      <c r="T290" s="1308"/>
      <c r="U290" s="1308"/>
      <c r="V290" s="1308"/>
      <c r="W290" s="1308"/>
      <c r="X290" s="1308"/>
      <c r="Y290" s="1308"/>
      <c r="AA290" s="778">
        <v>1</v>
      </c>
      <c r="AB290" s="779" t="s">
        <v>1057</v>
      </c>
      <c r="AC290" s="237">
        <v>779</v>
      </c>
      <c r="AD290" s="779" t="str">
        <f>AB290</f>
        <v xml:space="preserve">  Кредиты</v>
      </c>
      <c r="AE290" s="237">
        <f>AC290</f>
        <v>779</v>
      </c>
      <c r="AF290" s="1350"/>
      <c r="AG290" s="1352"/>
      <c r="AH290" s="1352"/>
      <c r="AI290" s="1350"/>
      <c r="AJ290" s="1352"/>
      <c r="AK290" s="1352"/>
      <c r="AL290" s="772"/>
    </row>
    <row r="291" spans="1:38" ht="11.25" customHeight="1">
      <c r="A291" s="1030" t="s">
        <v>1019</v>
      </c>
      <c r="E291" s="557"/>
      <c r="F291" s="1339"/>
      <c r="G291" s="1340"/>
      <c r="H291" s="1335" t="s">
        <v>160</v>
      </c>
      <c r="I291" s="1347"/>
      <c r="J291" s="1363"/>
      <c r="K291" s="1349"/>
      <c r="L291" s="1079"/>
      <c r="M291" s="1364"/>
      <c r="N291" s="1355"/>
      <c r="O291" s="1356"/>
      <c r="P291" s="1359"/>
      <c r="Q291" s="1308"/>
      <c r="R291" s="1308"/>
      <c r="S291" s="1361"/>
      <c r="T291" s="1308"/>
      <c r="U291" s="1308"/>
      <c r="V291" s="1308"/>
      <c r="W291" s="1308"/>
      <c r="X291" s="1308"/>
      <c r="Y291" s="1308"/>
      <c r="Z291" s="229"/>
      <c r="AA291" s="230"/>
      <c r="AB291" s="44" t="s">
        <v>1059</v>
      </c>
      <c r="AC291" s="231"/>
      <c r="AD291" s="231"/>
      <c r="AE291" s="246"/>
      <c r="AF291" s="1350"/>
      <c r="AG291" s="1352"/>
      <c r="AH291" s="1352"/>
      <c r="AI291" s="1350"/>
      <c r="AJ291" s="1352"/>
      <c r="AK291" s="1352"/>
      <c r="AL291" s="772"/>
    </row>
    <row r="292" spans="1:38" ht="11.25" customHeight="1">
      <c r="A292" s="1030" t="s">
        <v>1019</v>
      </c>
      <c r="E292" s="557"/>
      <c r="F292" s="1339"/>
      <c r="G292" s="1340"/>
      <c r="H292" s="1335" t="s">
        <v>160</v>
      </c>
      <c r="I292" s="1347"/>
      <c r="J292" s="1363"/>
      <c r="K292" s="1349"/>
      <c r="L292" s="1079"/>
      <c r="M292" s="1364"/>
      <c r="N292" s="229"/>
      <c r="O292" s="230"/>
      <c r="P292" s="44" t="s">
        <v>1060</v>
      </c>
      <c r="Q292" s="230"/>
      <c r="R292" s="230"/>
      <c r="S292" s="230"/>
      <c r="T292" s="230"/>
      <c r="U292" s="230"/>
      <c r="V292" s="230"/>
      <c r="W292" s="230"/>
      <c r="X292" s="230"/>
      <c r="Y292" s="230"/>
      <c r="Z292" s="230"/>
      <c r="AA292" s="230"/>
      <c r="AB292" s="230"/>
      <c r="AC292" s="230"/>
      <c r="AD292" s="230"/>
      <c r="AE292" s="247"/>
      <c r="AF292" s="1350"/>
      <c r="AG292" s="1352"/>
      <c r="AH292" s="1352"/>
      <c r="AI292" s="1350"/>
      <c r="AJ292" s="1352"/>
      <c r="AK292" s="1352"/>
      <c r="AL292" s="772"/>
    </row>
    <row r="293" spans="1:38" ht="11.25" customHeight="1">
      <c r="A293" s="1030" t="s">
        <v>1019</v>
      </c>
      <c r="B293" s="1030" t="s">
        <v>1051</v>
      </c>
      <c r="E293" s="557"/>
      <c r="F293" s="1339"/>
      <c r="G293" s="1325" t="s">
        <v>103</v>
      </c>
      <c r="H293" s="1335" t="s">
        <v>162</v>
      </c>
      <c r="I293" s="1347" t="s">
        <v>1052</v>
      </c>
      <c r="J293" s="1363" t="s">
        <v>1093</v>
      </c>
      <c r="K293" s="1349" t="s">
        <v>1094</v>
      </c>
      <c r="L293" s="1079" t="s">
        <v>61</v>
      </c>
      <c r="M293" s="1364" t="s">
        <v>1018</v>
      </c>
      <c r="N293" s="242"/>
      <c r="O293" s="243" t="s">
        <v>384</v>
      </c>
      <c r="P293" s="244"/>
      <c r="Q293" s="244"/>
      <c r="R293" s="244"/>
      <c r="S293" s="244"/>
      <c r="T293" s="244"/>
      <c r="U293" s="244"/>
      <c r="V293" s="244"/>
      <c r="W293" s="244"/>
      <c r="X293" s="244"/>
      <c r="Y293" s="244"/>
      <c r="Z293" s="244"/>
      <c r="AA293" s="244"/>
      <c r="AB293" s="244"/>
      <c r="AC293" s="244"/>
      <c r="AD293" s="244"/>
      <c r="AE293" s="244"/>
      <c r="AF293" s="1350">
        <v>12</v>
      </c>
      <c r="AG293" s="1352" t="s">
        <v>1055</v>
      </c>
      <c r="AH293" s="1352" t="s">
        <v>1095</v>
      </c>
      <c r="AI293" s="1350">
        <v>12</v>
      </c>
      <c r="AJ293" s="1352" t="s">
        <v>1055</v>
      </c>
      <c r="AK293" s="1352" t="s">
        <v>1095</v>
      </c>
      <c r="AL293" s="772"/>
    </row>
    <row r="294" spans="1:38" ht="11.25" customHeight="1">
      <c r="A294" s="1030" t="s">
        <v>1019</v>
      </c>
      <c r="E294" s="557"/>
      <c r="F294" s="1339"/>
      <c r="G294" s="1340"/>
      <c r="H294" s="1335" t="s">
        <v>161</v>
      </c>
      <c r="I294" s="1347"/>
      <c r="J294" s="1363"/>
      <c r="K294" s="1349"/>
      <c r="L294" s="1079"/>
      <c r="M294" s="1364"/>
      <c r="N294" s="1355"/>
      <c r="O294" s="1356">
        <v>1</v>
      </c>
      <c r="P294" s="1357" t="s">
        <v>19</v>
      </c>
      <c r="Q294" s="1308" t="s">
        <v>22</v>
      </c>
      <c r="R294" s="1308" t="s">
        <v>22</v>
      </c>
      <c r="S294" s="1308" t="s">
        <v>22</v>
      </c>
      <c r="T294" s="1308" t="s">
        <v>22</v>
      </c>
      <c r="U294" s="1308" t="s">
        <v>22</v>
      </c>
      <c r="V294" s="1308" t="s">
        <v>22</v>
      </c>
      <c r="W294" s="1308" t="s">
        <v>22</v>
      </c>
      <c r="X294" s="1308" t="s">
        <v>22</v>
      </c>
      <c r="Y294" s="1308"/>
      <c r="Z294" s="229"/>
      <c r="AA294" s="230"/>
      <c r="AB294" s="230"/>
      <c r="AC294" s="231"/>
      <c r="AD294" s="231"/>
      <c r="AE294" s="245"/>
      <c r="AF294" s="1350"/>
      <c r="AG294" s="1352"/>
      <c r="AH294" s="1352"/>
      <c r="AI294" s="1350"/>
      <c r="AJ294" s="1352"/>
      <c r="AK294" s="1352"/>
      <c r="AL294" s="772"/>
    </row>
    <row r="295" spans="1:38" ht="11.25" customHeight="1">
      <c r="A295" s="1030" t="s">
        <v>1019</v>
      </c>
      <c r="E295" s="557"/>
      <c r="F295" s="1339"/>
      <c r="G295" s="1340"/>
      <c r="H295" s="1335" t="s">
        <v>161</v>
      </c>
      <c r="I295" s="1347"/>
      <c r="J295" s="1363"/>
      <c r="K295" s="1349"/>
      <c r="L295" s="1079"/>
      <c r="M295" s="1364"/>
      <c r="N295" s="1355"/>
      <c r="O295" s="1356"/>
      <c r="P295" s="1358"/>
      <c r="Q295" s="1308"/>
      <c r="R295" s="1308"/>
      <c r="S295" s="1361"/>
      <c r="T295" s="1308"/>
      <c r="U295" s="1308"/>
      <c r="V295" s="1308"/>
      <c r="W295" s="1308"/>
      <c r="X295" s="1308"/>
      <c r="Y295" s="1308"/>
      <c r="AA295" s="778">
        <v>1</v>
      </c>
      <c r="AB295" s="779" t="s">
        <v>1057</v>
      </c>
      <c r="AC295" s="237">
        <v>12556.6</v>
      </c>
      <c r="AD295" s="779" t="str">
        <f>AB295</f>
        <v xml:space="preserve">  Кредиты</v>
      </c>
      <c r="AE295" s="237">
        <f>AC295</f>
        <v>12556.6</v>
      </c>
      <c r="AF295" s="1350"/>
      <c r="AG295" s="1352"/>
      <c r="AH295" s="1352"/>
      <c r="AI295" s="1350"/>
      <c r="AJ295" s="1352"/>
      <c r="AK295" s="1352"/>
      <c r="AL295" s="772"/>
    </row>
    <row r="296" spans="1:38" ht="11.25" customHeight="1">
      <c r="A296" s="1030" t="s">
        <v>1019</v>
      </c>
      <c r="E296" s="557"/>
      <c r="F296" s="1339"/>
      <c r="G296" s="1340"/>
      <c r="H296" s="1335" t="s">
        <v>161</v>
      </c>
      <c r="I296" s="1347"/>
      <c r="J296" s="1363"/>
      <c r="K296" s="1349"/>
      <c r="L296" s="1079"/>
      <c r="M296" s="1364"/>
      <c r="N296" s="1355"/>
      <c r="O296" s="1356"/>
      <c r="P296" s="1359"/>
      <c r="Q296" s="1308"/>
      <c r="R296" s="1308"/>
      <c r="S296" s="1361"/>
      <c r="T296" s="1308"/>
      <c r="U296" s="1308"/>
      <c r="V296" s="1308"/>
      <c r="W296" s="1308"/>
      <c r="X296" s="1308"/>
      <c r="Y296" s="1308"/>
      <c r="Z296" s="229"/>
      <c r="AA296" s="230"/>
      <c r="AB296" s="44" t="s">
        <v>1059</v>
      </c>
      <c r="AC296" s="231"/>
      <c r="AD296" s="231"/>
      <c r="AE296" s="246"/>
      <c r="AF296" s="1350"/>
      <c r="AG296" s="1352"/>
      <c r="AH296" s="1352"/>
      <c r="AI296" s="1350"/>
      <c r="AJ296" s="1352"/>
      <c r="AK296" s="1352"/>
      <c r="AL296" s="772"/>
    </row>
    <row r="297" spans="1:38" ht="11.25" customHeight="1">
      <c r="A297" s="1030" t="s">
        <v>1019</v>
      </c>
      <c r="E297" s="557"/>
      <c r="F297" s="1339"/>
      <c r="G297" s="1340"/>
      <c r="H297" s="1335" t="s">
        <v>161</v>
      </c>
      <c r="I297" s="1347"/>
      <c r="J297" s="1363"/>
      <c r="K297" s="1349"/>
      <c r="L297" s="1079"/>
      <c r="M297" s="1364"/>
      <c r="N297" s="229"/>
      <c r="O297" s="230"/>
      <c r="P297" s="44" t="s">
        <v>1060</v>
      </c>
      <c r="Q297" s="230"/>
      <c r="R297" s="230"/>
      <c r="S297" s="230"/>
      <c r="T297" s="230"/>
      <c r="U297" s="230"/>
      <c r="V297" s="230"/>
      <c r="W297" s="230"/>
      <c r="X297" s="230"/>
      <c r="Y297" s="230"/>
      <c r="Z297" s="230"/>
      <c r="AA297" s="230"/>
      <c r="AB297" s="230"/>
      <c r="AC297" s="230"/>
      <c r="AD297" s="230"/>
      <c r="AE297" s="247"/>
      <c r="AF297" s="1350"/>
      <c r="AG297" s="1352"/>
      <c r="AH297" s="1352"/>
      <c r="AI297" s="1350"/>
      <c r="AJ297" s="1352"/>
      <c r="AK297" s="1352"/>
      <c r="AL297" s="772"/>
    </row>
    <row r="298" spans="1:38" ht="11.25" customHeight="1">
      <c r="A298" s="1030" t="s">
        <v>1019</v>
      </c>
      <c r="B298" s="1030" t="s">
        <v>22</v>
      </c>
      <c r="E298" s="557"/>
      <c r="F298" s="1339"/>
      <c r="G298" s="1325" t="s">
        <v>103</v>
      </c>
      <c r="H298" s="1335" t="s">
        <v>163</v>
      </c>
      <c r="I298" s="1347" t="s">
        <v>1111</v>
      </c>
      <c r="J298" s="1360" t="s">
        <v>22</v>
      </c>
      <c r="K298" s="1349" t="s">
        <v>1112</v>
      </c>
      <c r="L298" s="1079" t="s">
        <v>19</v>
      </c>
      <c r="M298" s="1080"/>
      <c r="N298" s="242"/>
      <c r="O298" s="243" t="s">
        <v>384</v>
      </c>
      <c r="P298" s="244"/>
      <c r="Q298" s="244"/>
      <c r="R298" s="244"/>
      <c r="S298" s="244"/>
      <c r="T298" s="244"/>
      <c r="U298" s="244"/>
      <c r="V298" s="244"/>
      <c r="W298" s="244"/>
      <c r="X298" s="244"/>
      <c r="Y298" s="244"/>
      <c r="Z298" s="244"/>
      <c r="AA298" s="244"/>
      <c r="AB298" s="244"/>
      <c r="AC298" s="244"/>
      <c r="AD298" s="244"/>
      <c r="AE298" s="244"/>
      <c r="AF298" s="1350">
        <v>2</v>
      </c>
      <c r="AG298" s="1352" t="s">
        <v>1055</v>
      </c>
      <c r="AH298" s="1352" t="s">
        <v>1113</v>
      </c>
      <c r="AI298" s="1350">
        <v>2</v>
      </c>
      <c r="AJ298" s="1352" t="s">
        <v>1055</v>
      </c>
      <c r="AK298" s="1352" t="s">
        <v>1113</v>
      </c>
      <c r="AL298" s="772"/>
    </row>
    <row r="299" spans="1:38" ht="11.25" customHeight="1">
      <c r="A299" s="1030" t="s">
        <v>1019</v>
      </c>
      <c r="E299" s="557"/>
      <c r="F299" s="1339"/>
      <c r="G299" s="1340"/>
      <c r="H299" s="1335" t="s">
        <v>162</v>
      </c>
      <c r="I299" s="1347"/>
      <c r="J299" s="1360"/>
      <c r="K299" s="1349"/>
      <c r="L299" s="1079"/>
      <c r="M299" s="1080"/>
      <c r="N299" s="1355"/>
      <c r="O299" s="1356">
        <v>1</v>
      </c>
      <c r="P299" s="1357" t="s">
        <v>19</v>
      </c>
      <c r="Q299" s="1308" t="s">
        <v>22</v>
      </c>
      <c r="R299" s="1308" t="s">
        <v>22</v>
      </c>
      <c r="S299" s="1308" t="s">
        <v>22</v>
      </c>
      <c r="T299" s="1308" t="s">
        <v>22</v>
      </c>
      <c r="U299" s="1308" t="s">
        <v>22</v>
      </c>
      <c r="V299" s="1308" t="s">
        <v>22</v>
      </c>
      <c r="W299" s="1308" t="s">
        <v>22</v>
      </c>
      <c r="X299" s="1308" t="s">
        <v>22</v>
      </c>
      <c r="Y299" s="1308"/>
      <c r="Z299" s="229"/>
      <c r="AA299" s="230"/>
      <c r="AB299" s="230"/>
      <c r="AC299" s="231"/>
      <c r="AD299" s="231"/>
      <c r="AE299" s="245"/>
      <c r="AF299" s="1350"/>
      <c r="AG299" s="1352"/>
      <c r="AH299" s="1352"/>
      <c r="AI299" s="1350"/>
      <c r="AJ299" s="1352"/>
      <c r="AK299" s="1352"/>
      <c r="AL299" s="772"/>
    </row>
    <row r="300" spans="1:38" ht="11.25" customHeight="1">
      <c r="A300" s="1030" t="s">
        <v>1019</v>
      </c>
      <c r="E300" s="557"/>
      <c r="F300" s="1339"/>
      <c r="G300" s="1340"/>
      <c r="H300" s="1335" t="s">
        <v>162</v>
      </c>
      <c r="I300" s="1347"/>
      <c r="J300" s="1360"/>
      <c r="K300" s="1349"/>
      <c r="L300" s="1079"/>
      <c r="M300" s="1080"/>
      <c r="N300" s="1355"/>
      <c r="O300" s="1356"/>
      <c r="P300" s="1358"/>
      <c r="Q300" s="1308"/>
      <c r="R300" s="1308"/>
      <c r="S300" s="1361"/>
      <c r="T300" s="1308"/>
      <c r="U300" s="1308"/>
      <c r="V300" s="1308"/>
      <c r="W300" s="1308"/>
      <c r="X300" s="1308"/>
      <c r="Y300" s="1308"/>
      <c r="AA300" s="778">
        <v>1</v>
      </c>
      <c r="AB300" s="779" t="s">
        <v>1057</v>
      </c>
      <c r="AC300" s="237">
        <v>35251</v>
      </c>
      <c r="AD300" s="779" t="str">
        <f>AB300</f>
        <v xml:space="preserve">  Кредиты</v>
      </c>
      <c r="AE300" s="237">
        <f>AC300</f>
        <v>35251</v>
      </c>
      <c r="AF300" s="1350"/>
      <c r="AG300" s="1352"/>
      <c r="AH300" s="1352"/>
      <c r="AI300" s="1350"/>
      <c r="AJ300" s="1352"/>
      <c r="AK300" s="1352"/>
      <c r="AL300" s="772"/>
    </row>
    <row r="301" spans="1:38" ht="11.25" customHeight="1">
      <c r="A301" s="1030" t="s">
        <v>1019</v>
      </c>
      <c r="E301" s="557"/>
      <c r="F301" s="1339"/>
      <c r="G301" s="1340"/>
      <c r="H301" s="1335" t="s">
        <v>162</v>
      </c>
      <c r="I301" s="1347"/>
      <c r="J301" s="1360"/>
      <c r="K301" s="1349"/>
      <c r="L301" s="1079"/>
      <c r="M301" s="1080"/>
      <c r="N301" s="1355"/>
      <c r="O301" s="1356"/>
      <c r="P301" s="1359"/>
      <c r="Q301" s="1308"/>
      <c r="R301" s="1308"/>
      <c r="S301" s="1361"/>
      <c r="T301" s="1308"/>
      <c r="U301" s="1308"/>
      <c r="V301" s="1308"/>
      <c r="W301" s="1308"/>
      <c r="X301" s="1308"/>
      <c r="Y301" s="1308"/>
      <c r="Z301" s="229"/>
      <c r="AA301" s="230"/>
      <c r="AB301" s="44" t="s">
        <v>1059</v>
      </c>
      <c r="AC301" s="231"/>
      <c r="AD301" s="231"/>
      <c r="AE301" s="246"/>
      <c r="AF301" s="1350"/>
      <c r="AG301" s="1352"/>
      <c r="AH301" s="1352"/>
      <c r="AI301" s="1350"/>
      <c r="AJ301" s="1352"/>
      <c r="AK301" s="1352"/>
      <c r="AL301" s="772"/>
    </row>
    <row r="302" spans="1:38" ht="11.25" customHeight="1">
      <c r="A302" s="1030" t="s">
        <v>1019</v>
      </c>
      <c r="E302" s="557"/>
      <c r="F302" s="1339"/>
      <c r="G302" s="1340"/>
      <c r="H302" s="1335" t="s">
        <v>162</v>
      </c>
      <c r="I302" s="1347"/>
      <c r="J302" s="1360"/>
      <c r="K302" s="1349"/>
      <c r="L302" s="1079"/>
      <c r="M302" s="1080"/>
      <c r="N302" s="229"/>
      <c r="O302" s="230"/>
      <c r="P302" s="44" t="s">
        <v>1060</v>
      </c>
      <c r="Q302" s="230"/>
      <c r="R302" s="230"/>
      <c r="S302" s="230"/>
      <c r="T302" s="230"/>
      <c r="U302" s="230"/>
      <c r="V302" s="230"/>
      <c r="W302" s="230"/>
      <c r="X302" s="230"/>
      <c r="Y302" s="230"/>
      <c r="Z302" s="230"/>
      <c r="AA302" s="230"/>
      <c r="AB302" s="230"/>
      <c r="AC302" s="230"/>
      <c r="AD302" s="230"/>
      <c r="AE302" s="247"/>
      <c r="AF302" s="1350"/>
      <c r="AG302" s="1352"/>
      <c r="AH302" s="1352"/>
      <c r="AI302" s="1350"/>
      <c r="AJ302" s="1352"/>
      <c r="AK302" s="1352"/>
      <c r="AL302" s="772"/>
    </row>
    <row r="303" spans="1:38" ht="12" customHeight="1">
      <c r="A303" t="s">
        <v>1019</v>
      </c>
      <c r="E303" s="557"/>
      <c r="F303" s="1341"/>
      <c r="G303" s="775"/>
      <c r="H303" s="775"/>
      <c r="I303" s="1337" t="s">
        <v>1070</v>
      </c>
      <c r="J303" s="1337"/>
      <c r="K303" s="1337"/>
      <c r="L303" s="776"/>
      <c r="M303" s="776"/>
      <c r="N303" s="777"/>
      <c r="O303" s="777"/>
      <c r="P303" s="777"/>
      <c r="Q303" s="777"/>
      <c r="R303" s="777"/>
      <c r="S303" s="777"/>
      <c r="T303" s="777"/>
      <c r="U303" s="777"/>
      <c r="V303" s="777"/>
      <c r="W303" s="777"/>
      <c r="X303" s="777"/>
      <c r="Y303" s="777"/>
      <c r="Z303" s="777"/>
      <c r="AA303" s="777"/>
      <c r="AB303" s="777"/>
      <c r="AC303" s="777"/>
      <c r="AD303" s="777"/>
      <c r="AE303" s="777"/>
      <c r="AF303" s="777"/>
      <c r="AG303" s="776"/>
      <c r="AH303" s="776"/>
      <c r="AI303" s="777"/>
      <c r="AJ303" s="776"/>
      <c r="AK303" s="777"/>
      <c r="AL303" s="772"/>
    </row>
    <row r="304" spans="1:38" ht="0.75" customHeight="1">
      <c r="A304" t="s">
        <v>1019</v>
      </c>
      <c r="E304" s="557"/>
      <c r="F304" s="1338">
        <v>2020</v>
      </c>
      <c r="G304" s="1335"/>
      <c r="H304" s="1343" t="s">
        <v>384</v>
      </c>
      <c r="I304" s="1344"/>
      <c r="J304" s="1334"/>
      <c r="K304" s="1334"/>
      <c r="L304" s="1336"/>
      <c r="M304" s="1190"/>
      <c r="N304" s="214"/>
      <c r="O304" s="215"/>
      <c r="P304" s="214"/>
      <c r="Q304" s="214"/>
      <c r="R304" s="214"/>
      <c r="S304" s="214"/>
      <c r="T304" s="214"/>
      <c r="U304" s="214"/>
      <c r="V304" s="214"/>
      <c r="W304" s="214"/>
      <c r="X304" s="214"/>
      <c r="Y304" s="214"/>
      <c r="Z304" s="214"/>
      <c r="AA304" s="214"/>
      <c r="AB304" s="214"/>
      <c r="AC304" s="214"/>
      <c r="AD304" s="214"/>
      <c r="AE304" s="214"/>
      <c r="AF304" s="1342"/>
      <c r="AG304" s="1336"/>
      <c r="AH304" s="1336"/>
      <c r="AI304" s="1342"/>
      <c r="AJ304" s="1336"/>
      <c r="AK304" s="1336"/>
      <c r="AL304" s="772"/>
    </row>
    <row r="305" spans="1:38" ht="0.75" customHeight="1">
      <c r="A305" t="s">
        <v>1019</v>
      </c>
      <c r="E305" s="557"/>
      <c r="F305" s="1338"/>
      <c r="G305" s="1335"/>
      <c r="H305" s="1343"/>
      <c r="I305" s="1344"/>
      <c r="J305" s="1334"/>
      <c r="K305" s="1334"/>
      <c r="L305" s="1336"/>
      <c r="M305" s="1190"/>
      <c r="N305" s="1345"/>
      <c r="O305" s="1346"/>
      <c r="P305" s="1331"/>
      <c r="Q305" s="1334"/>
      <c r="R305" s="1334"/>
      <c r="S305" s="1334"/>
      <c r="T305" s="1334"/>
      <c r="U305" s="1334"/>
      <c r="V305" s="1334"/>
      <c r="W305" s="1334"/>
      <c r="X305" s="1334"/>
      <c r="Y305" s="1334"/>
      <c r="Z305" s="216"/>
      <c r="AA305" s="217"/>
      <c r="AB305" s="217"/>
      <c r="AC305" s="218"/>
      <c r="AD305" s="218"/>
      <c r="AE305" s="219"/>
      <c r="AF305" s="1342"/>
      <c r="AG305" s="1336"/>
      <c r="AH305" s="1336"/>
      <c r="AI305" s="1342"/>
      <c r="AJ305" s="1336"/>
      <c r="AK305" s="1336"/>
      <c r="AL305" s="772"/>
    </row>
    <row r="306" spans="1:38" ht="0.75" customHeight="1">
      <c r="A306" t="s">
        <v>1019</v>
      </c>
      <c r="E306" s="557"/>
      <c r="F306" s="1338"/>
      <c r="G306" s="1335"/>
      <c r="H306" s="1343"/>
      <c r="I306" s="1344"/>
      <c r="J306" s="1334"/>
      <c r="K306" s="1334"/>
      <c r="L306" s="1336"/>
      <c r="M306" s="1190"/>
      <c r="N306" s="1345"/>
      <c r="O306" s="1346"/>
      <c r="P306" s="1332"/>
      <c r="Q306" s="1334"/>
      <c r="R306" s="1334"/>
      <c r="S306" s="1334"/>
      <c r="T306" s="1334"/>
      <c r="U306" s="1334"/>
      <c r="V306" s="1334"/>
      <c r="W306" s="1334"/>
      <c r="X306" s="1334"/>
      <c r="Y306" s="1334"/>
      <c r="AA306" s="773"/>
      <c r="AB306" s="774"/>
      <c r="AC306" s="220"/>
      <c r="AD306" s="774"/>
      <c r="AE306" s="220"/>
      <c r="AF306" s="1342"/>
      <c r="AG306" s="1336"/>
      <c r="AH306" s="1336"/>
      <c r="AI306" s="1342"/>
      <c r="AJ306" s="1336"/>
      <c r="AK306" s="1336"/>
      <c r="AL306" s="772"/>
    </row>
    <row r="307" spans="1:38" ht="0.75" customHeight="1">
      <c r="A307" t="s">
        <v>1019</v>
      </c>
      <c r="E307" s="557"/>
      <c r="F307" s="1338"/>
      <c r="G307" s="1335"/>
      <c r="H307" s="1343"/>
      <c r="I307" s="1344"/>
      <c r="J307" s="1334"/>
      <c r="K307" s="1334"/>
      <c r="L307" s="1336"/>
      <c r="M307" s="1190"/>
      <c r="N307" s="1345"/>
      <c r="O307" s="1346"/>
      <c r="P307" s="1333"/>
      <c r="Q307" s="1334"/>
      <c r="R307" s="1334"/>
      <c r="S307" s="1334"/>
      <c r="T307" s="1334"/>
      <c r="U307" s="1334"/>
      <c r="V307" s="1334"/>
      <c r="W307" s="1334"/>
      <c r="X307" s="1334"/>
      <c r="Y307" s="1334"/>
      <c r="Z307" s="216"/>
      <c r="AA307" s="217"/>
      <c r="AB307" s="221"/>
      <c r="AC307" s="218"/>
      <c r="AD307" s="218"/>
      <c r="AE307" s="222"/>
      <c r="AF307" s="1342"/>
      <c r="AG307" s="1336"/>
      <c r="AH307" s="1336"/>
      <c r="AI307" s="1342"/>
      <c r="AJ307" s="1336"/>
      <c r="AK307" s="1336"/>
      <c r="AL307" s="772"/>
    </row>
    <row r="308" spans="1:38" ht="0.75" customHeight="1">
      <c r="A308" s="1030" t="s">
        <v>1019</v>
      </c>
      <c r="E308" s="557"/>
      <c r="F308" s="1338"/>
      <c r="G308" s="1335"/>
      <c r="H308" s="1343"/>
      <c r="I308" s="1344"/>
      <c r="J308" s="1334"/>
      <c r="K308" s="1334"/>
      <c r="L308" s="1336"/>
      <c r="M308" s="1190"/>
      <c r="N308" s="217"/>
      <c r="O308" s="217"/>
      <c r="P308" s="221"/>
      <c r="Q308" s="217"/>
      <c r="R308" s="217"/>
      <c r="S308" s="217"/>
      <c r="T308" s="217"/>
      <c r="U308" s="217"/>
      <c r="V308" s="217"/>
      <c r="W308" s="217"/>
      <c r="X308" s="217"/>
      <c r="Y308" s="217"/>
      <c r="Z308" s="217"/>
      <c r="AA308" s="217"/>
      <c r="AB308" s="217"/>
      <c r="AC308" s="217"/>
      <c r="AD308" s="217"/>
      <c r="AE308" s="223"/>
      <c r="AF308" s="1342"/>
      <c r="AG308" s="1336"/>
      <c r="AH308" s="1336"/>
      <c r="AI308" s="1342"/>
      <c r="AJ308" s="1336"/>
      <c r="AK308" s="1336"/>
      <c r="AL308" s="772"/>
    </row>
    <row r="309" spans="1:38" ht="11.25" customHeight="1">
      <c r="A309" s="1030" t="s">
        <v>1019</v>
      </c>
      <c r="B309" s="1030" t="s">
        <v>22</v>
      </c>
      <c r="E309" s="557"/>
      <c r="F309" s="1339"/>
      <c r="G309" s="1325" t="s">
        <v>103</v>
      </c>
      <c r="H309" s="1335" t="s">
        <v>114</v>
      </c>
      <c r="I309" s="1347" t="s">
        <v>1071</v>
      </c>
      <c r="J309" s="1360" t="s">
        <v>22</v>
      </c>
      <c r="K309" s="1349" t="s">
        <v>1096</v>
      </c>
      <c r="L309" s="1079" t="s">
        <v>19</v>
      </c>
      <c r="M309" s="1080"/>
      <c r="N309" s="242"/>
      <c r="O309" s="243" t="s">
        <v>384</v>
      </c>
      <c r="P309" s="244"/>
      <c r="Q309" s="244"/>
      <c r="R309" s="244"/>
      <c r="S309" s="244"/>
      <c r="T309" s="244"/>
      <c r="U309" s="244"/>
      <c r="V309" s="244"/>
      <c r="W309" s="244"/>
      <c r="X309" s="244"/>
      <c r="Y309" s="244"/>
      <c r="Z309" s="244"/>
      <c r="AA309" s="244"/>
      <c r="AB309" s="244"/>
      <c r="AC309" s="244"/>
      <c r="AD309" s="244"/>
      <c r="AE309" s="244"/>
      <c r="AF309" s="1350">
        <v>3</v>
      </c>
      <c r="AG309" s="1352" t="s">
        <v>1055</v>
      </c>
      <c r="AH309" s="1352" t="s">
        <v>1097</v>
      </c>
      <c r="AI309" s="1350">
        <v>3</v>
      </c>
      <c r="AJ309" s="1352" t="s">
        <v>1055</v>
      </c>
      <c r="AK309" s="1352" t="s">
        <v>1097</v>
      </c>
      <c r="AL309" s="772"/>
    </row>
    <row r="310" spans="1:38" ht="11.25" customHeight="1">
      <c r="A310" s="1030" t="s">
        <v>1019</v>
      </c>
      <c r="E310" s="557"/>
      <c r="F310" s="1339"/>
      <c r="G310" s="1340"/>
      <c r="H310" s="1335" t="s">
        <v>384</v>
      </c>
      <c r="I310" s="1347"/>
      <c r="J310" s="1360"/>
      <c r="K310" s="1349"/>
      <c r="L310" s="1079"/>
      <c r="M310" s="1080"/>
      <c r="N310" s="1355"/>
      <c r="O310" s="1356">
        <v>1</v>
      </c>
      <c r="P310" s="1357" t="s">
        <v>19</v>
      </c>
      <c r="Q310" s="1308" t="s">
        <v>22</v>
      </c>
      <c r="R310" s="1308" t="s">
        <v>22</v>
      </c>
      <c r="S310" s="1308" t="s">
        <v>22</v>
      </c>
      <c r="T310" s="1308" t="s">
        <v>22</v>
      </c>
      <c r="U310" s="1308" t="s">
        <v>22</v>
      </c>
      <c r="V310" s="1308" t="s">
        <v>22</v>
      </c>
      <c r="W310" s="1308" t="s">
        <v>22</v>
      </c>
      <c r="X310" s="1308" t="s">
        <v>22</v>
      </c>
      <c r="Y310" s="1308"/>
      <c r="Z310" s="229"/>
      <c r="AA310" s="230"/>
      <c r="AB310" s="230"/>
      <c r="AC310" s="231"/>
      <c r="AD310" s="231"/>
      <c r="AE310" s="245"/>
      <c r="AF310" s="1350"/>
      <c r="AG310" s="1352"/>
      <c r="AH310" s="1352"/>
      <c r="AI310" s="1350"/>
      <c r="AJ310" s="1352"/>
      <c r="AK310" s="1352"/>
      <c r="AL310" s="772"/>
    </row>
    <row r="311" spans="1:38" ht="11.25" customHeight="1">
      <c r="A311" s="1030" t="s">
        <v>1019</v>
      </c>
      <c r="E311" s="557"/>
      <c r="F311" s="1339"/>
      <c r="G311" s="1340"/>
      <c r="H311" s="1335" t="s">
        <v>384</v>
      </c>
      <c r="I311" s="1347"/>
      <c r="J311" s="1360"/>
      <c r="K311" s="1349"/>
      <c r="L311" s="1079"/>
      <c r="M311" s="1080"/>
      <c r="N311" s="1355"/>
      <c r="O311" s="1356"/>
      <c r="P311" s="1358"/>
      <c r="Q311" s="1308"/>
      <c r="R311" s="1308"/>
      <c r="S311" s="1361"/>
      <c r="T311" s="1308"/>
      <c r="U311" s="1308"/>
      <c r="V311" s="1308"/>
      <c r="W311" s="1308"/>
      <c r="X311" s="1308"/>
      <c r="Y311" s="1308"/>
      <c r="AA311" s="778">
        <v>1</v>
      </c>
      <c r="AB311" s="779" t="s">
        <v>1057</v>
      </c>
      <c r="AC311" s="237">
        <v>3543</v>
      </c>
      <c r="AD311" s="779" t="str">
        <f>AB311</f>
        <v xml:space="preserve">  Кредиты</v>
      </c>
      <c r="AE311" s="237">
        <f>AC311</f>
        <v>3543</v>
      </c>
      <c r="AF311" s="1350"/>
      <c r="AG311" s="1352"/>
      <c r="AH311" s="1352"/>
      <c r="AI311" s="1350"/>
      <c r="AJ311" s="1352"/>
      <c r="AK311" s="1352"/>
      <c r="AL311" s="772"/>
    </row>
    <row r="312" spans="1:38" ht="11.25" customHeight="1">
      <c r="A312" s="1030" t="s">
        <v>1019</v>
      </c>
      <c r="E312" s="557"/>
      <c r="F312" s="1339"/>
      <c r="G312" s="1340"/>
      <c r="H312" s="1335" t="s">
        <v>384</v>
      </c>
      <c r="I312" s="1347"/>
      <c r="J312" s="1360"/>
      <c r="K312" s="1349"/>
      <c r="L312" s="1079"/>
      <c r="M312" s="1080"/>
      <c r="N312" s="1355"/>
      <c r="O312" s="1356"/>
      <c r="P312" s="1359"/>
      <c r="Q312" s="1308"/>
      <c r="R312" s="1308"/>
      <c r="S312" s="1361"/>
      <c r="T312" s="1308"/>
      <c r="U312" s="1308"/>
      <c r="V312" s="1308"/>
      <c r="W312" s="1308"/>
      <c r="X312" s="1308"/>
      <c r="Y312" s="1308"/>
      <c r="Z312" s="229"/>
      <c r="AA312" s="230"/>
      <c r="AB312" s="44" t="s">
        <v>1059</v>
      </c>
      <c r="AC312" s="231"/>
      <c r="AD312" s="231"/>
      <c r="AE312" s="246"/>
      <c r="AF312" s="1350"/>
      <c r="AG312" s="1352"/>
      <c r="AH312" s="1352"/>
      <c r="AI312" s="1350"/>
      <c r="AJ312" s="1352"/>
      <c r="AK312" s="1352"/>
      <c r="AL312" s="772"/>
    </row>
    <row r="313" spans="1:38" ht="11.25" customHeight="1">
      <c r="A313" s="1030" t="s">
        <v>1019</v>
      </c>
      <c r="E313" s="557"/>
      <c r="F313" s="1339"/>
      <c r="G313" s="1340"/>
      <c r="H313" s="1335" t="s">
        <v>384</v>
      </c>
      <c r="I313" s="1347"/>
      <c r="J313" s="1360"/>
      <c r="K313" s="1349"/>
      <c r="L313" s="1079"/>
      <c r="M313" s="1080"/>
      <c r="N313" s="229"/>
      <c r="O313" s="230"/>
      <c r="P313" s="44" t="s">
        <v>1060</v>
      </c>
      <c r="Q313" s="230"/>
      <c r="R313" s="230"/>
      <c r="S313" s="230"/>
      <c r="T313" s="230"/>
      <c r="U313" s="230"/>
      <c r="V313" s="230"/>
      <c r="W313" s="230"/>
      <c r="X313" s="230"/>
      <c r="Y313" s="230"/>
      <c r="Z313" s="230"/>
      <c r="AA313" s="230"/>
      <c r="AB313" s="230"/>
      <c r="AC313" s="230"/>
      <c r="AD313" s="230"/>
      <c r="AE313" s="247"/>
      <c r="AF313" s="1350"/>
      <c r="AG313" s="1352"/>
      <c r="AH313" s="1352"/>
      <c r="AI313" s="1350"/>
      <c r="AJ313" s="1352"/>
      <c r="AK313" s="1352"/>
      <c r="AL313" s="772"/>
    </row>
    <row r="314" spans="1:38" ht="11.25" customHeight="1">
      <c r="A314" s="1030" t="s">
        <v>1019</v>
      </c>
      <c r="B314" s="1030" t="s">
        <v>22</v>
      </c>
      <c r="E314" s="557"/>
      <c r="F314" s="1339"/>
      <c r="G314" s="1325" t="s">
        <v>103</v>
      </c>
      <c r="H314" s="1335" t="s">
        <v>102</v>
      </c>
      <c r="I314" s="1347" t="s">
        <v>1071</v>
      </c>
      <c r="J314" s="1360" t="s">
        <v>22</v>
      </c>
      <c r="K314" s="1349" t="s">
        <v>1104</v>
      </c>
      <c r="L314" s="1079" t="s">
        <v>61</v>
      </c>
      <c r="M314" s="1364" t="s">
        <v>1018</v>
      </c>
      <c r="N314" s="242"/>
      <c r="O314" s="243" t="s">
        <v>384</v>
      </c>
      <c r="P314" s="244"/>
      <c r="Q314" s="244"/>
      <c r="R314" s="244"/>
      <c r="S314" s="244"/>
      <c r="T314" s="244"/>
      <c r="U314" s="244"/>
      <c r="V314" s="244"/>
      <c r="W314" s="244"/>
      <c r="X314" s="244"/>
      <c r="Y314" s="244"/>
      <c r="Z314" s="244"/>
      <c r="AA314" s="244"/>
      <c r="AB314" s="244"/>
      <c r="AC314" s="244"/>
      <c r="AD314" s="244"/>
      <c r="AE314" s="244"/>
      <c r="AF314" s="1350">
        <v>7</v>
      </c>
      <c r="AG314" s="1352" t="s">
        <v>1055</v>
      </c>
      <c r="AH314" s="1352" t="s">
        <v>1105</v>
      </c>
      <c r="AI314" s="1350">
        <v>7</v>
      </c>
      <c r="AJ314" s="1352" t="s">
        <v>1055</v>
      </c>
      <c r="AK314" s="1352" t="s">
        <v>1105</v>
      </c>
      <c r="AL314" s="772"/>
    </row>
    <row r="315" spans="1:38" ht="11.25" customHeight="1">
      <c r="A315" s="1030" t="s">
        <v>1019</v>
      </c>
      <c r="E315" s="557"/>
      <c r="F315" s="1339"/>
      <c r="G315" s="1340"/>
      <c r="H315" s="1335" t="s">
        <v>114</v>
      </c>
      <c r="I315" s="1347"/>
      <c r="J315" s="1360"/>
      <c r="K315" s="1349"/>
      <c r="L315" s="1079"/>
      <c r="M315" s="1364"/>
      <c r="N315" s="1355"/>
      <c r="O315" s="1356">
        <v>1</v>
      </c>
      <c r="P315" s="1357" t="s">
        <v>61</v>
      </c>
      <c r="Q315" s="1348" t="s">
        <v>1074</v>
      </c>
      <c r="R315" s="1362" t="s">
        <v>1075</v>
      </c>
      <c r="S315" s="1362" t="s">
        <v>99</v>
      </c>
      <c r="T315" s="1362" t="s">
        <v>99</v>
      </c>
      <c r="U315" s="1362" t="s">
        <v>100</v>
      </c>
      <c r="V315" s="1362" t="s">
        <v>1066</v>
      </c>
      <c r="W315" s="1362" t="s">
        <v>1067</v>
      </c>
      <c r="X315" s="1362" t="s">
        <v>1076</v>
      </c>
      <c r="Y315" s="1362" t="s">
        <v>1077</v>
      </c>
      <c r="Z315" s="229"/>
      <c r="AA315" s="230"/>
      <c r="AB315" s="230"/>
      <c r="AC315" s="231"/>
      <c r="AD315" s="231"/>
      <c r="AE315" s="245"/>
      <c r="AF315" s="1350"/>
      <c r="AG315" s="1352"/>
      <c r="AH315" s="1352"/>
      <c r="AI315" s="1350"/>
      <c r="AJ315" s="1352"/>
      <c r="AK315" s="1352"/>
      <c r="AL315" s="772"/>
    </row>
    <row r="316" spans="1:38" ht="11.25" customHeight="1">
      <c r="A316" s="1030" t="s">
        <v>1019</v>
      </c>
      <c r="E316" s="557"/>
      <c r="F316" s="1339"/>
      <c r="G316" s="1340"/>
      <c r="H316" s="1335" t="s">
        <v>114</v>
      </c>
      <c r="I316" s="1347"/>
      <c r="J316" s="1360"/>
      <c r="K316" s="1349"/>
      <c r="L316" s="1079"/>
      <c r="M316" s="1364"/>
      <c r="N316" s="1355"/>
      <c r="O316" s="1356"/>
      <c r="P316" s="1358"/>
      <c r="Q316" s="1348"/>
      <c r="R316" s="1308"/>
      <c r="S316" s="1361"/>
      <c r="T316" s="1308"/>
      <c r="U316" s="1308"/>
      <c r="V316" s="1308"/>
      <c r="W316" s="1308"/>
      <c r="X316" s="1308"/>
      <c r="Y316" s="1308"/>
      <c r="AA316" s="778">
        <v>1</v>
      </c>
      <c r="AB316" s="779" t="s">
        <v>1057</v>
      </c>
      <c r="AC316" s="237">
        <v>1056</v>
      </c>
      <c r="AD316" s="779" t="str">
        <f>AB316</f>
        <v xml:space="preserve">  Кредиты</v>
      </c>
      <c r="AE316" s="237">
        <f>AC316</f>
        <v>1056</v>
      </c>
      <c r="AF316" s="1350"/>
      <c r="AG316" s="1352"/>
      <c r="AH316" s="1352"/>
      <c r="AI316" s="1350"/>
      <c r="AJ316" s="1352"/>
      <c r="AK316" s="1352"/>
      <c r="AL316" s="772"/>
    </row>
    <row r="317" spans="1:38" ht="11.25" customHeight="1">
      <c r="A317" s="1030" t="s">
        <v>1019</v>
      </c>
      <c r="E317" s="557"/>
      <c r="F317" s="1339"/>
      <c r="G317" s="1340"/>
      <c r="H317" s="1335" t="s">
        <v>114</v>
      </c>
      <c r="I317" s="1347"/>
      <c r="J317" s="1360"/>
      <c r="K317" s="1349"/>
      <c r="L317" s="1079"/>
      <c r="M317" s="1364"/>
      <c r="N317" s="1355"/>
      <c r="O317" s="1356"/>
      <c r="P317" s="1359"/>
      <c r="Q317" s="1348"/>
      <c r="R317" s="1308"/>
      <c r="S317" s="1361"/>
      <c r="T317" s="1308"/>
      <c r="U317" s="1308"/>
      <c r="V317" s="1308"/>
      <c r="W317" s="1308"/>
      <c r="X317" s="1308"/>
      <c r="Y317" s="1308"/>
      <c r="Z317" s="229"/>
      <c r="AA317" s="230"/>
      <c r="AB317" s="44" t="s">
        <v>1059</v>
      </c>
      <c r="AC317" s="231"/>
      <c r="AD317" s="231"/>
      <c r="AE317" s="246"/>
      <c r="AF317" s="1350"/>
      <c r="AG317" s="1352"/>
      <c r="AH317" s="1352"/>
      <c r="AI317" s="1350"/>
      <c r="AJ317" s="1352"/>
      <c r="AK317" s="1352"/>
      <c r="AL317" s="772"/>
    </row>
    <row r="318" spans="1:38" ht="11.25" customHeight="1">
      <c r="A318" s="1030" t="s">
        <v>1019</v>
      </c>
      <c r="E318" s="557"/>
      <c r="F318" s="1339"/>
      <c r="G318" s="1340"/>
      <c r="H318" s="1335" t="s">
        <v>114</v>
      </c>
      <c r="I318" s="1347"/>
      <c r="J318" s="1360"/>
      <c r="K318" s="1349"/>
      <c r="L318" s="1079"/>
      <c r="M318" s="1364"/>
      <c r="N318" s="229"/>
      <c r="O318" s="230"/>
      <c r="P318" s="44" t="s">
        <v>1060</v>
      </c>
      <c r="Q318" s="230"/>
      <c r="R318" s="230"/>
      <c r="S318" s="230"/>
      <c r="T318" s="230"/>
      <c r="U318" s="230"/>
      <c r="V318" s="230"/>
      <c r="W318" s="230"/>
      <c r="X318" s="230"/>
      <c r="Y318" s="230"/>
      <c r="Z318" s="230"/>
      <c r="AA318" s="230"/>
      <c r="AB318" s="230"/>
      <c r="AC318" s="230"/>
      <c r="AD318" s="230"/>
      <c r="AE318" s="247"/>
      <c r="AF318" s="1350"/>
      <c r="AG318" s="1352"/>
      <c r="AH318" s="1352"/>
      <c r="AI318" s="1350"/>
      <c r="AJ318" s="1352"/>
      <c r="AK318" s="1352"/>
      <c r="AL318" s="772"/>
    </row>
    <row r="319" spans="1:38" ht="11.25" customHeight="1">
      <c r="A319" s="1030" t="s">
        <v>1019</v>
      </c>
      <c r="B319" s="1030" t="s">
        <v>22</v>
      </c>
      <c r="E319" s="557"/>
      <c r="F319" s="1339"/>
      <c r="G319" s="1325" t="s">
        <v>103</v>
      </c>
      <c r="H319" s="1335" t="s">
        <v>89</v>
      </c>
      <c r="I319" s="1347" t="s">
        <v>1071</v>
      </c>
      <c r="J319" s="1360" t="s">
        <v>22</v>
      </c>
      <c r="K319" s="1349" t="s">
        <v>1099</v>
      </c>
      <c r="L319" s="1079" t="s">
        <v>61</v>
      </c>
      <c r="M319" s="1364" t="s">
        <v>1018</v>
      </c>
      <c r="N319" s="242"/>
      <c r="O319" s="243" t="s">
        <v>384</v>
      </c>
      <c r="P319" s="244"/>
      <c r="Q319" s="244"/>
      <c r="R319" s="244"/>
      <c r="S319" s="244"/>
      <c r="T319" s="244"/>
      <c r="U319" s="244"/>
      <c r="V319" s="244"/>
      <c r="W319" s="244"/>
      <c r="X319" s="244"/>
      <c r="Y319" s="244"/>
      <c r="Z319" s="244"/>
      <c r="AA319" s="244"/>
      <c r="AB319" s="244"/>
      <c r="AC319" s="244"/>
      <c r="AD319" s="244"/>
      <c r="AE319" s="244"/>
      <c r="AF319" s="1350">
        <v>5</v>
      </c>
      <c r="AG319" s="1352" t="s">
        <v>1055</v>
      </c>
      <c r="AH319" s="1352" t="s">
        <v>1079</v>
      </c>
      <c r="AI319" s="1350">
        <v>5</v>
      </c>
      <c r="AJ319" s="1352" t="s">
        <v>1055</v>
      </c>
      <c r="AK319" s="1352" t="s">
        <v>1079</v>
      </c>
      <c r="AL319" s="772"/>
    </row>
    <row r="320" spans="1:38" ht="11.25" customHeight="1">
      <c r="A320" s="1030" t="s">
        <v>1019</v>
      </c>
      <c r="E320" s="557"/>
      <c r="F320" s="1339"/>
      <c r="G320" s="1340"/>
      <c r="H320" s="1335" t="s">
        <v>102</v>
      </c>
      <c r="I320" s="1347"/>
      <c r="J320" s="1360"/>
      <c r="K320" s="1349"/>
      <c r="L320" s="1079"/>
      <c r="M320" s="1364"/>
      <c r="N320" s="1355"/>
      <c r="O320" s="1356">
        <v>1</v>
      </c>
      <c r="P320" s="1357" t="s">
        <v>61</v>
      </c>
      <c r="Q320" s="1348" t="s">
        <v>1074</v>
      </c>
      <c r="R320" s="1362" t="s">
        <v>1075</v>
      </c>
      <c r="S320" s="1362" t="s">
        <v>99</v>
      </c>
      <c r="T320" s="1362" t="s">
        <v>99</v>
      </c>
      <c r="U320" s="1362" t="s">
        <v>100</v>
      </c>
      <c r="V320" s="1362" t="s">
        <v>1066</v>
      </c>
      <c r="W320" s="1362" t="s">
        <v>1067</v>
      </c>
      <c r="X320" s="1362" t="s">
        <v>1076</v>
      </c>
      <c r="Y320" s="1362" t="s">
        <v>1077</v>
      </c>
      <c r="Z320" s="229"/>
      <c r="AA320" s="230"/>
      <c r="AB320" s="230"/>
      <c r="AC320" s="231"/>
      <c r="AD320" s="231"/>
      <c r="AE320" s="245"/>
      <c r="AF320" s="1350"/>
      <c r="AG320" s="1352"/>
      <c r="AH320" s="1352"/>
      <c r="AI320" s="1350"/>
      <c r="AJ320" s="1352"/>
      <c r="AK320" s="1352"/>
      <c r="AL320" s="772"/>
    </row>
    <row r="321" spans="1:38" ht="11.25" customHeight="1">
      <c r="A321" s="1030" t="s">
        <v>1019</v>
      </c>
      <c r="E321" s="557"/>
      <c r="F321" s="1339"/>
      <c r="G321" s="1340"/>
      <c r="H321" s="1335" t="s">
        <v>102</v>
      </c>
      <c r="I321" s="1347"/>
      <c r="J321" s="1360"/>
      <c r="K321" s="1349"/>
      <c r="L321" s="1079"/>
      <c r="M321" s="1364"/>
      <c r="N321" s="1355"/>
      <c r="O321" s="1356"/>
      <c r="P321" s="1358"/>
      <c r="Q321" s="1348"/>
      <c r="R321" s="1308"/>
      <c r="S321" s="1361"/>
      <c r="T321" s="1308"/>
      <c r="U321" s="1308"/>
      <c r="V321" s="1308"/>
      <c r="W321" s="1308"/>
      <c r="X321" s="1308"/>
      <c r="Y321" s="1308"/>
      <c r="AA321" s="778">
        <v>1</v>
      </c>
      <c r="AB321" s="779" t="s">
        <v>1057</v>
      </c>
      <c r="AC321" s="237">
        <v>16118</v>
      </c>
      <c r="AD321" s="779" t="str">
        <f>AB321</f>
        <v xml:space="preserve">  Кредиты</v>
      </c>
      <c r="AE321" s="237">
        <f>AC321</f>
        <v>16118</v>
      </c>
      <c r="AF321" s="1350"/>
      <c r="AG321" s="1352"/>
      <c r="AH321" s="1352"/>
      <c r="AI321" s="1350"/>
      <c r="AJ321" s="1352"/>
      <c r="AK321" s="1352"/>
      <c r="AL321" s="772"/>
    </row>
    <row r="322" spans="1:38" ht="11.25" customHeight="1">
      <c r="A322" s="1030" t="s">
        <v>1019</v>
      </c>
      <c r="E322" s="557"/>
      <c r="F322" s="1339"/>
      <c r="G322" s="1340"/>
      <c r="H322" s="1335" t="s">
        <v>102</v>
      </c>
      <c r="I322" s="1347"/>
      <c r="J322" s="1360"/>
      <c r="K322" s="1349"/>
      <c r="L322" s="1079"/>
      <c r="M322" s="1364"/>
      <c r="N322" s="1355"/>
      <c r="O322" s="1356"/>
      <c r="P322" s="1359"/>
      <c r="Q322" s="1348"/>
      <c r="R322" s="1308"/>
      <c r="S322" s="1361"/>
      <c r="T322" s="1308"/>
      <c r="U322" s="1308"/>
      <c r="V322" s="1308"/>
      <c r="W322" s="1308"/>
      <c r="X322" s="1308"/>
      <c r="Y322" s="1308"/>
      <c r="Z322" s="229"/>
      <c r="AA322" s="230"/>
      <c r="AB322" s="44" t="s">
        <v>1059</v>
      </c>
      <c r="AC322" s="231"/>
      <c r="AD322" s="231"/>
      <c r="AE322" s="246"/>
      <c r="AF322" s="1350"/>
      <c r="AG322" s="1352"/>
      <c r="AH322" s="1352"/>
      <c r="AI322" s="1350"/>
      <c r="AJ322" s="1352"/>
      <c r="AK322" s="1352"/>
      <c r="AL322" s="772"/>
    </row>
    <row r="323" spans="1:38" ht="11.25" customHeight="1">
      <c r="A323" s="1030" t="s">
        <v>1019</v>
      </c>
      <c r="E323" s="557"/>
      <c r="F323" s="1339"/>
      <c r="G323" s="1340"/>
      <c r="H323" s="1335" t="s">
        <v>102</v>
      </c>
      <c r="I323" s="1347"/>
      <c r="J323" s="1360"/>
      <c r="K323" s="1349"/>
      <c r="L323" s="1079"/>
      <c r="M323" s="1364"/>
      <c r="N323" s="229"/>
      <c r="O323" s="230"/>
      <c r="P323" s="44" t="s">
        <v>1060</v>
      </c>
      <c r="Q323" s="230"/>
      <c r="R323" s="230"/>
      <c r="S323" s="230"/>
      <c r="T323" s="230"/>
      <c r="U323" s="230"/>
      <c r="V323" s="230"/>
      <c r="W323" s="230"/>
      <c r="X323" s="230"/>
      <c r="Y323" s="230"/>
      <c r="Z323" s="230"/>
      <c r="AA323" s="230"/>
      <c r="AB323" s="230"/>
      <c r="AC323" s="230"/>
      <c r="AD323" s="230"/>
      <c r="AE323" s="247"/>
      <c r="AF323" s="1350"/>
      <c r="AG323" s="1352"/>
      <c r="AH323" s="1352"/>
      <c r="AI323" s="1350"/>
      <c r="AJ323" s="1352"/>
      <c r="AK323" s="1352"/>
      <c r="AL323" s="772"/>
    </row>
    <row r="324" spans="1:38" ht="11.25" customHeight="1">
      <c r="A324" s="1030" t="s">
        <v>1019</v>
      </c>
      <c r="B324" s="1030" t="s">
        <v>22</v>
      </c>
      <c r="E324" s="557"/>
      <c r="F324" s="1339"/>
      <c r="G324" s="1325" t="s">
        <v>103</v>
      </c>
      <c r="H324" s="1335" t="s">
        <v>90</v>
      </c>
      <c r="I324" s="1347" t="s">
        <v>1071</v>
      </c>
      <c r="J324" s="1360" t="s">
        <v>22</v>
      </c>
      <c r="K324" s="1349" t="s">
        <v>1106</v>
      </c>
      <c r="L324" s="1079" t="s">
        <v>19</v>
      </c>
      <c r="M324" s="1080"/>
      <c r="N324" s="242"/>
      <c r="O324" s="243" t="s">
        <v>384</v>
      </c>
      <c r="P324" s="244"/>
      <c r="Q324" s="244"/>
      <c r="R324" s="244"/>
      <c r="S324" s="244"/>
      <c r="T324" s="244"/>
      <c r="U324" s="244"/>
      <c r="V324" s="244"/>
      <c r="W324" s="244"/>
      <c r="X324" s="244"/>
      <c r="Y324" s="244"/>
      <c r="Z324" s="244"/>
      <c r="AA324" s="244"/>
      <c r="AB324" s="244"/>
      <c r="AC324" s="244"/>
      <c r="AD324" s="244"/>
      <c r="AE324" s="244"/>
      <c r="AF324" s="1350">
        <v>4</v>
      </c>
      <c r="AG324" s="1352" t="s">
        <v>1055</v>
      </c>
      <c r="AH324" s="1352" t="s">
        <v>1107</v>
      </c>
      <c r="AI324" s="1350">
        <v>4</v>
      </c>
      <c r="AJ324" s="1352" t="s">
        <v>1055</v>
      </c>
      <c r="AK324" s="1352" t="s">
        <v>1107</v>
      </c>
      <c r="AL324" s="772"/>
    </row>
    <row r="325" spans="1:38" ht="11.25" customHeight="1">
      <c r="A325" s="1030" t="s">
        <v>1019</v>
      </c>
      <c r="E325" s="557"/>
      <c r="F325" s="1339"/>
      <c r="G325" s="1340"/>
      <c r="H325" s="1335" t="s">
        <v>89</v>
      </c>
      <c r="I325" s="1347"/>
      <c r="J325" s="1360"/>
      <c r="K325" s="1349"/>
      <c r="L325" s="1079"/>
      <c r="M325" s="1080"/>
      <c r="N325" s="1355"/>
      <c r="O325" s="1356">
        <v>1</v>
      </c>
      <c r="P325" s="1357" t="s">
        <v>61</v>
      </c>
      <c r="Q325" s="1348" t="s">
        <v>1108</v>
      </c>
      <c r="R325" s="1362" t="s">
        <v>1075</v>
      </c>
      <c r="S325" s="1362" t="s">
        <v>99</v>
      </c>
      <c r="T325" s="1362" t="s">
        <v>99</v>
      </c>
      <c r="U325" s="1362" t="s">
        <v>100</v>
      </c>
      <c r="V325" s="1362" t="s">
        <v>1066</v>
      </c>
      <c r="W325" s="1362" t="s">
        <v>1067</v>
      </c>
      <c r="X325" s="1362" t="s">
        <v>1109</v>
      </c>
      <c r="Y325" s="1362" t="s">
        <v>1013</v>
      </c>
      <c r="Z325" s="229"/>
      <c r="AA325" s="230"/>
      <c r="AB325" s="230"/>
      <c r="AC325" s="231"/>
      <c r="AD325" s="231"/>
      <c r="AE325" s="245"/>
      <c r="AF325" s="1350"/>
      <c r="AG325" s="1352"/>
      <c r="AH325" s="1352"/>
      <c r="AI325" s="1350"/>
      <c r="AJ325" s="1352"/>
      <c r="AK325" s="1352"/>
      <c r="AL325" s="772"/>
    </row>
    <row r="326" spans="1:38" ht="11.25" customHeight="1">
      <c r="A326" s="1030" t="s">
        <v>1019</v>
      </c>
      <c r="E326" s="557"/>
      <c r="F326" s="1339"/>
      <c r="G326" s="1340"/>
      <c r="H326" s="1335" t="s">
        <v>89</v>
      </c>
      <c r="I326" s="1347"/>
      <c r="J326" s="1360"/>
      <c r="K326" s="1349"/>
      <c r="L326" s="1079"/>
      <c r="M326" s="1080"/>
      <c r="N326" s="1355"/>
      <c r="O326" s="1356"/>
      <c r="P326" s="1358"/>
      <c r="Q326" s="1348"/>
      <c r="R326" s="1308"/>
      <c r="S326" s="1361"/>
      <c r="T326" s="1308"/>
      <c r="U326" s="1308"/>
      <c r="V326" s="1308"/>
      <c r="W326" s="1308"/>
      <c r="X326" s="1308"/>
      <c r="Y326" s="1308"/>
      <c r="AA326" s="778">
        <v>1</v>
      </c>
      <c r="AB326" s="779" t="s">
        <v>1057</v>
      </c>
      <c r="AC326" s="237">
        <v>2045</v>
      </c>
      <c r="AD326" s="779" t="str">
        <f>AB326</f>
        <v xml:space="preserve">  Кредиты</v>
      </c>
      <c r="AE326" s="237">
        <f>AC326</f>
        <v>2045</v>
      </c>
      <c r="AF326" s="1350"/>
      <c r="AG326" s="1352"/>
      <c r="AH326" s="1352"/>
      <c r="AI326" s="1350"/>
      <c r="AJ326" s="1352"/>
      <c r="AK326" s="1352"/>
      <c r="AL326" s="772"/>
    </row>
    <row r="327" spans="1:38" ht="11.25" customHeight="1">
      <c r="A327" s="1030" t="s">
        <v>1019</v>
      </c>
      <c r="E327" s="557"/>
      <c r="F327" s="1339"/>
      <c r="G327" s="1340"/>
      <c r="H327" s="1335" t="s">
        <v>89</v>
      </c>
      <c r="I327" s="1347"/>
      <c r="J327" s="1360"/>
      <c r="K327" s="1349"/>
      <c r="L327" s="1079"/>
      <c r="M327" s="1080"/>
      <c r="N327" s="1355"/>
      <c r="O327" s="1356"/>
      <c r="P327" s="1359"/>
      <c r="Q327" s="1348"/>
      <c r="R327" s="1308"/>
      <c r="S327" s="1361"/>
      <c r="T327" s="1308"/>
      <c r="U327" s="1308"/>
      <c r="V327" s="1308"/>
      <c r="W327" s="1308"/>
      <c r="X327" s="1308"/>
      <c r="Y327" s="1308"/>
      <c r="Z327" s="229"/>
      <c r="AA327" s="230"/>
      <c r="AB327" s="44" t="s">
        <v>1059</v>
      </c>
      <c r="AC327" s="231"/>
      <c r="AD327" s="231"/>
      <c r="AE327" s="246"/>
      <c r="AF327" s="1350"/>
      <c r="AG327" s="1352"/>
      <c r="AH327" s="1352"/>
      <c r="AI327" s="1350"/>
      <c r="AJ327" s="1352"/>
      <c r="AK327" s="1352"/>
      <c r="AL327" s="772"/>
    </row>
    <row r="328" spans="1:38" ht="11.25" customHeight="1">
      <c r="A328" s="1030" t="s">
        <v>1019</v>
      </c>
      <c r="E328" s="557"/>
      <c r="F328" s="1339"/>
      <c r="G328" s="1340"/>
      <c r="H328" s="1335" t="s">
        <v>89</v>
      </c>
      <c r="I328" s="1347"/>
      <c r="J328" s="1360"/>
      <c r="K328" s="1349"/>
      <c r="L328" s="1079"/>
      <c r="M328" s="1080"/>
      <c r="N328" s="229"/>
      <c r="O328" s="230"/>
      <c r="P328" s="44" t="s">
        <v>1060</v>
      </c>
      <c r="Q328" s="230"/>
      <c r="R328" s="230"/>
      <c r="S328" s="230"/>
      <c r="T328" s="230"/>
      <c r="U328" s="230"/>
      <c r="V328" s="230"/>
      <c r="W328" s="230"/>
      <c r="X328" s="230"/>
      <c r="Y328" s="230"/>
      <c r="Z328" s="230"/>
      <c r="AA328" s="230"/>
      <c r="AB328" s="230"/>
      <c r="AC328" s="230"/>
      <c r="AD328" s="230"/>
      <c r="AE328" s="247"/>
      <c r="AF328" s="1350"/>
      <c r="AG328" s="1352"/>
      <c r="AH328" s="1352"/>
      <c r="AI328" s="1350"/>
      <c r="AJ328" s="1352"/>
      <c r="AK328" s="1352"/>
      <c r="AL328" s="772"/>
    </row>
    <row r="329" spans="1:38" ht="11.25" customHeight="1">
      <c r="A329" s="1030" t="s">
        <v>1019</v>
      </c>
      <c r="B329" s="1030" t="s">
        <v>1051</v>
      </c>
      <c r="E329" s="557"/>
      <c r="F329" s="1339"/>
      <c r="G329" s="1325" t="s">
        <v>103</v>
      </c>
      <c r="H329" s="1335" t="s">
        <v>115</v>
      </c>
      <c r="I329" s="1347" t="s">
        <v>1052</v>
      </c>
      <c r="J329" s="1363" t="s">
        <v>1093</v>
      </c>
      <c r="K329" s="1349" t="s">
        <v>1100</v>
      </c>
      <c r="L329" s="1079" t="s">
        <v>19</v>
      </c>
      <c r="M329" s="1080"/>
      <c r="N329" s="242"/>
      <c r="O329" s="243" t="s">
        <v>384</v>
      </c>
      <c r="P329" s="244"/>
      <c r="Q329" s="244"/>
      <c r="R329" s="244"/>
      <c r="S329" s="244"/>
      <c r="T329" s="244"/>
      <c r="U329" s="244"/>
      <c r="V329" s="244"/>
      <c r="W329" s="244"/>
      <c r="X329" s="244"/>
      <c r="Y329" s="244"/>
      <c r="Z329" s="244"/>
      <c r="AA329" s="244"/>
      <c r="AB329" s="244"/>
      <c r="AC329" s="244"/>
      <c r="AD329" s="244"/>
      <c r="AE329" s="244"/>
      <c r="AF329" s="1350">
        <v>9</v>
      </c>
      <c r="AG329" s="1352" t="s">
        <v>1055</v>
      </c>
      <c r="AH329" s="1352" t="s">
        <v>1101</v>
      </c>
      <c r="AI329" s="1350">
        <v>9</v>
      </c>
      <c r="AJ329" s="1352" t="s">
        <v>1055</v>
      </c>
      <c r="AK329" s="1352" t="s">
        <v>1101</v>
      </c>
      <c r="AL329" s="772"/>
    </row>
    <row r="330" spans="1:38" ht="11.25" customHeight="1">
      <c r="A330" s="1030" t="s">
        <v>1019</v>
      </c>
      <c r="E330" s="557"/>
      <c r="F330" s="1339"/>
      <c r="G330" s="1340"/>
      <c r="H330" s="1335" t="s">
        <v>90</v>
      </c>
      <c r="I330" s="1347"/>
      <c r="J330" s="1363"/>
      <c r="K330" s="1349"/>
      <c r="L330" s="1079"/>
      <c r="M330" s="1080"/>
      <c r="N330" s="1355"/>
      <c r="O330" s="1356">
        <v>1</v>
      </c>
      <c r="P330" s="1357" t="s">
        <v>19</v>
      </c>
      <c r="Q330" s="1308" t="s">
        <v>22</v>
      </c>
      <c r="R330" s="1308" t="s">
        <v>22</v>
      </c>
      <c r="S330" s="1308" t="s">
        <v>22</v>
      </c>
      <c r="T330" s="1308" t="s">
        <v>22</v>
      </c>
      <c r="U330" s="1308" t="s">
        <v>22</v>
      </c>
      <c r="V330" s="1308" t="s">
        <v>22</v>
      </c>
      <c r="W330" s="1308" t="s">
        <v>22</v>
      </c>
      <c r="X330" s="1308" t="s">
        <v>22</v>
      </c>
      <c r="Y330" s="1308"/>
      <c r="Z330" s="229"/>
      <c r="AA330" s="230"/>
      <c r="AB330" s="230"/>
      <c r="AC330" s="231"/>
      <c r="AD330" s="231"/>
      <c r="AE330" s="245"/>
      <c r="AF330" s="1350"/>
      <c r="AG330" s="1352"/>
      <c r="AH330" s="1352"/>
      <c r="AI330" s="1350"/>
      <c r="AJ330" s="1352"/>
      <c r="AK330" s="1352"/>
      <c r="AL330" s="772"/>
    </row>
    <row r="331" spans="1:38" ht="11.25" customHeight="1">
      <c r="A331" s="1030" t="s">
        <v>1019</v>
      </c>
      <c r="E331" s="557"/>
      <c r="F331" s="1339"/>
      <c r="G331" s="1340"/>
      <c r="H331" s="1335" t="s">
        <v>90</v>
      </c>
      <c r="I331" s="1347"/>
      <c r="J331" s="1363"/>
      <c r="K331" s="1349"/>
      <c r="L331" s="1079"/>
      <c r="M331" s="1080"/>
      <c r="N331" s="1355"/>
      <c r="O331" s="1356"/>
      <c r="P331" s="1358"/>
      <c r="Q331" s="1308"/>
      <c r="R331" s="1308"/>
      <c r="S331" s="1361"/>
      <c r="T331" s="1308"/>
      <c r="U331" s="1308"/>
      <c r="V331" s="1308"/>
      <c r="W331" s="1308"/>
      <c r="X331" s="1308"/>
      <c r="Y331" s="1308"/>
      <c r="AA331" s="778">
        <v>1</v>
      </c>
      <c r="AB331" s="779" t="s">
        <v>1057</v>
      </c>
      <c r="AC331" s="237">
        <v>2393.07466999999</v>
      </c>
      <c r="AD331" s="779" t="str">
        <f>AB331</f>
        <v xml:space="preserve">  Кредиты</v>
      </c>
      <c r="AE331" s="237">
        <f>AC331</f>
        <v>2393.07466999999</v>
      </c>
      <c r="AF331" s="1350"/>
      <c r="AG331" s="1352"/>
      <c r="AH331" s="1352"/>
      <c r="AI331" s="1350"/>
      <c r="AJ331" s="1352"/>
      <c r="AK331" s="1352"/>
      <c r="AL331" s="772"/>
    </row>
    <row r="332" spans="1:38" ht="11.25" customHeight="1">
      <c r="A332" s="1030" t="s">
        <v>1019</v>
      </c>
      <c r="E332" s="557"/>
      <c r="F332" s="1339"/>
      <c r="G332" s="1340"/>
      <c r="H332" s="1335" t="s">
        <v>90</v>
      </c>
      <c r="I332" s="1347"/>
      <c r="J332" s="1363"/>
      <c r="K332" s="1349"/>
      <c r="L332" s="1079"/>
      <c r="M332" s="1080"/>
      <c r="N332" s="1355"/>
      <c r="O332" s="1356"/>
      <c r="P332" s="1359"/>
      <c r="Q332" s="1308"/>
      <c r="R332" s="1308"/>
      <c r="S332" s="1361"/>
      <c r="T332" s="1308"/>
      <c r="U332" s="1308"/>
      <c r="V332" s="1308"/>
      <c r="W332" s="1308"/>
      <c r="X332" s="1308"/>
      <c r="Y332" s="1308"/>
      <c r="Z332" s="229"/>
      <c r="AA332" s="230"/>
      <c r="AB332" s="44" t="s">
        <v>1059</v>
      </c>
      <c r="AC332" s="231"/>
      <c r="AD332" s="231"/>
      <c r="AE332" s="246"/>
      <c r="AF332" s="1350"/>
      <c r="AG332" s="1352"/>
      <c r="AH332" s="1352"/>
      <c r="AI332" s="1350"/>
      <c r="AJ332" s="1352"/>
      <c r="AK332" s="1352"/>
      <c r="AL332" s="772"/>
    </row>
    <row r="333" spans="1:38" ht="11.25" customHeight="1">
      <c r="A333" s="1030" t="s">
        <v>1019</v>
      </c>
      <c r="E333" s="557"/>
      <c r="F333" s="1339"/>
      <c r="G333" s="1340"/>
      <c r="H333" s="1335" t="s">
        <v>90</v>
      </c>
      <c r="I333" s="1347"/>
      <c r="J333" s="1363"/>
      <c r="K333" s="1349"/>
      <c r="L333" s="1079"/>
      <c r="M333" s="1080"/>
      <c r="N333" s="229"/>
      <c r="O333" s="230"/>
      <c r="P333" s="44" t="s">
        <v>1060</v>
      </c>
      <c r="Q333" s="230"/>
      <c r="R333" s="230"/>
      <c r="S333" s="230"/>
      <c r="T333" s="230"/>
      <c r="U333" s="230"/>
      <c r="V333" s="230"/>
      <c r="W333" s="230"/>
      <c r="X333" s="230"/>
      <c r="Y333" s="230"/>
      <c r="Z333" s="230"/>
      <c r="AA333" s="230"/>
      <c r="AB333" s="230"/>
      <c r="AC333" s="230"/>
      <c r="AD333" s="230"/>
      <c r="AE333" s="247"/>
      <c r="AF333" s="1350"/>
      <c r="AG333" s="1352"/>
      <c r="AH333" s="1352"/>
      <c r="AI333" s="1350"/>
      <c r="AJ333" s="1352"/>
      <c r="AK333" s="1352"/>
      <c r="AL333" s="772"/>
    </row>
    <row r="334" spans="1:38" ht="11.25" customHeight="1">
      <c r="A334" s="1030" t="s">
        <v>1019</v>
      </c>
      <c r="B334" s="1030" t="s">
        <v>1051</v>
      </c>
      <c r="E334" s="557"/>
      <c r="F334" s="1339"/>
      <c r="G334" s="1325" t="s">
        <v>103</v>
      </c>
      <c r="H334" s="1335" t="s">
        <v>91</v>
      </c>
      <c r="I334" s="1347" t="s">
        <v>1052</v>
      </c>
      <c r="J334" s="1363" t="s">
        <v>1053</v>
      </c>
      <c r="K334" s="1349" t="s">
        <v>1078</v>
      </c>
      <c r="L334" s="1079" t="s">
        <v>61</v>
      </c>
      <c r="M334" s="1364" t="s">
        <v>1018</v>
      </c>
      <c r="N334" s="242"/>
      <c r="O334" s="243" t="s">
        <v>384</v>
      </c>
      <c r="P334" s="244"/>
      <c r="Q334" s="244"/>
      <c r="R334" s="244"/>
      <c r="S334" s="244"/>
      <c r="T334" s="244"/>
      <c r="U334" s="244"/>
      <c r="V334" s="244"/>
      <c r="W334" s="244"/>
      <c r="X334" s="244"/>
      <c r="Y334" s="244"/>
      <c r="Z334" s="244"/>
      <c r="AA334" s="244"/>
      <c r="AB334" s="244"/>
      <c r="AC334" s="244"/>
      <c r="AD334" s="244"/>
      <c r="AE334" s="244"/>
      <c r="AF334" s="1350">
        <v>5</v>
      </c>
      <c r="AG334" s="1352" t="s">
        <v>1055</v>
      </c>
      <c r="AH334" s="1352" t="s">
        <v>1079</v>
      </c>
      <c r="AI334" s="1350">
        <v>5</v>
      </c>
      <c r="AJ334" s="1352" t="s">
        <v>1055</v>
      </c>
      <c r="AK334" s="1352" t="s">
        <v>1079</v>
      </c>
      <c r="AL334" s="772"/>
    </row>
    <row r="335" spans="1:38" ht="11.25" customHeight="1">
      <c r="A335" s="1030" t="s">
        <v>1019</v>
      </c>
      <c r="E335" s="557"/>
      <c r="F335" s="1339"/>
      <c r="G335" s="1340"/>
      <c r="H335" s="1335" t="s">
        <v>115</v>
      </c>
      <c r="I335" s="1347"/>
      <c r="J335" s="1363"/>
      <c r="K335" s="1349"/>
      <c r="L335" s="1079"/>
      <c r="M335" s="1364"/>
      <c r="N335" s="1355"/>
      <c r="O335" s="1356">
        <v>1</v>
      </c>
      <c r="P335" s="1357" t="s">
        <v>19</v>
      </c>
      <c r="Q335" s="1308" t="s">
        <v>22</v>
      </c>
      <c r="R335" s="1308" t="s">
        <v>22</v>
      </c>
      <c r="S335" s="1308" t="s">
        <v>22</v>
      </c>
      <c r="T335" s="1308" t="s">
        <v>22</v>
      </c>
      <c r="U335" s="1308" t="s">
        <v>22</v>
      </c>
      <c r="V335" s="1308" t="s">
        <v>22</v>
      </c>
      <c r="W335" s="1308" t="s">
        <v>22</v>
      </c>
      <c r="X335" s="1308" t="s">
        <v>22</v>
      </c>
      <c r="Y335" s="1308"/>
      <c r="Z335" s="229"/>
      <c r="AA335" s="230"/>
      <c r="AB335" s="230"/>
      <c r="AC335" s="231"/>
      <c r="AD335" s="231"/>
      <c r="AE335" s="245"/>
      <c r="AF335" s="1350"/>
      <c r="AG335" s="1352"/>
      <c r="AH335" s="1352"/>
      <c r="AI335" s="1350"/>
      <c r="AJ335" s="1352"/>
      <c r="AK335" s="1352"/>
      <c r="AL335" s="772"/>
    </row>
    <row r="336" spans="1:38" ht="11.25" customHeight="1">
      <c r="A336" s="1030" t="s">
        <v>1019</v>
      </c>
      <c r="E336" s="557"/>
      <c r="F336" s="1339"/>
      <c r="G336" s="1340"/>
      <c r="H336" s="1335" t="s">
        <v>115</v>
      </c>
      <c r="I336" s="1347"/>
      <c r="J336" s="1363"/>
      <c r="K336" s="1349"/>
      <c r="L336" s="1079"/>
      <c r="M336" s="1364"/>
      <c r="N336" s="1355"/>
      <c r="O336" s="1356"/>
      <c r="P336" s="1358"/>
      <c r="Q336" s="1308"/>
      <c r="R336" s="1308"/>
      <c r="S336" s="1361"/>
      <c r="T336" s="1308"/>
      <c r="U336" s="1308"/>
      <c r="V336" s="1308"/>
      <c r="W336" s="1308"/>
      <c r="X336" s="1308"/>
      <c r="Y336" s="1308"/>
      <c r="AA336" s="778">
        <v>1</v>
      </c>
      <c r="AB336" s="779" t="s">
        <v>1057</v>
      </c>
      <c r="AC336" s="237">
        <v>1229</v>
      </c>
      <c r="AD336" s="779" t="str">
        <f>AB336</f>
        <v xml:space="preserve">  Кредиты</v>
      </c>
      <c r="AE336" s="237">
        <f>AC336</f>
        <v>1229</v>
      </c>
      <c r="AF336" s="1350"/>
      <c r="AG336" s="1352"/>
      <c r="AH336" s="1352"/>
      <c r="AI336" s="1350"/>
      <c r="AJ336" s="1352"/>
      <c r="AK336" s="1352"/>
      <c r="AL336" s="772"/>
    </row>
    <row r="337" spans="1:38" ht="11.25" customHeight="1">
      <c r="A337" s="1030" t="s">
        <v>1019</v>
      </c>
      <c r="E337" s="557"/>
      <c r="F337" s="1339"/>
      <c r="G337" s="1340"/>
      <c r="H337" s="1335" t="s">
        <v>115</v>
      </c>
      <c r="I337" s="1347"/>
      <c r="J337" s="1363"/>
      <c r="K337" s="1349"/>
      <c r="L337" s="1079"/>
      <c r="M337" s="1364"/>
      <c r="N337" s="1355"/>
      <c r="O337" s="1356"/>
      <c r="P337" s="1359"/>
      <c r="Q337" s="1308"/>
      <c r="R337" s="1308"/>
      <c r="S337" s="1361"/>
      <c r="T337" s="1308"/>
      <c r="U337" s="1308"/>
      <c r="V337" s="1308"/>
      <c r="W337" s="1308"/>
      <c r="X337" s="1308"/>
      <c r="Y337" s="1308"/>
      <c r="Z337" s="229"/>
      <c r="AA337" s="230"/>
      <c r="AB337" s="44" t="s">
        <v>1059</v>
      </c>
      <c r="AC337" s="231"/>
      <c r="AD337" s="231"/>
      <c r="AE337" s="246"/>
      <c r="AF337" s="1350"/>
      <c r="AG337" s="1352"/>
      <c r="AH337" s="1352"/>
      <c r="AI337" s="1350"/>
      <c r="AJ337" s="1352"/>
      <c r="AK337" s="1352"/>
      <c r="AL337" s="772"/>
    </row>
    <row r="338" spans="1:38" ht="11.25" customHeight="1">
      <c r="A338" s="1030" t="s">
        <v>1019</v>
      </c>
      <c r="E338" s="557"/>
      <c r="F338" s="1339"/>
      <c r="G338" s="1340"/>
      <c r="H338" s="1335" t="s">
        <v>115</v>
      </c>
      <c r="I338" s="1347"/>
      <c r="J338" s="1363"/>
      <c r="K338" s="1349"/>
      <c r="L338" s="1079"/>
      <c r="M338" s="1364"/>
      <c r="N338" s="229"/>
      <c r="O338" s="230"/>
      <c r="P338" s="44" t="s">
        <v>1060</v>
      </c>
      <c r="Q338" s="230"/>
      <c r="R338" s="230"/>
      <c r="S338" s="230"/>
      <c r="T338" s="230"/>
      <c r="U338" s="230"/>
      <c r="V338" s="230"/>
      <c r="W338" s="230"/>
      <c r="X338" s="230"/>
      <c r="Y338" s="230"/>
      <c r="Z338" s="230"/>
      <c r="AA338" s="230"/>
      <c r="AB338" s="230"/>
      <c r="AC338" s="230"/>
      <c r="AD338" s="230"/>
      <c r="AE338" s="247"/>
      <c r="AF338" s="1350"/>
      <c r="AG338" s="1352"/>
      <c r="AH338" s="1352"/>
      <c r="AI338" s="1350"/>
      <c r="AJ338" s="1352"/>
      <c r="AK338" s="1352"/>
      <c r="AL338" s="772"/>
    </row>
    <row r="339" spans="1:38" ht="11.25" customHeight="1">
      <c r="A339" s="1030" t="s">
        <v>1019</v>
      </c>
      <c r="B339" s="1030" t="s">
        <v>1051</v>
      </c>
      <c r="E339" s="557"/>
      <c r="F339" s="1339"/>
      <c r="G339" s="1325" t="s">
        <v>103</v>
      </c>
      <c r="H339" s="1335" t="s">
        <v>92</v>
      </c>
      <c r="I339" s="1347" t="s">
        <v>1052</v>
      </c>
      <c r="J339" s="1363" t="s">
        <v>1053</v>
      </c>
      <c r="K339" s="1349" t="s">
        <v>1102</v>
      </c>
      <c r="L339" s="1079" t="s">
        <v>61</v>
      </c>
      <c r="M339" s="1364" t="s">
        <v>1018</v>
      </c>
      <c r="N339" s="242"/>
      <c r="O339" s="243" t="s">
        <v>384</v>
      </c>
      <c r="P339" s="244"/>
      <c r="Q339" s="244"/>
      <c r="R339" s="244"/>
      <c r="S339" s="244"/>
      <c r="T339" s="244"/>
      <c r="U339" s="244"/>
      <c r="V339" s="244"/>
      <c r="W339" s="244"/>
      <c r="X339" s="244"/>
      <c r="Y339" s="244"/>
      <c r="Z339" s="244"/>
      <c r="AA339" s="244"/>
      <c r="AB339" s="244"/>
      <c r="AC339" s="244"/>
      <c r="AD339" s="244"/>
      <c r="AE339" s="244"/>
      <c r="AF339" s="1350">
        <v>8</v>
      </c>
      <c r="AG339" s="1352" t="s">
        <v>1055</v>
      </c>
      <c r="AH339" s="1352" t="s">
        <v>1103</v>
      </c>
      <c r="AI339" s="1350">
        <v>8</v>
      </c>
      <c r="AJ339" s="1352" t="s">
        <v>1055</v>
      </c>
      <c r="AK339" s="1352" t="s">
        <v>1103</v>
      </c>
      <c r="AL339" s="772"/>
    </row>
    <row r="340" spans="1:38" ht="11.25" customHeight="1">
      <c r="A340" s="1030" t="s">
        <v>1019</v>
      </c>
      <c r="E340" s="557"/>
      <c r="F340" s="1339"/>
      <c r="G340" s="1340"/>
      <c r="H340" s="1335" t="s">
        <v>91</v>
      </c>
      <c r="I340" s="1347"/>
      <c r="J340" s="1363"/>
      <c r="K340" s="1349"/>
      <c r="L340" s="1079"/>
      <c r="M340" s="1364"/>
      <c r="N340" s="1355"/>
      <c r="O340" s="1356">
        <v>1</v>
      </c>
      <c r="P340" s="1357" t="s">
        <v>19</v>
      </c>
      <c r="Q340" s="1308" t="s">
        <v>22</v>
      </c>
      <c r="R340" s="1308" t="s">
        <v>22</v>
      </c>
      <c r="S340" s="1308" t="s">
        <v>22</v>
      </c>
      <c r="T340" s="1308" t="s">
        <v>22</v>
      </c>
      <c r="U340" s="1308" t="s">
        <v>22</v>
      </c>
      <c r="V340" s="1308" t="s">
        <v>22</v>
      </c>
      <c r="W340" s="1308" t="s">
        <v>22</v>
      </c>
      <c r="X340" s="1308" t="s">
        <v>22</v>
      </c>
      <c r="Y340" s="1308"/>
      <c r="Z340" s="229"/>
      <c r="AA340" s="230"/>
      <c r="AB340" s="230"/>
      <c r="AC340" s="231"/>
      <c r="AD340" s="231"/>
      <c r="AE340" s="245"/>
      <c r="AF340" s="1350"/>
      <c r="AG340" s="1352"/>
      <c r="AH340" s="1352"/>
      <c r="AI340" s="1350"/>
      <c r="AJ340" s="1352"/>
      <c r="AK340" s="1352"/>
      <c r="AL340" s="772"/>
    </row>
    <row r="341" spans="1:38" ht="11.25" customHeight="1">
      <c r="A341" s="1030" t="s">
        <v>1019</v>
      </c>
      <c r="E341" s="557"/>
      <c r="F341" s="1339"/>
      <c r="G341" s="1340"/>
      <c r="H341" s="1335" t="s">
        <v>91</v>
      </c>
      <c r="I341" s="1347"/>
      <c r="J341" s="1363"/>
      <c r="K341" s="1349"/>
      <c r="L341" s="1079"/>
      <c r="M341" s="1364"/>
      <c r="N341" s="1355"/>
      <c r="O341" s="1356"/>
      <c r="P341" s="1358"/>
      <c r="Q341" s="1308"/>
      <c r="R341" s="1308"/>
      <c r="S341" s="1361"/>
      <c r="T341" s="1308"/>
      <c r="U341" s="1308"/>
      <c r="V341" s="1308"/>
      <c r="W341" s="1308"/>
      <c r="X341" s="1308"/>
      <c r="Y341" s="1308"/>
      <c r="AA341" s="778">
        <v>1</v>
      </c>
      <c r="AB341" s="779" t="s">
        <v>1057</v>
      </c>
      <c r="AC341" s="237">
        <v>33647</v>
      </c>
      <c r="AD341" s="779" t="str">
        <f>AB341</f>
        <v xml:space="preserve">  Кредиты</v>
      </c>
      <c r="AE341" s="237">
        <f>AC341</f>
        <v>33647</v>
      </c>
      <c r="AF341" s="1350"/>
      <c r="AG341" s="1352"/>
      <c r="AH341" s="1352"/>
      <c r="AI341" s="1350"/>
      <c r="AJ341" s="1352"/>
      <c r="AK341" s="1352"/>
      <c r="AL341" s="772"/>
    </row>
    <row r="342" spans="1:38" ht="11.25" customHeight="1">
      <c r="A342" s="1030" t="s">
        <v>1019</v>
      </c>
      <c r="E342" s="557"/>
      <c r="F342" s="1339"/>
      <c r="G342" s="1340"/>
      <c r="H342" s="1335" t="s">
        <v>91</v>
      </c>
      <c r="I342" s="1347"/>
      <c r="J342" s="1363"/>
      <c r="K342" s="1349"/>
      <c r="L342" s="1079"/>
      <c r="M342" s="1364"/>
      <c r="N342" s="1355"/>
      <c r="O342" s="1356"/>
      <c r="P342" s="1359"/>
      <c r="Q342" s="1308"/>
      <c r="R342" s="1308"/>
      <c r="S342" s="1361"/>
      <c r="T342" s="1308"/>
      <c r="U342" s="1308"/>
      <c r="V342" s="1308"/>
      <c r="W342" s="1308"/>
      <c r="X342" s="1308"/>
      <c r="Y342" s="1308"/>
      <c r="Z342" s="229"/>
      <c r="AA342" s="230"/>
      <c r="AB342" s="44" t="s">
        <v>1059</v>
      </c>
      <c r="AC342" s="231"/>
      <c r="AD342" s="231"/>
      <c r="AE342" s="246"/>
      <c r="AF342" s="1350"/>
      <c r="AG342" s="1352"/>
      <c r="AH342" s="1352"/>
      <c r="AI342" s="1350"/>
      <c r="AJ342" s="1352"/>
      <c r="AK342" s="1352"/>
      <c r="AL342" s="772"/>
    </row>
    <row r="343" spans="1:38" ht="11.25" customHeight="1">
      <c r="A343" s="1030" t="s">
        <v>1019</v>
      </c>
      <c r="E343" s="557"/>
      <c r="F343" s="1339"/>
      <c r="G343" s="1340"/>
      <c r="H343" s="1335" t="s">
        <v>91</v>
      </c>
      <c r="I343" s="1347"/>
      <c r="J343" s="1363"/>
      <c r="K343" s="1349"/>
      <c r="L343" s="1079"/>
      <c r="M343" s="1364"/>
      <c r="N343" s="229"/>
      <c r="O343" s="230"/>
      <c r="P343" s="44" t="s">
        <v>1060</v>
      </c>
      <c r="Q343" s="230"/>
      <c r="R343" s="230"/>
      <c r="S343" s="230"/>
      <c r="T343" s="230"/>
      <c r="U343" s="230"/>
      <c r="V343" s="230"/>
      <c r="W343" s="230"/>
      <c r="X343" s="230"/>
      <c r="Y343" s="230"/>
      <c r="Z343" s="230"/>
      <c r="AA343" s="230"/>
      <c r="AB343" s="230"/>
      <c r="AC343" s="230"/>
      <c r="AD343" s="230"/>
      <c r="AE343" s="247"/>
      <c r="AF343" s="1350"/>
      <c r="AG343" s="1352"/>
      <c r="AH343" s="1352"/>
      <c r="AI343" s="1350"/>
      <c r="AJ343" s="1352"/>
      <c r="AK343" s="1352"/>
      <c r="AL343" s="772"/>
    </row>
    <row r="344" spans="1:38" ht="11.25" customHeight="1">
      <c r="A344" s="1030" t="s">
        <v>1019</v>
      </c>
      <c r="B344" s="1030" t="s">
        <v>1051</v>
      </c>
      <c r="E344" s="557"/>
      <c r="F344" s="1339"/>
      <c r="G344" s="1325" t="s">
        <v>103</v>
      </c>
      <c r="H344" s="1335" t="s">
        <v>116</v>
      </c>
      <c r="I344" s="1347" t="s">
        <v>1052</v>
      </c>
      <c r="J344" s="1363" t="s">
        <v>1053</v>
      </c>
      <c r="K344" s="1349" t="s">
        <v>1110</v>
      </c>
      <c r="L344" s="1079" t="s">
        <v>61</v>
      </c>
      <c r="M344" s="1364" t="s">
        <v>1018</v>
      </c>
      <c r="N344" s="242"/>
      <c r="O344" s="243" t="s">
        <v>384</v>
      </c>
      <c r="P344" s="244"/>
      <c r="Q344" s="244"/>
      <c r="R344" s="244"/>
      <c r="S344" s="244"/>
      <c r="T344" s="244"/>
      <c r="U344" s="244"/>
      <c r="V344" s="244"/>
      <c r="W344" s="244"/>
      <c r="X344" s="244"/>
      <c r="Y344" s="244"/>
      <c r="Z344" s="244"/>
      <c r="AA344" s="244"/>
      <c r="AB344" s="244"/>
      <c r="AC344" s="244"/>
      <c r="AD344" s="244"/>
      <c r="AE344" s="244"/>
      <c r="AF344" s="1350">
        <v>4</v>
      </c>
      <c r="AG344" s="1352" t="s">
        <v>1055</v>
      </c>
      <c r="AH344" s="1352" t="s">
        <v>1107</v>
      </c>
      <c r="AI344" s="1350">
        <v>4</v>
      </c>
      <c r="AJ344" s="1352" t="s">
        <v>1055</v>
      </c>
      <c r="AK344" s="1352" t="s">
        <v>1107</v>
      </c>
      <c r="AL344" s="772"/>
    </row>
    <row r="345" spans="1:38" ht="11.25" customHeight="1">
      <c r="A345" s="1030" t="s">
        <v>1019</v>
      </c>
      <c r="E345" s="557"/>
      <c r="F345" s="1339"/>
      <c r="G345" s="1340"/>
      <c r="H345" s="1335" t="s">
        <v>92</v>
      </c>
      <c r="I345" s="1347"/>
      <c r="J345" s="1363"/>
      <c r="K345" s="1349"/>
      <c r="L345" s="1079"/>
      <c r="M345" s="1364"/>
      <c r="N345" s="1355"/>
      <c r="O345" s="1356">
        <v>1</v>
      </c>
      <c r="P345" s="1357" t="s">
        <v>19</v>
      </c>
      <c r="Q345" s="1308" t="s">
        <v>22</v>
      </c>
      <c r="R345" s="1308" t="s">
        <v>22</v>
      </c>
      <c r="S345" s="1308" t="s">
        <v>22</v>
      </c>
      <c r="T345" s="1308" t="s">
        <v>22</v>
      </c>
      <c r="U345" s="1308" t="s">
        <v>22</v>
      </c>
      <c r="V345" s="1308" t="s">
        <v>22</v>
      </c>
      <c r="W345" s="1308" t="s">
        <v>22</v>
      </c>
      <c r="X345" s="1308" t="s">
        <v>22</v>
      </c>
      <c r="Y345" s="1308"/>
      <c r="Z345" s="229"/>
      <c r="AA345" s="230"/>
      <c r="AB345" s="230"/>
      <c r="AC345" s="231"/>
      <c r="AD345" s="231"/>
      <c r="AE345" s="245"/>
      <c r="AF345" s="1350"/>
      <c r="AG345" s="1352"/>
      <c r="AH345" s="1352"/>
      <c r="AI345" s="1350"/>
      <c r="AJ345" s="1352"/>
      <c r="AK345" s="1352"/>
      <c r="AL345" s="772"/>
    </row>
    <row r="346" spans="1:38" ht="11.25" customHeight="1">
      <c r="A346" s="1030" t="s">
        <v>1019</v>
      </c>
      <c r="E346" s="557"/>
      <c r="F346" s="1339"/>
      <c r="G346" s="1340"/>
      <c r="H346" s="1335" t="s">
        <v>92</v>
      </c>
      <c r="I346" s="1347"/>
      <c r="J346" s="1363"/>
      <c r="K346" s="1349"/>
      <c r="L346" s="1079"/>
      <c r="M346" s="1364"/>
      <c r="N346" s="1355"/>
      <c r="O346" s="1356"/>
      <c r="P346" s="1358"/>
      <c r="Q346" s="1308"/>
      <c r="R346" s="1308"/>
      <c r="S346" s="1361"/>
      <c r="T346" s="1308"/>
      <c r="U346" s="1308"/>
      <c r="V346" s="1308"/>
      <c r="W346" s="1308"/>
      <c r="X346" s="1308"/>
      <c r="Y346" s="1308"/>
      <c r="AA346" s="778">
        <v>1</v>
      </c>
      <c r="AB346" s="779" t="s">
        <v>1057</v>
      </c>
      <c r="AC346" s="237">
        <v>499</v>
      </c>
      <c r="AD346" s="779" t="str">
        <f>AB346</f>
        <v xml:space="preserve">  Кредиты</v>
      </c>
      <c r="AE346" s="237">
        <f>AC346</f>
        <v>499</v>
      </c>
      <c r="AF346" s="1350"/>
      <c r="AG346" s="1352"/>
      <c r="AH346" s="1352"/>
      <c r="AI346" s="1350"/>
      <c r="AJ346" s="1352"/>
      <c r="AK346" s="1352"/>
      <c r="AL346" s="772"/>
    </row>
    <row r="347" spans="1:38" ht="11.25" customHeight="1">
      <c r="A347" s="1030" t="s">
        <v>1019</v>
      </c>
      <c r="E347" s="557"/>
      <c r="F347" s="1339"/>
      <c r="G347" s="1340"/>
      <c r="H347" s="1335" t="s">
        <v>92</v>
      </c>
      <c r="I347" s="1347"/>
      <c r="J347" s="1363"/>
      <c r="K347" s="1349"/>
      <c r="L347" s="1079"/>
      <c r="M347" s="1364"/>
      <c r="N347" s="1355"/>
      <c r="O347" s="1356"/>
      <c r="P347" s="1359"/>
      <c r="Q347" s="1308"/>
      <c r="R347" s="1308"/>
      <c r="S347" s="1361"/>
      <c r="T347" s="1308"/>
      <c r="U347" s="1308"/>
      <c r="V347" s="1308"/>
      <c r="W347" s="1308"/>
      <c r="X347" s="1308"/>
      <c r="Y347" s="1308"/>
      <c r="Z347" s="229"/>
      <c r="AA347" s="230"/>
      <c r="AB347" s="44" t="s">
        <v>1059</v>
      </c>
      <c r="AC347" s="231"/>
      <c r="AD347" s="231"/>
      <c r="AE347" s="246"/>
      <c r="AF347" s="1350"/>
      <c r="AG347" s="1352"/>
      <c r="AH347" s="1352"/>
      <c r="AI347" s="1350"/>
      <c r="AJ347" s="1352"/>
      <c r="AK347" s="1352"/>
      <c r="AL347" s="772"/>
    </row>
    <row r="348" spans="1:38" ht="11.25" customHeight="1">
      <c r="A348" s="1030" t="s">
        <v>1019</v>
      </c>
      <c r="E348" s="557"/>
      <c r="F348" s="1339"/>
      <c r="G348" s="1340"/>
      <c r="H348" s="1335" t="s">
        <v>92</v>
      </c>
      <c r="I348" s="1347"/>
      <c r="J348" s="1363"/>
      <c r="K348" s="1349"/>
      <c r="L348" s="1079"/>
      <c r="M348" s="1364"/>
      <c r="N348" s="229"/>
      <c r="O348" s="230"/>
      <c r="P348" s="44" t="s">
        <v>1060</v>
      </c>
      <c r="Q348" s="230"/>
      <c r="R348" s="230"/>
      <c r="S348" s="230"/>
      <c r="T348" s="230"/>
      <c r="U348" s="230"/>
      <c r="V348" s="230"/>
      <c r="W348" s="230"/>
      <c r="X348" s="230"/>
      <c r="Y348" s="230"/>
      <c r="Z348" s="230"/>
      <c r="AA348" s="230"/>
      <c r="AB348" s="230"/>
      <c r="AC348" s="230"/>
      <c r="AD348" s="230"/>
      <c r="AE348" s="247"/>
      <c r="AF348" s="1350"/>
      <c r="AG348" s="1352"/>
      <c r="AH348" s="1352"/>
      <c r="AI348" s="1350"/>
      <c r="AJ348" s="1352"/>
      <c r="AK348" s="1352"/>
      <c r="AL348" s="772"/>
    </row>
    <row r="349" spans="1:38" ht="11.25" customHeight="1">
      <c r="A349" s="1030" t="s">
        <v>1019</v>
      </c>
      <c r="B349" s="1030" t="s">
        <v>1051</v>
      </c>
      <c r="E349" s="557"/>
      <c r="F349" s="1339"/>
      <c r="G349" s="1325" t="s">
        <v>103</v>
      </c>
      <c r="H349" s="1335" t="s">
        <v>158</v>
      </c>
      <c r="I349" s="1347" t="s">
        <v>1052</v>
      </c>
      <c r="J349" s="1363" t="s">
        <v>1053</v>
      </c>
      <c r="K349" s="1349" t="s">
        <v>1114</v>
      </c>
      <c r="L349" s="1079" t="s">
        <v>61</v>
      </c>
      <c r="M349" s="1364" t="s">
        <v>1018</v>
      </c>
      <c r="N349" s="242"/>
      <c r="O349" s="243" t="s">
        <v>384</v>
      </c>
      <c r="P349" s="244"/>
      <c r="Q349" s="244"/>
      <c r="R349" s="244"/>
      <c r="S349" s="244"/>
      <c r="T349" s="244"/>
      <c r="U349" s="244"/>
      <c r="V349" s="244"/>
      <c r="W349" s="244"/>
      <c r="X349" s="244"/>
      <c r="Y349" s="244"/>
      <c r="Z349" s="244"/>
      <c r="AA349" s="244"/>
      <c r="AB349" s="244"/>
      <c r="AC349" s="244"/>
      <c r="AD349" s="244"/>
      <c r="AE349" s="244"/>
      <c r="AF349" s="1350">
        <v>5</v>
      </c>
      <c r="AG349" s="1352" t="s">
        <v>1055</v>
      </c>
      <c r="AH349" s="1352" t="s">
        <v>1079</v>
      </c>
      <c r="AI349" s="1350">
        <v>5</v>
      </c>
      <c r="AJ349" s="1352" t="s">
        <v>1055</v>
      </c>
      <c r="AK349" s="1352" t="s">
        <v>1079</v>
      </c>
      <c r="AL349" s="772"/>
    </row>
    <row r="350" spans="1:38" ht="11.25" customHeight="1">
      <c r="A350" s="1030" t="s">
        <v>1019</v>
      </c>
      <c r="E350" s="557"/>
      <c r="F350" s="1339"/>
      <c r="G350" s="1340"/>
      <c r="H350" s="1335" t="s">
        <v>116</v>
      </c>
      <c r="I350" s="1347"/>
      <c r="J350" s="1363"/>
      <c r="K350" s="1349"/>
      <c r="L350" s="1079"/>
      <c r="M350" s="1364"/>
      <c r="N350" s="1355"/>
      <c r="O350" s="1356">
        <v>1</v>
      </c>
      <c r="P350" s="1357" t="s">
        <v>19</v>
      </c>
      <c r="Q350" s="1308" t="s">
        <v>22</v>
      </c>
      <c r="R350" s="1308" t="s">
        <v>22</v>
      </c>
      <c r="S350" s="1308" t="s">
        <v>22</v>
      </c>
      <c r="T350" s="1308" t="s">
        <v>22</v>
      </c>
      <c r="U350" s="1308" t="s">
        <v>22</v>
      </c>
      <c r="V350" s="1308" t="s">
        <v>22</v>
      </c>
      <c r="W350" s="1308" t="s">
        <v>22</v>
      </c>
      <c r="X350" s="1308" t="s">
        <v>22</v>
      </c>
      <c r="Y350" s="1308"/>
      <c r="Z350" s="229"/>
      <c r="AA350" s="230"/>
      <c r="AB350" s="230"/>
      <c r="AC350" s="231"/>
      <c r="AD350" s="231"/>
      <c r="AE350" s="245"/>
      <c r="AF350" s="1350"/>
      <c r="AG350" s="1352"/>
      <c r="AH350" s="1352"/>
      <c r="AI350" s="1350"/>
      <c r="AJ350" s="1352"/>
      <c r="AK350" s="1352"/>
      <c r="AL350" s="772"/>
    </row>
    <row r="351" spans="1:38" ht="11.25" customHeight="1">
      <c r="A351" s="1030" t="s">
        <v>1019</v>
      </c>
      <c r="E351" s="557"/>
      <c r="F351" s="1339"/>
      <c r="G351" s="1340"/>
      <c r="H351" s="1335" t="s">
        <v>116</v>
      </c>
      <c r="I351" s="1347"/>
      <c r="J351" s="1363"/>
      <c r="K351" s="1349"/>
      <c r="L351" s="1079"/>
      <c r="M351" s="1364"/>
      <c r="N351" s="1355"/>
      <c r="O351" s="1356"/>
      <c r="P351" s="1358"/>
      <c r="Q351" s="1308"/>
      <c r="R351" s="1308"/>
      <c r="S351" s="1361"/>
      <c r="T351" s="1308"/>
      <c r="U351" s="1308"/>
      <c r="V351" s="1308"/>
      <c r="W351" s="1308"/>
      <c r="X351" s="1308"/>
      <c r="Y351" s="1308"/>
      <c r="AA351" s="778">
        <v>1</v>
      </c>
      <c r="AB351" s="779" t="s">
        <v>1057</v>
      </c>
      <c r="AC351" s="237">
        <v>955</v>
      </c>
      <c r="AD351" s="779" t="str">
        <f>AB351</f>
        <v xml:space="preserve">  Кредиты</v>
      </c>
      <c r="AE351" s="237">
        <f>AC351</f>
        <v>955</v>
      </c>
      <c r="AF351" s="1350"/>
      <c r="AG351" s="1352"/>
      <c r="AH351" s="1352"/>
      <c r="AI351" s="1350"/>
      <c r="AJ351" s="1352"/>
      <c r="AK351" s="1352"/>
      <c r="AL351" s="772"/>
    </row>
    <row r="352" spans="1:38" ht="11.25" customHeight="1">
      <c r="A352" s="1030" t="s">
        <v>1019</v>
      </c>
      <c r="E352" s="557"/>
      <c r="F352" s="1339"/>
      <c r="G352" s="1340"/>
      <c r="H352" s="1335" t="s">
        <v>116</v>
      </c>
      <c r="I352" s="1347"/>
      <c r="J352" s="1363"/>
      <c r="K352" s="1349"/>
      <c r="L352" s="1079"/>
      <c r="M352" s="1364"/>
      <c r="N352" s="1355"/>
      <c r="O352" s="1356"/>
      <c r="P352" s="1359"/>
      <c r="Q352" s="1308"/>
      <c r="R352" s="1308"/>
      <c r="S352" s="1361"/>
      <c r="T352" s="1308"/>
      <c r="U352" s="1308"/>
      <c r="V352" s="1308"/>
      <c r="W352" s="1308"/>
      <c r="X352" s="1308"/>
      <c r="Y352" s="1308"/>
      <c r="Z352" s="229"/>
      <c r="AA352" s="230"/>
      <c r="AB352" s="44" t="s">
        <v>1059</v>
      </c>
      <c r="AC352" s="231"/>
      <c r="AD352" s="231"/>
      <c r="AE352" s="246"/>
      <c r="AF352" s="1350"/>
      <c r="AG352" s="1352"/>
      <c r="AH352" s="1352"/>
      <c r="AI352" s="1350"/>
      <c r="AJ352" s="1352"/>
      <c r="AK352" s="1352"/>
      <c r="AL352" s="772"/>
    </row>
    <row r="353" spans="1:38" ht="11.25" customHeight="1">
      <c r="A353" s="1030" t="s">
        <v>1019</v>
      </c>
      <c r="E353" s="557"/>
      <c r="F353" s="1339"/>
      <c r="G353" s="1340"/>
      <c r="H353" s="1335" t="s">
        <v>116</v>
      </c>
      <c r="I353" s="1347"/>
      <c r="J353" s="1363"/>
      <c r="K353" s="1349"/>
      <c r="L353" s="1079"/>
      <c r="M353" s="1364"/>
      <c r="N353" s="229"/>
      <c r="O353" s="230"/>
      <c r="P353" s="44" t="s">
        <v>1060</v>
      </c>
      <c r="Q353" s="230"/>
      <c r="R353" s="230"/>
      <c r="S353" s="230"/>
      <c r="T353" s="230"/>
      <c r="U353" s="230"/>
      <c r="V353" s="230"/>
      <c r="W353" s="230"/>
      <c r="X353" s="230"/>
      <c r="Y353" s="230"/>
      <c r="Z353" s="230"/>
      <c r="AA353" s="230"/>
      <c r="AB353" s="230"/>
      <c r="AC353" s="230"/>
      <c r="AD353" s="230"/>
      <c r="AE353" s="247"/>
      <c r="AF353" s="1350"/>
      <c r="AG353" s="1352"/>
      <c r="AH353" s="1352"/>
      <c r="AI353" s="1350"/>
      <c r="AJ353" s="1352"/>
      <c r="AK353" s="1352"/>
      <c r="AL353" s="772"/>
    </row>
    <row r="354" spans="1:38" ht="11.25" customHeight="1">
      <c r="A354" s="1030" t="s">
        <v>1019</v>
      </c>
      <c r="B354" s="1030" t="s">
        <v>1051</v>
      </c>
      <c r="E354" s="557"/>
      <c r="F354" s="1339"/>
      <c r="G354" s="1325" t="s">
        <v>103</v>
      </c>
      <c r="H354" s="1335" t="s">
        <v>159</v>
      </c>
      <c r="I354" s="1347" t="s">
        <v>1052</v>
      </c>
      <c r="J354" s="1363" t="s">
        <v>1053</v>
      </c>
      <c r="K354" s="1349" t="s">
        <v>1115</v>
      </c>
      <c r="L354" s="1079" t="s">
        <v>19</v>
      </c>
      <c r="M354" s="1080"/>
      <c r="N354" s="242"/>
      <c r="O354" s="243" t="s">
        <v>384</v>
      </c>
      <c r="P354" s="244"/>
      <c r="Q354" s="244"/>
      <c r="R354" s="244"/>
      <c r="S354" s="244"/>
      <c r="T354" s="244"/>
      <c r="U354" s="244"/>
      <c r="V354" s="244"/>
      <c r="W354" s="244"/>
      <c r="X354" s="244"/>
      <c r="Y354" s="244"/>
      <c r="Z354" s="244"/>
      <c r="AA354" s="244"/>
      <c r="AB354" s="244"/>
      <c r="AC354" s="244"/>
      <c r="AD354" s="244"/>
      <c r="AE354" s="244"/>
      <c r="AF354" s="1350">
        <v>11</v>
      </c>
      <c r="AG354" s="1352" t="s">
        <v>1055</v>
      </c>
      <c r="AH354" s="1352" t="s">
        <v>1095</v>
      </c>
      <c r="AI354" s="1350">
        <v>11</v>
      </c>
      <c r="AJ354" s="1352" t="s">
        <v>1055</v>
      </c>
      <c r="AK354" s="1352" t="s">
        <v>1095</v>
      </c>
      <c r="AL354" s="772"/>
    </row>
    <row r="355" spans="1:38" ht="11.25" customHeight="1">
      <c r="A355" s="1030" t="s">
        <v>1019</v>
      </c>
      <c r="E355" s="557"/>
      <c r="F355" s="1339"/>
      <c r="G355" s="1340"/>
      <c r="H355" s="1335" t="s">
        <v>158</v>
      </c>
      <c r="I355" s="1347"/>
      <c r="J355" s="1363"/>
      <c r="K355" s="1349"/>
      <c r="L355" s="1079"/>
      <c r="M355" s="1080"/>
      <c r="N355" s="1355"/>
      <c r="O355" s="1356">
        <v>1</v>
      </c>
      <c r="P355" s="1357" t="s">
        <v>19</v>
      </c>
      <c r="Q355" s="1308" t="s">
        <v>22</v>
      </c>
      <c r="R355" s="1308" t="s">
        <v>22</v>
      </c>
      <c r="S355" s="1308" t="s">
        <v>22</v>
      </c>
      <c r="T355" s="1308" t="s">
        <v>22</v>
      </c>
      <c r="U355" s="1308" t="s">
        <v>22</v>
      </c>
      <c r="V355" s="1308" t="s">
        <v>22</v>
      </c>
      <c r="W355" s="1308" t="s">
        <v>22</v>
      </c>
      <c r="X355" s="1308" t="s">
        <v>22</v>
      </c>
      <c r="Y355" s="1308"/>
      <c r="Z355" s="229"/>
      <c r="AA355" s="230"/>
      <c r="AB355" s="230"/>
      <c r="AC355" s="231"/>
      <c r="AD355" s="231"/>
      <c r="AE355" s="245"/>
      <c r="AF355" s="1350"/>
      <c r="AG355" s="1352"/>
      <c r="AH355" s="1352"/>
      <c r="AI355" s="1350"/>
      <c r="AJ355" s="1352"/>
      <c r="AK355" s="1352"/>
      <c r="AL355" s="772"/>
    </row>
    <row r="356" spans="1:38" ht="11.25" customHeight="1">
      <c r="A356" s="1030" t="s">
        <v>1019</v>
      </c>
      <c r="E356" s="557"/>
      <c r="F356" s="1339"/>
      <c r="G356" s="1340"/>
      <c r="H356" s="1335" t="s">
        <v>158</v>
      </c>
      <c r="I356" s="1347"/>
      <c r="J356" s="1363"/>
      <c r="K356" s="1349"/>
      <c r="L356" s="1079"/>
      <c r="M356" s="1080"/>
      <c r="N356" s="1355"/>
      <c r="O356" s="1356"/>
      <c r="P356" s="1358"/>
      <c r="Q356" s="1308"/>
      <c r="R356" s="1308"/>
      <c r="S356" s="1361"/>
      <c r="T356" s="1308"/>
      <c r="U356" s="1308"/>
      <c r="V356" s="1308"/>
      <c r="W356" s="1308"/>
      <c r="X356" s="1308"/>
      <c r="Y356" s="1308"/>
      <c r="AA356" s="778">
        <v>1</v>
      </c>
      <c r="AB356" s="779" t="s">
        <v>1057</v>
      </c>
      <c r="AC356" s="237">
        <v>4913</v>
      </c>
      <c r="AD356" s="779" t="str">
        <f>AB356</f>
        <v xml:space="preserve">  Кредиты</v>
      </c>
      <c r="AE356" s="237">
        <f>AC356</f>
        <v>4913</v>
      </c>
      <c r="AF356" s="1350"/>
      <c r="AG356" s="1352"/>
      <c r="AH356" s="1352"/>
      <c r="AI356" s="1350"/>
      <c r="AJ356" s="1352"/>
      <c r="AK356" s="1352"/>
      <c r="AL356" s="772"/>
    </row>
    <row r="357" spans="1:38" ht="11.25" customHeight="1">
      <c r="A357" s="1030" t="s">
        <v>1019</v>
      </c>
      <c r="E357" s="557"/>
      <c r="F357" s="1339"/>
      <c r="G357" s="1340"/>
      <c r="H357" s="1335" t="s">
        <v>158</v>
      </c>
      <c r="I357" s="1347"/>
      <c r="J357" s="1363"/>
      <c r="K357" s="1349"/>
      <c r="L357" s="1079"/>
      <c r="M357" s="1080"/>
      <c r="N357" s="1355"/>
      <c r="O357" s="1356"/>
      <c r="P357" s="1359"/>
      <c r="Q357" s="1308"/>
      <c r="R357" s="1308"/>
      <c r="S357" s="1361"/>
      <c r="T357" s="1308"/>
      <c r="U357" s="1308"/>
      <c r="V357" s="1308"/>
      <c r="W357" s="1308"/>
      <c r="X357" s="1308"/>
      <c r="Y357" s="1308"/>
      <c r="Z357" s="229"/>
      <c r="AA357" s="230"/>
      <c r="AB357" s="44" t="s">
        <v>1059</v>
      </c>
      <c r="AC357" s="231"/>
      <c r="AD357" s="231"/>
      <c r="AE357" s="246"/>
      <c r="AF357" s="1350"/>
      <c r="AG357" s="1352"/>
      <c r="AH357" s="1352"/>
      <c r="AI357" s="1350"/>
      <c r="AJ357" s="1352"/>
      <c r="AK357" s="1352"/>
      <c r="AL357" s="772"/>
    </row>
    <row r="358" spans="1:38" ht="11.25" customHeight="1">
      <c r="A358" s="1030" t="s">
        <v>1019</v>
      </c>
      <c r="E358" s="557"/>
      <c r="F358" s="1339"/>
      <c r="G358" s="1340"/>
      <c r="H358" s="1335" t="s">
        <v>158</v>
      </c>
      <c r="I358" s="1347"/>
      <c r="J358" s="1363"/>
      <c r="K358" s="1349"/>
      <c r="L358" s="1079"/>
      <c r="M358" s="1080"/>
      <c r="N358" s="229"/>
      <c r="O358" s="230"/>
      <c r="P358" s="44" t="s">
        <v>1060</v>
      </c>
      <c r="Q358" s="230"/>
      <c r="R358" s="230"/>
      <c r="S358" s="230"/>
      <c r="T358" s="230"/>
      <c r="U358" s="230"/>
      <c r="V358" s="230"/>
      <c r="W358" s="230"/>
      <c r="X358" s="230"/>
      <c r="Y358" s="230"/>
      <c r="Z358" s="230"/>
      <c r="AA358" s="230"/>
      <c r="AB358" s="230"/>
      <c r="AC358" s="230"/>
      <c r="AD358" s="230"/>
      <c r="AE358" s="247"/>
      <c r="AF358" s="1350"/>
      <c r="AG358" s="1352"/>
      <c r="AH358" s="1352"/>
      <c r="AI358" s="1350"/>
      <c r="AJ358" s="1352"/>
      <c r="AK358" s="1352"/>
      <c r="AL358" s="772"/>
    </row>
    <row r="359" spans="1:38" ht="11.25" customHeight="1">
      <c r="A359" s="1030" t="s">
        <v>1019</v>
      </c>
      <c r="B359" s="1030" t="s">
        <v>1051</v>
      </c>
      <c r="E359" s="557"/>
      <c r="F359" s="1339"/>
      <c r="G359" s="1325" t="s">
        <v>103</v>
      </c>
      <c r="H359" s="1335" t="s">
        <v>160</v>
      </c>
      <c r="I359" s="1347" t="s">
        <v>1052</v>
      </c>
      <c r="J359" s="1363" t="s">
        <v>1093</v>
      </c>
      <c r="K359" s="1349" t="s">
        <v>1094</v>
      </c>
      <c r="L359" s="1079" t="s">
        <v>61</v>
      </c>
      <c r="M359" s="1364" t="s">
        <v>1018</v>
      </c>
      <c r="N359" s="242"/>
      <c r="O359" s="243" t="s">
        <v>384</v>
      </c>
      <c r="P359" s="244"/>
      <c r="Q359" s="244"/>
      <c r="R359" s="244"/>
      <c r="S359" s="244"/>
      <c r="T359" s="244"/>
      <c r="U359" s="244"/>
      <c r="V359" s="244"/>
      <c r="W359" s="244"/>
      <c r="X359" s="244"/>
      <c r="Y359" s="244"/>
      <c r="Z359" s="244"/>
      <c r="AA359" s="244"/>
      <c r="AB359" s="244"/>
      <c r="AC359" s="244"/>
      <c r="AD359" s="244"/>
      <c r="AE359" s="244"/>
      <c r="AF359" s="1350">
        <v>11</v>
      </c>
      <c r="AG359" s="1352" t="s">
        <v>1055</v>
      </c>
      <c r="AH359" s="1352" t="s">
        <v>1095</v>
      </c>
      <c r="AI359" s="1350">
        <v>11</v>
      </c>
      <c r="AJ359" s="1352" t="s">
        <v>1055</v>
      </c>
      <c r="AK359" s="1352" t="s">
        <v>1095</v>
      </c>
      <c r="AL359" s="772"/>
    </row>
    <row r="360" spans="1:38" ht="11.25" customHeight="1">
      <c r="A360" s="1030" t="s">
        <v>1019</v>
      </c>
      <c r="E360" s="557"/>
      <c r="F360" s="1339"/>
      <c r="G360" s="1340"/>
      <c r="H360" s="1335" t="s">
        <v>159</v>
      </c>
      <c r="I360" s="1347"/>
      <c r="J360" s="1363"/>
      <c r="K360" s="1349"/>
      <c r="L360" s="1079"/>
      <c r="M360" s="1364"/>
      <c r="N360" s="1355"/>
      <c r="O360" s="1356">
        <v>1</v>
      </c>
      <c r="P360" s="1357" t="s">
        <v>19</v>
      </c>
      <c r="Q360" s="1308" t="s">
        <v>22</v>
      </c>
      <c r="R360" s="1308" t="s">
        <v>22</v>
      </c>
      <c r="S360" s="1308" t="s">
        <v>22</v>
      </c>
      <c r="T360" s="1308" t="s">
        <v>22</v>
      </c>
      <c r="U360" s="1308" t="s">
        <v>22</v>
      </c>
      <c r="V360" s="1308" t="s">
        <v>22</v>
      </c>
      <c r="W360" s="1308" t="s">
        <v>22</v>
      </c>
      <c r="X360" s="1308" t="s">
        <v>22</v>
      </c>
      <c r="Y360" s="1308"/>
      <c r="Z360" s="229"/>
      <c r="AA360" s="230"/>
      <c r="AB360" s="230"/>
      <c r="AC360" s="231"/>
      <c r="AD360" s="231"/>
      <c r="AE360" s="245"/>
      <c r="AF360" s="1350"/>
      <c r="AG360" s="1352"/>
      <c r="AH360" s="1352"/>
      <c r="AI360" s="1350"/>
      <c r="AJ360" s="1352"/>
      <c r="AK360" s="1352"/>
      <c r="AL360" s="772"/>
    </row>
    <row r="361" spans="1:38" ht="11.25" customHeight="1">
      <c r="A361" s="1030" t="s">
        <v>1019</v>
      </c>
      <c r="E361" s="557"/>
      <c r="F361" s="1339"/>
      <c r="G361" s="1340"/>
      <c r="H361" s="1335" t="s">
        <v>159</v>
      </c>
      <c r="I361" s="1347"/>
      <c r="J361" s="1363"/>
      <c r="K361" s="1349"/>
      <c r="L361" s="1079"/>
      <c r="M361" s="1364"/>
      <c r="N361" s="1355"/>
      <c r="O361" s="1356"/>
      <c r="P361" s="1358"/>
      <c r="Q361" s="1308"/>
      <c r="R361" s="1308"/>
      <c r="S361" s="1361"/>
      <c r="T361" s="1308"/>
      <c r="U361" s="1308"/>
      <c r="V361" s="1308"/>
      <c r="W361" s="1308"/>
      <c r="X361" s="1308"/>
      <c r="Y361" s="1308"/>
      <c r="AA361" s="778">
        <v>1</v>
      </c>
      <c r="AB361" s="779" t="s">
        <v>1057</v>
      </c>
      <c r="AC361" s="237">
        <v>41360</v>
      </c>
      <c r="AD361" s="779" t="str">
        <f>AB361</f>
        <v xml:space="preserve">  Кредиты</v>
      </c>
      <c r="AE361" s="237">
        <f>AC361</f>
        <v>41360</v>
      </c>
      <c r="AF361" s="1350"/>
      <c r="AG361" s="1352"/>
      <c r="AH361" s="1352"/>
      <c r="AI361" s="1350"/>
      <c r="AJ361" s="1352"/>
      <c r="AK361" s="1352"/>
      <c r="AL361" s="772"/>
    </row>
    <row r="362" spans="1:38" ht="11.25" customHeight="1">
      <c r="A362" s="1030" t="s">
        <v>1019</v>
      </c>
      <c r="E362" s="557"/>
      <c r="F362" s="1339"/>
      <c r="G362" s="1340"/>
      <c r="H362" s="1335" t="s">
        <v>159</v>
      </c>
      <c r="I362" s="1347"/>
      <c r="J362" s="1363"/>
      <c r="K362" s="1349"/>
      <c r="L362" s="1079"/>
      <c r="M362" s="1364"/>
      <c r="N362" s="1355"/>
      <c r="O362" s="1356"/>
      <c r="P362" s="1359"/>
      <c r="Q362" s="1308"/>
      <c r="R362" s="1308"/>
      <c r="S362" s="1361"/>
      <c r="T362" s="1308"/>
      <c r="U362" s="1308"/>
      <c r="V362" s="1308"/>
      <c r="W362" s="1308"/>
      <c r="X362" s="1308"/>
      <c r="Y362" s="1308"/>
      <c r="Z362" s="229"/>
      <c r="AA362" s="230"/>
      <c r="AB362" s="44" t="s">
        <v>1059</v>
      </c>
      <c r="AC362" s="231"/>
      <c r="AD362" s="231"/>
      <c r="AE362" s="246"/>
      <c r="AF362" s="1350"/>
      <c r="AG362" s="1352"/>
      <c r="AH362" s="1352"/>
      <c r="AI362" s="1350"/>
      <c r="AJ362" s="1352"/>
      <c r="AK362" s="1352"/>
      <c r="AL362" s="772"/>
    </row>
    <row r="363" spans="1:38" ht="11.25" customHeight="1">
      <c r="A363" s="1030" t="s">
        <v>1019</v>
      </c>
      <c r="E363" s="557"/>
      <c r="F363" s="1339"/>
      <c r="G363" s="1340"/>
      <c r="H363" s="1335" t="s">
        <v>159</v>
      </c>
      <c r="I363" s="1347"/>
      <c r="J363" s="1363"/>
      <c r="K363" s="1349"/>
      <c r="L363" s="1079"/>
      <c r="M363" s="1364"/>
      <c r="N363" s="229"/>
      <c r="O363" s="230"/>
      <c r="P363" s="44" t="s">
        <v>1060</v>
      </c>
      <c r="Q363" s="230"/>
      <c r="R363" s="230"/>
      <c r="S363" s="230"/>
      <c r="T363" s="230"/>
      <c r="U363" s="230"/>
      <c r="V363" s="230"/>
      <c r="W363" s="230"/>
      <c r="X363" s="230"/>
      <c r="Y363" s="230"/>
      <c r="Z363" s="230"/>
      <c r="AA363" s="230"/>
      <c r="AB363" s="230"/>
      <c r="AC363" s="230"/>
      <c r="AD363" s="230"/>
      <c r="AE363" s="247"/>
      <c r="AF363" s="1350"/>
      <c r="AG363" s="1352"/>
      <c r="AH363" s="1352"/>
      <c r="AI363" s="1350"/>
      <c r="AJ363" s="1352"/>
      <c r="AK363" s="1352"/>
      <c r="AL363" s="772"/>
    </row>
    <row r="364" spans="1:38" ht="11.25" customHeight="1">
      <c r="A364" s="1030" t="s">
        <v>1019</v>
      </c>
      <c r="B364" s="1030" t="s">
        <v>1086</v>
      </c>
      <c r="E364" s="557"/>
      <c r="F364" s="1339"/>
      <c r="G364" s="1325" t="s">
        <v>103</v>
      </c>
      <c r="H364" s="1335" t="s">
        <v>161</v>
      </c>
      <c r="I364" s="1347" t="s">
        <v>1087</v>
      </c>
      <c r="J364" s="1363" t="s">
        <v>1116</v>
      </c>
      <c r="K364" s="1349" t="s">
        <v>1117</v>
      </c>
      <c r="L364" s="1079" t="s">
        <v>19</v>
      </c>
      <c r="M364" s="1080"/>
      <c r="N364" s="242"/>
      <c r="O364" s="243" t="s">
        <v>384</v>
      </c>
      <c r="P364" s="244"/>
      <c r="Q364" s="244"/>
      <c r="R364" s="244"/>
      <c r="S364" s="244"/>
      <c r="T364" s="244"/>
      <c r="U364" s="244"/>
      <c r="V364" s="244"/>
      <c r="W364" s="244"/>
      <c r="X364" s="244"/>
      <c r="Y364" s="244"/>
      <c r="Z364" s="244"/>
      <c r="AA364" s="244"/>
      <c r="AB364" s="244"/>
      <c r="AC364" s="244"/>
      <c r="AD364" s="244"/>
      <c r="AE364" s="244"/>
      <c r="AF364" s="1350">
        <v>3</v>
      </c>
      <c r="AG364" s="1352" t="s">
        <v>1055</v>
      </c>
      <c r="AH364" s="1352" t="s">
        <v>1097</v>
      </c>
      <c r="AI364" s="1350">
        <v>3</v>
      </c>
      <c r="AJ364" s="1352" t="s">
        <v>1055</v>
      </c>
      <c r="AK364" s="1352" t="s">
        <v>1097</v>
      </c>
      <c r="AL364" s="772"/>
    </row>
    <row r="365" spans="1:38" ht="11.25" customHeight="1">
      <c r="A365" s="1030" t="s">
        <v>1019</v>
      </c>
      <c r="E365" s="557"/>
      <c r="F365" s="1339"/>
      <c r="G365" s="1340"/>
      <c r="H365" s="1335" t="s">
        <v>160</v>
      </c>
      <c r="I365" s="1347"/>
      <c r="J365" s="1363"/>
      <c r="K365" s="1349"/>
      <c r="L365" s="1079"/>
      <c r="M365" s="1080"/>
      <c r="N365" s="1355"/>
      <c r="O365" s="1356">
        <v>1</v>
      </c>
      <c r="P365" s="1357" t="s">
        <v>19</v>
      </c>
      <c r="Q365" s="1308" t="s">
        <v>22</v>
      </c>
      <c r="R365" s="1308" t="s">
        <v>22</v>
      </c>
      <c r="S365" s="1308" t="s">
        <v>22</v>
      </c>
      <c r="T365" s="1308" t="s">
        <v>22</v>
      </c>
      <c r="U365" s="1308" t="s">
        <v>22</v>
      </c>
      <c r="V365" s="1308" t="s">
        <v>22</v>
      </c>
      <c r="W365" s="1308" t="s">
        <v>22</v>
      </c>
      <c r="X365" s="1308" t="s">
        <v>22</v>
      </c>
      <c r="Y365" s="1308"/>
      <c r="Z365" s="229"/>
      <c r="AA365" s="230"/>
      <c r="AB365" s="230"/>
      <c r="AC365" s="231"/>
      <c r="AD365" s="231"/>
      <c r="AE365" s="245"/>
      <c r="AF365" s="1350"/>
      <c r="AG365" s="1352"/>
      <c r="AH365" s="1352"/>
      <c r="AI365" s="1350"/>
      <c r="AJ365" s="1352"/>
      <c r="AK365" s="1352"/>
      <c r="AL365" s="772"/>
    </row>
    <row r="366" spans="1:38" ht="11.25" customHeight="1">
      <c r="A366" s="1030" t="s">
        <v>1019</v>
      </c>
      <c r="E366" s="557"/>
      <c r="F366" s="1339"/>
      <c r="G366" s="1340"/>
      <c r="H366" s="1335" t="s">
        <v>160</v>
      </c>
      <c r="I366" s="1347"/>
      <c r="J366" s="1363"/>
      <c r="K366" s="1349"/>
      <c r="L366" s="1079"/>
      <c r="M366" s="1080"/>
      <c r="N366" s="1355"/>
      <c r="O366" s="1356"/>
      <c r="P366" s="1358"/>
      <c r="Q366" s="1308"/>
      <c r="R366" s="1308"/>
      <c r="S366" s="1361"/>
      <c r="T366" s="1308"/>
      <c r="U366" s="1308"/>
      <c r="V366" s="1308"/>
      <c r="W366" s="1308"/>
      <c r="X366" s="1308"/>
      <c r="Y366" s="1308"/>
      <c r="AA366" s="778">
        <v>1</v>
      </c>
      <c r="AB366" s="779" t="s">
        <v>1118</v>
      </c>
      <c r="AC366" s="237">
        <v>133.52533</v>
      </c>
      <c r="AD366" s="779" t="str">
        <f>AB366</f>
        <v xml:space="preserve">  Средства, полученные за счет платы за подключение (технологическое присоединение)</v>
      </c>
      <c r="AE366" s="237">
        <f>AC366</f>
        <v>133.52533</v>
      </c>
      <c r="AF366" s="1350"/>
      <c r="AG366" s="1352"/>
      <c r="AH366" s="1352"/>
      <c r="AI366" s="1350"/>
      <c r="AJ366" s="1352"/>
      <c r="AK366" s="1352"/>
      <c r="AL366" s="772"/>
    </row>
    <row r="367" spans="1:38" ht="11.25" customHeight="1">
      <c r="A367" s="1030" t="s">
        <v>1019</v>
      </c>
      <c r="E367" s="557"/>
      <c r="F367" s="1339"/>
      <c r="G367" s="1340"/>
      <c r="H367" s="1335" t="s">
        <v>160</v>
      </c>
      <c r="I367" s="1347"/>
      <c r="J367" s="1363"/>
      <c r="K367" s="1349"/>
      <c r="L367" s="1079"/>
      <c r="M367" s="1080"/>
      <c r="N367" s="1355"/>
      <c r="O367" s="1356"/>
      <c r="P367" s="1359"/>
      <c r="Q367" s="1308"/>
      <c r="R367" s="1308"/>
      <c r="S367" s="1361"/>
      <c r="T367" s="1308"/>
      <c r="U367" s="1308"/>
      <c r="V367" s="1308"/>
      <c r="W367" s="1308"/>
      <c r="X367" s="1308"/>
      <c r="Y367" s="1308"/>
      <c r="Z367" s="229"/>
      <c r="AA367" s="230"/>
      <c r="AB367" s="44" t="s">
        <v>1059</v>
      </c>
      <c r="AC367" s="231"/>
      <c r="AD367" s="231"/>
      <c r="AE367" s="246"/>
      <c r="AF367" s="1350"/>
      <c r="AG367" s="1352"/>
      <c r="AH367" s="1352"/>
      <c r="AI367" s="1350"/>
      <c r="AJ367" s="1352"/>
      <c r="AK367" s="1352"/>
      <c r="AL367" s="772"/>
    </row>
    <row r="368" spans="1:38" ht="11.25" customHeight="1">
      <c r="A368" s="1030" t="s">
        <v>1019</v>
      </c>
      <c r="E368" s="557"/>
      <c r="F368" s="1339"/>
      <c r="G368" s="1340"/>
      <c r="H368" s="1335" t="s">
        <v>160</v>
      </c>
      <c r="I368" s="1347"/>
      <c r="J368" s="1363"/>
      <c r="K368" s="1349"/>
      <c r="L368" s="1079"/>
      <c r="M368" s="1080"/>
      <c r="N368" s="229"/>
      <c r="O368" s="230"/>
      <c r="P368" s="44" t="s">
        <v>1060</v>
      </c>
      <c r="Q368" s="230"/>
      <c r="R368" s="230"/>
      <c r="S368" s="230"/>
      <c r="T368" s="230"/>
      <c r="U368" s="230"/>
      <c r="V368" s="230"/>
      <c r="W368" s="230"/>
      <c r="X368" s="230"/>
      <c r="Y368" s="230"/>
      <c r="Z368" s="230"/>
      <c r="AA368" s="230"/>
      <c r="AB368" s="230"/>
      <c r="AC368" s="230"/>
      <c r="AD368" s="230"/>
      <c r="AE368" s="247"/>
      <c r="AF368" s="1350"/>
      <c r="AG368" s="1352"/>
      <c r="AH368" s="1352"/>
      <c r="AI368" s="1350"/>
      <c r="AJ368" s="1352"/>
      <c r="AK368" s="1352"/>
      <c r="AL368" s="772"/>
    </row>
    <row r="369" spans="1:38" ht="11.25" customHeight="1">
      <c r="A369" s="1030" t="s">
        <v>1019</v>
      </c>
      <c r="B369" s="1030" t="s">
        <v>22</v>
      </c>
      <c r="E369" s="557"/>
      <c r="F369" s="1339"/>
      <c r="G369" s="1325" t="s">
        <v>103</v>
      </c>
      <c r="H369" s="1335" t="s">
        <v>162</v>
      </c>
      <c r="I369" s="1347" t="s">
        <v>1111</v>
      </c>
      <c r="J369" s="1360" t="s">
        <v>22</v>
      </c>
      <c r="K369" s="1349" t="s">
        <v>1112</v>
      </c>
      <c r="L369" s="1079" t="s">
        <v>19</v>
      </c>
      <c r="M369" s="1080"/>
      <c r="N369" s="242"/>
      <c r="O369" s="243" t="s">
        <v>384</v>
      </c>
      <c r="P369" s="244"/>
      <c r="Q369" s="244"/>
      <c r="R369" s="244"/>
      <c r="S369" s="244"/>
      <c r="T369" s="244"/>
      <c r="U369" s="244"/>
      <c r="V369" s="244"/>
      <c r="W369" s="244"/>
      <c r="X369" s="244"/>
      <c r="Y369" s="244"/>
      <c r="Z369" s="244"/>
      <c r="AA369" s="244"/>
      <c r="AB369" s="244"/>
      <c r="AC369" s="244"/>
      <c r="AD369" s="244"/>
      <c r="AE369" s="244"/>
      <c r="AF369" s="1350">
        <v>1</v>
      </c>
      <c r="AG369" s="1352" t="s">
        <v>1055</v>
      </c>
      <c r="AH369" s="1352" t="s">
        <v>1113</v>
      </c>
      <c r="AI369" s="1350">
        <v>1</v>
      </c>
      <c r="AJ369" s="1352" t="s">
        <v>1055</v>
      </c>
      <c r="AK369" s="1352" t="s">
        <v>1113</v>
      </c>
      <c r="AL369" s="772"/>
    </row>
    <row r="370" spans="1:38" ht="11.25" customHeight="1">
      <c r="A370" s="1030" t="s">
        <v>1019</v>
      </c>
      <c r="E370" s="557"/>
      <c r="F370" s="1339"/>
      <c r="G370" s="1340"/>
      <c r="H370" s="1335" t="s">
        <v>161</v>
      </c>
      <c r="I370" s="1347"/>
      <c r="J370" s="1360"/>
      <c r="K370" s="1349"/>
      <c r="L370" s="1079"/>
      <c r="M370" s="1080"/>
      <c r="N370" s="1355"/>
      <c r="O370" s="1356">
        <v>1</v>
      </c>
      <c r="P370" s="1357" t="s">
        <v>19</v>
      </c>
      <c r="Q370" s="1308" t="s">
        <v>22</v>
      </c>
      <c r="R370" s="1308" t="s">
        <v>22</v>
      </c>
      <c r="S370" s="1308" t="s">
        <v>22</v>
      </c>
      <c r="T370" s="1308" t="s">
        <v>22</v>
      </c>
      <c r="U370" s="1308" t="s">
        <v>22</v>
      </c>
      <c r="V370" s="1308" t="s">
        <v>22</v>
      </c>
      <c r="W370" s="1308" t="s">
        <v>22</v>
      </c>
      <c r="X370" s="1308" t="s">
        <v>22</v>
      </c>
      <c r="Y370" s="1308"/>
      <c r="Z370" s="229"/>
      <c r="AA370" s="230"/>
      <c r="AB370" s="230"/>
      <c r="AC370" s="231"/>
      <c r="AD370" s="231"/>
      <c r="AE370" s="245"/>
      <c r="AF370" s="1350"/>
      <c r="AG370" s="1352"/>
      <c r="AH370" s="1352"/>
      <c r="AI370" s="1350"/>
      <c r="AJ370" s="1352"/>
      <c r="AK370" s="1352"/>
      <c r="AL370" s="772"/>
    </row>
    <row r="371" spans="1:38" ht="11.25" customHeight="1">
      <c r="A371" s="1030" t="s">
        <v>1019</v>
      </c>
      <c r="E371" s="557"/>
      <c r="F371" s="1339"/>
      <c r="G371" s="1340"/>
      <c r="H371" s="1335" t="s">
        <v>161</v>
      </c>
      <c r="I371" s="1347"/>
      <c r="J371" s="1360"/>
      <c r="K371" s="1349"/>
      <c r="L371" s="1079"/>
      <c r="M371" s="1080"/>
      <c r="N371" s="1355"/>
      <c r="O371" s="1356"/>
      <c r="P371" s="1358"/>
      <c r="Q371" s="1308"/>
      <c r="R371" s="1308"/>
      <c r="S371" s="1361"/>
      <c r="T371" s="1308"/>
      <c r="U371" s="1308"/>
      <c r="V371" s="1308"/>
      <c r="W371" s="1308"/>
      <c r="X371" s="1308"/>
      <c r="Y371" s="1308"/>
      <c r="AA371" s="778">
        <v>1</v>
      </c>
      <c r="AB371" s="779" t="s">
        <v>1057</v>
      </c>
      <c r="AC371" s="237">
        <v>1720</v>
      </c>
      <c r="AD371" s="779" t="str">
        <f>AB371</f>
        <v xml:space="preserve">  Кредиты</v>
      </c>
      <c r="AE371" s="237">
        <f>AC371</f>
        <v>1720</v>
      </c>
      <c r="AF371" s="1350"/>
      <c r="AG371" s="1352"/>
      <c r="AH371" s="1352"/>
      <c r="AI371" s="1350"/>
      <c r="AJ371" s="1352"/>
      <c r="AK371" s="1352"/>
      <c r="AL371" s="772"/>
    </row>
    <row r="372" spans="1:38" ht="11.25" customHeight="1">
      <c r="A372" s="1030" t="s">
        <v>1019</v>
      </c>
      <c r="E372" s="557"/>
      <c r="F372" s="1339"/>
      <c r="G372" s="1340"/>
      <c r="H372" s="1335" t="s">
        <v>161</v>
      </c>
      <c r="I372" s="1347"/>
      <c r="J372" s="1360"/>
      <c r="K372" s="1349"/>
      <c r="L372" s="1079"/>
      <c r="M372" s="1080"/>
      <c r="N372" s="1355"/>
      <c r="O372" s="1356"/>
      <c r="P372" s="1359"/>
      <c r="Q372" s="1308"/>
      <c r="R372" s="1308"/>
      <c r="S372" s="1361"/>
      <c r="T372" s="1308"/>
      <c r="U372" s="1308"/>
      <c r="V372" s="1308"/>
      <c r="W372" s="1308"/>
      <c r="X372" s="1308"/>
      <c r="Y372" s="1308"/>
      <c r="Z372" s="229"/>
      <c r="AA372" s="230"/>
      <c r="AB372" s="44" t="s">
        <v>1059</v>
      </c>
      <c r="AC372" s="231"/>
      <c r="AD372" s="231"/>
      <c r="AE372" s="246"/>
      <c r="AF372" s="1350"/>
      <c r="AG372" s="1352"/>
      <c r="AH372" s="1352"/>
      <c r="AI372" s="1350"/>
      <c r="AJ372" s="1352"/>
      <c r="AK372" s="1352"/>
      <c r="AL372" s="772"/>
    </row>
    <row r="373" spans="1:38" ht="11.25" customHeight="1">
      <c r="A373" s="1030" t="s">
        <v>1019</v>
      </c>
      <c r="E373" s="557"/>
      <c r="F373" s="1339"/>
      <c r="G373" s="1340"/>
      <c r="H373" s="1335" t="s">
        <v>161</v>
      </c>
      <c r="I373" s="1347"/>
      <c r="J373" s="1360"/>
      <c r="K373" s="1349"/>
      <c r="L373" s="1079"/>
      <c r="M373" s="1080"/>
      <c r="N373" s="229"/>
      <c r="O373" s="230"/>
      <c r="P373" s="44" t="s">
        <v>1060</v>
      </c>
      <c r="Q373" s="230"/>
      <c r="R373" s="230"/>
      <c r="S373" s="230"/>
      <c r="T373" s="230"/>
      <c r="U373" s="230"/>
      <c r="V373" s="230"/>
      <c r="W373" s="230"/>
      <c r="X373" s="230"/>
      <c r="Y373" s="230"/>
      <c r="Z373" s="230"/>
      <c r="AA373" s="230"/>
      <c r="AB373" s="230"/>
      <c r="AC373" s="230"/>
      <c r="AD373" s="230"/>
      <c r="AE373" s="247"/>
      <c r="AF373" s="1350"/>
      <c r="AG373" s="1352"/>
      <c r="AH373" s="1352"/>
      <c r="AI373" s="1350"/>
      <c r="AJ373" s="1352"/>
      <c r="AK373" s="1352"/>
      <c r="AL373" s="772"/>
    </row>
    <row r="374" spans="1:38" ht="12" customHeight="1">
      <c r="A374" s="1030" t="s">
        <v>1019</v>
      </c>
      <c r="E374" s="557"/>
      <c r="F374" s="1341"/>
      <c r="G374" s="775"/>
      <c r="H374" s="775"/>
      <c r="I374" s="1337" t="s">
        <v>1070</v>
      </c>
      <c r="J374" s="1337"/>
      <c r="K374" s="1337"/>
      <c r="L374" s="776"/>
      <c r="M374" s="776"/>
      <c r="N374" s="777"/>
      <c r="O374" s="777"/>
      <c r="P374" s="777"/>
      <c r="Q374" s="777"/>
      <c r="R374" s="777"/>
      <c r="S374" s="777"/>
      <c r="T374" s="777"/>
      <c r="U374" s="777"/>
      <c r="V374" s="777"/>
      <c r="W374" s="777"/>
      <c r="X374" s="777"/>
      <c r="Y374" s="777"/>
      <c r="Z374" s="777"/>
      <c r="AA374" s="777"/>
      <c r="AB374" s="777"/>
      <c r="AC374" s="777"/>
      <c r="AD374" s="777"/>
      <c r="AE374" s="777"/>
      <c r="AF374" s="777"/>
      <c r="AG374" s="776"/>
      <c r="AH374" s="776"/>
      <c r="AI374" s="777"/>
      <c r="AJ374" s="776"/>
      <c r="AK374" s="777"/>
      <c r="AL374" s="772"/>
    </row>
    <row r="375" spans="1:38" ht="0.75" customHeight="1">
      <c r="A375" s="1030" t="s">
        <v>1019</v>
      </c>
      <c r="E375" s="557"/>
      <c r="F375" s="1338">
        <v>2021</v>
      </c>
      <c r="G375" s="1335"/>
      <c r="H375" s="1343" t="s">
        <v>384</v>
      </c>
      <c r="I375" s="1344"/>
      <c r="J375" s="1334"/>
      <c r="K375" s="1334"/>
      <c r="L375" s="1336"/>
      <c r="M375" s="1190"/>
      <c r="N375" s="214"/>
      <c r="O375" s="215"/>
      <c r="P375" s="214"/>
      <c r="Q375" s="214"/>
      <c r="R375" s="214"/>
      <c r="S375" s="214"/>
      <c r="T375" s="214"/>
      <c r="U375" s="214"/>
      <c r="V375" s="214"/>
      <c r="W375" s="214"/>
      <c r="X375" s="214"/>
      <c r="Y375" s="214"/>
      <c r="Z375" s="214"/>
      <c r="AA375" s="214"/>
      <c r="AB375" s="214"/>
      <c r="AC375" s="214"/>
      <c r="AD375" s="214"/>
      <c r="AE375" s="214"/>
      <c r="AF375" s="1342"/>
      <c r="AG375" s="1336"/>
      <c r="AH375" s="1336"/>
      <c r="AI375" s="1342"/>
      <c r="AJ375" s="1336"/>
      <c r="AK375" s="1336"/>
      <c r="AL375" s="772"/>
    </row>
    <row r="376" spans="1:38" ht="0.75" customHeight="1">
      <c r="A376" s="1030" t="s">
        <v>1019</v>
      </c>
      <c r="E376" s="557"/>
      <c r="F376" s="1338"/>
      <c r="G376" s="1335"/>
      <c r="H376" s="1343"/>
      <c r="I376" s="1344"/>
      <c r="J376" s="1334"/>
      <c r="K376" s="1334"/>
      <c r="L376" s="1336"/>
      <c r="M376" s="1190"/>
      <c r="N376" s="1345"/>
      <c r="O376" s="1346"/>
      <c r="P376" s="1331"/>
      <c r="Q376" s="1334"/>
      <c r="R376" s="1334"/>
      <c r="S376" s="1334"/>
      <c r="T376" s="1334"/>
      <c r="U376" s="1334"/>
      <c r="V376" s="1334"/>
      <c r="W376" s="1334"/>
      <c r="X376" s="1334"/>
      <c r="Y376" s="1334"/>
      <c r="Z376" s="216"/>
      <c r="AA376" s="217"/>
      <c r="AB376" s="217"/>
      <c r="AC376" s="218"/>
      <c r="AD376" s="218"/>
      <c r="AE376" s="219"/>
      <c r="AF376" s="1342"/>
      <c r="AG376" s="1336"/>
      <c r="AH376" s="1336"/>
      <c r="AI376" s="1342"/>
      <c r="AJ376" s="1336"/>
      <c r="AK376" s="1336"/>
      <c r="AL376" s="772"/>
    </row>
    <row r="377" spans="1:38" ht="0.75" customHeight="1">
      <c r="A377" s="1030" t="s">
        <v>1019</v>
      </c>
      <c r="E377" s="557"/>
      <c r="F377" s="1338"/>
      <c r="G377" s="1335"/>
      <c r="H377" s="1343"/>
      <c r="I377" s="1344"/>
      <c r="J377" s="1334"/>
      <c r="K377" s="1334"/>
      <c r="L377" s="1336"/>
      <c r="M377" s="1190"/>
      <c r="N377" s="1345"/>
      <c r="O377" s="1346"/>
      <c r="P377" s="1332"/>
      <c r="Q377" s="1334"/>
      <c r="R377" s="1334"/>
      <c r="S377" s="1334"/>
      <c r="T377" s="1334"/>
      <c r="U377" s="1334"/>
      <c r="V377" s="1334"/>
      <c r="W377" s="1334"/>
      <c r="X377" s="1334"/>
      <c r="Y377" s="1334"/>
      <c r="AA377" s="773"/>
      <c r="AB377" s="774"/>
      <c r="AC377" s="220"/>
      <c r="AD377" s="774"/>
      <c r="AE377" s="220"/>
      <c r="AF377" s="1342"/>
      <c r="AG377" s="1336"/>
      <c r="AH377" s="1336"/>
      <c r="AI377" s="1342"/>
      <c r="AJ377" s="1336"/>
      <c r="AK377" s="1336"/>
      <c r="AL377" s="772"/>
    </row>
    <row r="378" spans="1:38" ht="0.75" customHeight="1">
      <c r="A378" s="1030" t="s">
        <v>1019</v>
      </c>
      <c r="E378" s="557"/>
      <c r="F378" s="1338"/>
      <c r="G378" s="1335"/>
      <c r="H378" s="1343"/>
      <c r="I378" s="1344"/>
      <c r="J378" s="1334"/>
      <c r="K378" s="1334"/>
      <c r="L378" s="1336"/>
      <c r="M378" s="1190"/>
      <c r="N378" s="1345"/>
      <c r="O378" s="1346"/>
      <c r="P378" s="1333"/>
      <c r="Q378" s="1334"/>
      <c r="R378" s="1334"/>
      <c r="S378" s="1334"/>
      <c r="T378" s="1334"/>
      <c r="U378" s="1334"/>
      <c r="V378" s="1334"/>
      <c r="W378" s="1334"/>
      <c r="X378" s="1334"/>
      <c r="Y378" s="1334"/>
      <c r="Z378" s="216"/>
      <c r="AA378" s="217"/>
      <c r="AB378" s="221"/>
      <c r="AC378" s="218"/>
      <c r="AD378" s="218"/>
      <c r="AE378" s="222"/>
      <c r="AF378" s="1342"/>
      <c r="AG378" s="1336"/>
      <c r="AH378" s="1336"/>
      <c r="AI378" s="1342"/>
      <c r="AJ378" s="1336"/>
      <c r="AK378" s="1336"/>
      <c r="AL378" s="772"/>
    </row>
    <row r="379" spans="1:38" ht="0.75" customHeight="1">
      <c r="A379" s="1030" t="s">
        <v>1019</v>
      </c>
      <c r="E379" s="557"/>
      <c r="F379" s="1338"/>
      <c r="G379" s="1335"/>
      <c r="H379" s="1343"/>
      <c r="I379" s="1344"/>
      <c r="J379" s="1334"/>
      <c r="K379" s="1334"/>
      <c r="L379" s="1336"/>
      <c r="M379" s="1190"/>
      <c r="N379" s="217"/>
      <c r="O379" s="217"/>
      <c r="P379" s="221"/>
      <c r="Q379" s="217"/>
      <c r="R379" s="217"/>
      <c r="S379" s="217"/>
      <c r="T379" s="217"/>
      <c r="U379" s="217"/>
      <c r="V379" s="217"/>
      <c r="W379" s="217"/>
      <c r="X379" s="217"/>
      <c r="Y379" s="217"/>
      <c r="Z379" s="217"/>
      <c r="AA379" s="217"/>
      <c r="AB379" s="217"/>
      <c r="AC379" s="217"/>
      <c r="AD379" s="217"/>
      <c r="AE379" s="223"/>
      <c r="AF379" s="1342"/>
      <c r="AG379" s="1336"/>
      <c r="AH379" s="1336"/>
      <c r="AI379" s="1342"/>
      <c r="AJ379" s="1336"/>
      <c r="AK379" s="1336"/>
      <c r="AL379" s="772"/>
    </row>
    <row r="380" spans="1:38" ht="11.25" customHeight="1">
      <c r="A380" s="1030" t="s">
        <v>1019</v>
      </c>
      <c r="B380" s="1030" t="s">
        <v>22</v>
      </c>
      <c r="E380" s="557"/>
      <c r="F380" s="1339"/>
      <c r="G380" s="1325" t="s">
        <v>103</v>
      </c>
      <c r="H380" s="1335" t="s">
        <v>114</v>
      </c>
      <c r="I380" s="1347" t="s">
        <v>1071</v>
      </c>
      <c r="J380" s="1360" t="s">
        <v>22</v>
      </c>
      <c r="K380" s="1349" t="s">
        <v>1096</v>
      </c>
      <c r="L380" s="1079" t="s">
        <v>19</v>
      </c>
      <c r="M380" s="1080"/>
      <c r="N380" s="242"/>
      <c r="O380" s="243" t="s">
        <v>384</v>
      </c>
      <c r="P380" s="244"/>
      <c r="Q380" s="244"/>
      <c r="R380" s="244"/>
      <c r="S380" s="244"/>
      <c r="T380" s="244"/>
      <c r="U380" s="244"/>
      <c r="V380" s="244"/>
      <c r="W380" s="244"/>
      <c r="X380" s="244"/>
      <c r="Y380" s="244"/>
      <c r="Z380" s="244"/>
      <c r="AA380" s="244"/>
      <c r="AB380" s="244"/>
      <c r="AC380" s="244"/>
      <c r="AD380" s="244"/>
      <c r="AE380" s="244"/>
      <c r="AF380" s="1350">
        <v>2</v>
      </c>
      <c r="AG380" s="1352" t="s">
        <v>1055</v>
      </c>
      <c r="AH380" s="1352" t="s">
        <v>1097</v>
      </c>
      <c r="AI380" s="1350">
        <v>2</v>
      </c>
      <c r="AJ380" s="1352" t="s">
        <v>1055</v>
      </c>
      <c r="AK380" s="1352" t="s">
        <v>1097</v>
      </c>
      <c r="AL380" s="772"/>
    </row>
    <row r="381" spans="1:38" ht="11.25" customHeight="1">
      <c r="A381" s="1030" t="s">
        <v>1019</v>
      </c>
      <c r="E381" s="557"/>
      <c r="F381" s="1339"/>
      <c r="G381" s="1340"/>
      <c r="H381" s="1335" t="s">
        <v>384</v>
      </c>
      <c r="I381" s="1347"/>
      <c r="J381" s="1360"/>
      <c r="K381" s="1349"/>
      <c r="L381" s="1079"/>
      <c r="M381" s="1080"/>
      <c r="N381" s="1355"/>
      <c r="O381" s="1356">
        <v>1</v>
      </c>
      <c r="P381" s="1357" t="s">
        <v>19</v>
      </c>
      <c r="Q381" s="1308" t="s">
        <v>22</v>
      </c>
      <c r="R381" s="1308" t="s">
        <v>22</v>
      </c>
      <c r="S381" s="1308" t="s">
        <v>22</v>
      </c>
      <c r="T381" s="1308" t="s">
        <v>22</v>
      </c>
      <c r="U381" s="1308" t="s">
        <v>22</v>
      </c>
      <c r="V381" s="1308" t="s">
        <v>22</v>
      </c>
      <c r="W381" s="1308" t="s">
        <v>22</v>
      </c>
      <c r="X381" s="1308" t="s">
        <v>22</v>
      </c>
      <c r="Y381" s="1308"/>
      <c r="Z381" s="229"/>
      <c r="AA381" s="230"/>
      <c r="AB381" s="230"/>
      <c r="AC381" s="231"/>
      <c r="AD381" s="231"/>
      <c r="AE381" s="245"/>
      <c r="AF381" s="1350"/>
      <c r="AG381" s="1352"/>
      <c r="AH381" s="1352"/>
      <c r="AI381" s="1350"/>
      <c r="AJ381" s="1352"/>
      <c r="AK381" s="1352"/>
      <c r="AL381" s="772"/>
    </row>
    <row r="382" spans="1:38" ht="11.25" customHeight="1">
      <c r="A382" s="1030" t="s">
        <v>1019</v>
      </c>
      <c r="E382" s="557"/>
      <c r="F382" s="1339"/>
      <c r="G382" s="1340"/>
      <c r="H382" s="1335" t="s">
        <v>384</v>
      </c>
      <c r="I382" s="1347"/>
      <c r="J382" s="1360"/>
      <c r="K382" s="1349"/>
      <c r="L382" s="1079"/>
      <c r="M382" s="1080"/>
      <c r="N382" s="1355"/>
      <c r="O382" s="1356"/>
      <c r="P382" s="1358"/>
      <c r="Q382" s="1308"/>
      <c r="R382" s="1308"/>
      <c r="S382" s="1361"/>
      <c r="T382" s="1308"/>
      <c r="U382" s="1308"/>
      <c r="V382" s="1308"/>
      <c r="W382" s="1308"/>
      <c r="X382" s="1308"/>
      <c r="Y382" s="1308"/>
      <c r="AA382" s="778">
        <v>1</v>
      </c>
      <c r="AB382" s="779" t="s">
        <v>1119</v>
      </c>
      <c r="AC382" s="237">
        <v>452.19338790214101</v>
      </c>
      <c r="AD382" s="779" t="str">
        <f>AB382</f>
        <v xml:space="preserve">  Прибыль направляемая на инвестиции</v>
      </c>
      <c r="AE382" s="237">
        <f>AC382</f>
        <v>452.19338790214101</v>
      </c>
      <c r="AF382" s="1350"/>
      <c r="AG382" s="1352"/>
      <c r="AH382" s="1352"/>
      <c r="AI382" s="1350"/>
      <c r="AJ382" s="1352"/>
      <c r="AK382" s="1352"/>
      <c r="AL382" s="772"/>
    </row>
    <row r="383" spans="1:38" ht="11.25" customHeight="1">
      <c r="A383" s="1030" t="s">
        <v>1019</v>
      </c>
      <c r="E383" s="557"/>
      <c r="F383" s="1340"/>
      <c r="G383" s="1340"/>
      <c r="H383" s="1340"/>
      <c r="I383" s="1340"/>
      <c r="J383" s="1340"/>
      <c r="K383" s="1340"/>
      <c r="L383" s="1340"/>
      <c r="M383" s="1340"/>
      <c r="N383" s="1340"/>
      <c r="O383" s="1340"/>
      <c r="P383" s="1340"/>
      <c r="Q383" s="1340"/>
      <c r="R383" s="1340"/>
      <c r="S383" s="1340"/>
      <c r="T383" s="1340"/>
      <c r="U383" s="1340"/>
      <c r="V383" s="1340"/>
      <c r="W383" s="1340"/>
      <c r="X383" s="1340"/>
      <c r="Y383" s="1340"/>
      <c r="Z383" s="181" t="s">
        <v>103</v>
      </c>
      <c r="AA383" s="780" t="s">
        <v>102</v>
      </c>
      <c r="AB383" s="779" t="s">
        <v>1120</v>
      </c>
      <c r="AC383" s="237">
        <v>194.80661209785899</v>
      </c>
      <c r="AD383" s="779" t="str">
        <f>AB383</f>
        <v xml:space="preserve">     Прочие амортизационные отчисления</v>
      </c>
      <c r="AE383" s="237">
        <f>AC383</f>
        <v>194.80661209785899</v>
      </c>
      <c r="AF383" s="1351"/>
      <c r="AG383" s="1353"/>
      <c r="AH383" s="1353"/>
      <c r="AI383" s="1351"/>
      <c r="AJ383" s="1353"/>
      <c r="AK383" s="1354"/>
      <c r="AL383" s="772"/>
    </row>
    <row r="384" spans="1:38" ht="11.25" customHeight="1">
      <c r="A384" s="1030" t="s">
        <v>1019</v>
      </c>
      <c r="E384" s="557"/>
      <c r="F384" s="1339"/>
      <c r="G384" s="1340"/>
      <c r="H384" s="1335" t="s">
        <v>384</v>
      </c>
      <c r="I384" s="1347"/>
      <c r="J384" s="1360"/>
      <c r="K384" s="1349"/>
      <c r="L384" s="1079"/>
      <c r="M384" s="1080"/>
      <c r="N384" s="1355"/>
      <c r="O384" s="1356"/>
      <c r="P384" s="1359"/>
      <c r="Q384" s="1308"/>
      <c r="R384" s="1308"/>
      <c r="S384" s="1361"/>
      <c r="T384" s="1308"/>
      <c r="U384" s="1308"/>
      <c r="V384" s="1308"/>
      <c r="W384" s="1308"/>
      <c r="X384" s="1308"/>
      <c r="Y384" s="1308"/>
      <c r="Z384" s="229"/>
      <c r="AA384" s="230"/>
      <c r="AB384" s="44" t="s">
        <v>1059</v>
      </c>
      <c r="AC384" s="231"/>
      <c r="AD384" s="231"/>
      <c r="AE384" s="246"/>
      <c r="AF384" s="1350"/>
      <c r="AG384" s="1352"/>
      <c r="AH384" s="1352"/>
      <c r="AI384" s="1350"/>
      <c r="AJ384" s="1352"/>
      <c r="AK384" s="1352"/>
      <c r="AL384" s="772"/>
    </row>
    <row r="385" spans="1:38" ht="11.25" customHeight="1">
      <c r="A385" s="1030" t="s">
        <v>1019</v>
      </c>
      <c r="E385" s="557"/>
      <c r="F385" s="1339"/>
      <c r="G385" s="1340"/>
      <c r="H385" s="1335" t="s">
        <v>384</v>
      </c>
      <c r="I385" s="1347"/>
      <c r="J385" s="1360"/>
      <c r="K385" s="1349"/>
      <c r="L385" s="1079"/>
      <c r="M385" s="1080"/>
      <c r="N385" s="229"/>
      <c r="O385" s="230"/>
      <c r="P385" s="44" t="s">
        <v>1060</v>
      </c>
      <c r="Q385" s="230"/>
      <c r="R385" s="230"/>
      <c r="S385" s="230"/>
      <c r="T385" s="230"/>
      <c r="U385" s="230"/>
      <c r="V385" s="230"/>
      <c r="W385" s="230"/>
      <c r="X385" s="230"/>
      <c r="Y385" s="230"/>
      <c r="Z385" s="230"/>
      <c r="AA385" s="230"/>
      <c r="AB385" s="230"/>
      <c r="AC385" s="230"/>
      <c r="AD385" s="230"/>
      <c r="AE385" s="247"/>
      <c r="AF385" s="1350"/>
      <c r="AG385" s="1352"/>
      <c r="AH385" s="1352"/>
      <c r="AI385" s="1350"/>
      <c r="AJ385" s="1352"/>
      <c r="AK385" s="1352"/>
      <c r="AL385" s="772"/>
    </row>
    <row r="386" spans="1:38" ht="11.25" customHeight="1">
      <c r="A386" s="1030" t="s">
        <v>1019</v>
      </c>
      <c r="B386" s="1030" t="s">
        <v>22</v>
      </c>
      <c r="E386" s="557"/>
      <c r="F386" s="1339"/>
      <c r="G386" s="1325" t="s">
        <v>103</v>
      </c>
      <c r="H386" s="1335" t="s">
        <v>102</v>
      </c>
      <c r="I386" s="1347" t="s">
        <v>1071</v>
      </c>
      <c r="J386" s="1360" t="s">
        <v>22</v>
      </c>
      <c r="K386" s="1349" t="s">
        <v>1099</v>
      </c>
      <c r="L386" s="1079" t="s">
        <v>61</v>
      </c>
      <c r="M386" s="1364" t="s">
        <v>1018</v>
      </c>
      <c r="N386" s="242"/>
      <c r="O386" s="243" t="s">
        <v>384</v>
      </c>
      <c r="P386" s="244"/>
      <c r="Q386" s="244"/>
      <c r="R386" s="244"/>
      <c r="S386" s="244"/>
      <c r="T386" s="244"/>
      <c r="U386" s="244"/>
      <c r="V386" s="244"/>
      <c r="W386" s="244"/>
      <c r="X386" s="244"/>
      <c r="Y386" s="244"/>
      <c r="Z386" s="244"/>
      <c r="AA386" s="244"/>
      <c r="AB386" s="244"/>
      <c r="AC386" s="244"/>
      <c r="AD386" s="244"/>
      <c r="AE386" s="244"/>
      <c r="AF386" s="1350">
        <v>4</v>
      </c>
      <c r="AG386" s="1352" t="s">
        <v>1055</v>
      </c>
      <c r="AH386" s="1352" t="s">
        <v>1079</v>
      </c>
      <c r="AI386" s="1350">
        <v>4</v>
      </c>
      <c r="AJ386" s="1352" t="s">
        <v>1055</v>
      </c>
      <c r="AK386" s="1352" t="s">
        <v>1079</v>
      </c>
      <c r="AL386" s="772"/>
    </row>
    <row r="387" spans="1:38" ht="11.25" customHeight="1">
      <c r="A387" s="1030" t="s">
        <v>1019</v>
      </c>
      <c r="E387" s="557"/>
      <c r="F387" s="1339"/>
      <c r="G387" s="1340"/>
      <c r="H387" s="1335" t="s">
        <v>114</v>
      </c>
      <c r="I387" s="1347"/>
      <c r="J387" s="1360"/>
      <c r="K387" s="1349"/>
      <c r="L387" s="1079"/>
      <c r="M387" s="1364"/>
      <c r="N387" s="1355"/>
      <c r="O387" s="1356">
        <v>1</v>
      </c>
      <c r="P387" s="1357" t="s">
        <v>61</v>
      </c>
      <c r="Q387" s="1348" t="s">
        <v>1074</v>
      </c>
      <c r="R387" s="1362" t="s">
        <v>1075</v>
      </c>
      <c r="S387" s="1362" t="s">
        <v>99</v>
      </c>
      <c r="T387" s="1362" t="s">
        <v>99</v>
      </c>
      <c r="U387" s="1362" t="s">
        <v>100</v>
      </c>
      <c r="V387" s="1362" t="s">
        <v>1066</v>
      </c>
      <c r="W387" s="1362" t="s">
        <v>1067</v>
      </c>
      <c r="X387" s="1362" t="s">
        <v>1076</v>
      </c>
      <c r="Y387" s="1362" t="s">
        <v>1077</v>
      </c>
      <c r="Z387" s="229"/>
      <c r="AA387" s="230"/>
      <c r="AB387" s="230"/>
      <c r="AC387" s="231"/>
      <c r="AD387" s="231"/>
      <c r="AE387" s="245"/>
      <c r="AF387" s="1350"/>
      <c r="AG387" s="1352"/>
      <c r="AH387" s="1352"/>
      <c r="AI387" s="1350"/>
      <c r="AJ387" s="1352"/>
      <c r="AK387" s="1352"/>
      <c r="AL387" s="772"/>
    </row>
    <row r="388" spans="1:38" ht="11.25" customHeight="1">
      <c r="A388" s="1030" t="s">
        <v>1019</v>
      </c>
      <c r="E388" s="557"/>
      <c r="F388" s="1339"/>
      <c r="G388" s="1340"/>
      <c r="H388" s="1335" t="s">
        <v>114</v>
      </c>
      <c r="I388" s="1347"/>
      <c r="J388" s="1360"/>
      <c r="K388" s="1349"/>
      <c r="L388" s="1079"/>
      <c r="M388" s="1364"/>
      <c r="N388" s="1355"/>
      <c r="O388" s="1356"/>
      <c r="P388" s="1358"/>
      <c r="Q388" s="1348"/>
      <c r="R388" s="1308"/>
      <c r="S388" s="1361"/>
      <c r="T388" s="1308"/>
      <c r="U388" s="1308"/>
      <c r="V388" s="1308"/>
      <c r="W388" s="1308"/>
      <c r="X388" s="1308"/>
      <c r="Y388" s="1308"/>
      <c r="AA388" s="778">
        <v>1</v>
      </c>
      <c r="AB388" s="779" t="s">
        <v>1119</v>
      </c>
      <c r="AC388" s="237">
        <v>57850.7006133291</v>
      </c>
      <c r="AD388" s="779" t="str">
        <f>AB388</f>
        <v xml:space="preserve">  Прибыль направляемая на инвестиции</v>
      </c>
      <c r="AE388" s="237">
        <f>AC388</f>
        <v>57850.7006133291</v>
      </c>
      <c r="AF388" s="1350"/>
      <c r="AG388" s="1352"/>
      <c r="AH388" s="1352"/>
      <c r="AI388" s="1350"/>
      <c r="AJ388" s="1352"/>
      <c r="AK388" s="1352"/>
      <c r="AL388" s="772"/>
    </row>
    <row r="389" spans="1:38" ht="11.25" customHeight="1">
      <c r="A389" s="1030" t="s">
        <v>1019</v>
      </c>
      <c r="E389" s="557"/>
      <c r="F389" s="1340"/>
      <c r="G389" s="1340"/>
      <c r="H389" s="1340"/>
      <c r="I389" s="1340"/>
      <c r="J389" s="1340"/>
      <c r="K389" s="1340"/>
      <c r="L389" s="1340"/>
      <c r="M389" s="1365"/>
      <c r="N389" s="1340"/>
      <c r="O389" s="1340"/>
      <c r="P389" s="1340"/>
      <c r="Q389" s="1340"/>
      <c r="R389" s="1340"/>
      <c r="S389" s="1340"/>
      <c r="T389" s="1340"/>
      <c r="U389" s="1340"/>
      <c r="V389" s="1340"/>
      <c r="W389" s="1340"/>
      <c r="X389" s="1340"/>
      <c r="Y389" s="1340"/>
      <c r="Z389" s="181" t="s">
        <v>103</v>
      </c>
      <c r="AA389" s="780" t="s">
        <v>102</v>
      </c>
      <c r="AB389" s="779" t="s">
        <v>1120</v>
      </c>
      <c r="AC389" s="237">
        <v>24922.2993866709</v>
      </c>
      <c r="AD389" s="779" t="str">
        <f>AB389</f>
        <v xml:space="preserve">     Прочие амортизационные отчисления</v>
      </c>
      <c r="AE389" s="237">
        <f>AC389</f>
        <v>24922.2993866709</v>
      </c>
      <c r="AF389" s="1351"/>
      <c r="AG389" s="1353"/>
      <c r="AH389" s="1353"/>
      <c r="AI389" s="1351"/>
      <c r="AJ389" s="1353"/>
      <c r="AK389" s="1354"/>
      <c r="AL389" s="772"/>
    </row>
    <row r="390" spans="1:38" ht="11.25" customHeight="1">
      <c r="A390" s="1030" t="s">
        <v>1019</v>
      </c>
      <c r="E390" s="557"/>
      <c r="F390" s="1339"/>
      <c r="G390" s="1340"/>
      <c r="H390" s="1335" t="s">
        <v>114</v>
      </c>
      <c r="I390" s="1347"/>
      <c r="J390" s="1360"/>
      <c r="K390" s="1349"/>
      <c r="L390" s="1079"/>
      <c r="M390" s="1364"/>
      <c r="N390" s="1355"/>
      <c r="O390" s="1356"/>
      <c r="P390" s="1359"/>
      <c r="Q390" s="1348"/>
      <c r="R390" s="1308"/>
      <c r="S390" s="1361"/>
      <c r="T390" s="1308"/>
      <c r="U390" s="1308"/>
      <c r="V390" s="1308"/>
      <c r="W390" s="1308"/>
      <c r="X390" s="1308"/>
      <c r="Y390" s="1308"/>
      <c r="Z390" s="229"/>
      <c r="AA390" s="230"/>
      <c r="AB390" s="44" t="s">
        <v>1059</v>
      </c>
      <c r="AC390" s="231"/>
      <c r="AD390" s="231"/>
      <c r="AE390" s="246"/>
      <c r="AF390" s="1350"/>
      <c r="AG390" s="1352"/>
      <c r="AH390" s="1352"/>
      <c r="AI390" s="1350"/>
      <c r="AJ390" s="1352"/>
      <c r="AK390" s="1352"/>
      <c r="AL390" s="772"/>
    </row>
    <row r="391" spans="1:38" ht="11.25" customHeight="1">
      <c r="A391" s="1030" t="s">
        <v>1019</v>
      </c>
      <c r="E391" s="557"/>
      <c r="F391" s="1339"/>
      <c r="G391" s="1340"/>
      <c r="H391" s="1335" t="s">
        <v>114</v>
      </c>
      <c r="I391" s="1347"/>
      <c r="J391" s="1360"/>
      <c r="K391" s="1349"/>
      <c r="L391" s="1079"/>
      <c r="M391" s="1364"/>
      <c r="N391" s="229"/>
      <c r="O391" s="230"/>
      <c r="P391" s="44" t="s">
        <v>1060</v>
      </c>
      <c r="Q391" s="230"/>
      <c r="R391" s="230"/>
      <c r="S391" s="230"/>
      <c r="T391" s="230"/>
      <c r="U391" s="230"/>
      <c r="V391" s="230"/>
      <c r="W391" s="230"/>
      <c r="X391" s="230"/>
      <c r="Y391" s="230"/>
      <c r="Z391" s="230"/>
      <c r="AA391" s="230"/>
      <c r="AB391" s="230"/>
      <c r="AC391" s="230"/>
      <c r="AD391" s="230"/>
      <c r="AE391" s="247"/>
      <c r="AF391" s="1350"/>
      <c r="AG391" s="1352"/>
      <c r="AH391" s="1352"/>
      <c r="AI391" s="1350"/>
      <c r="AJ391" s="1352"/>
      <c r="AK391" s="1352"/>
      <c r="AL391" s="772"/>
    </row>
    <row r="392" spans="1:38" ht="11.25" customHeight="1">
      <c r="A392" s="1030" t="s">
        <v>1019</v>
      </c>
      <c r="B392" s="1030" t="s">
        <v>22</v>
      </c>
      <c r="E392" s="557"/>
      <c r="F392" s="1339"/>
      <c r="G392" s="1325" t="s">
        <v>103</v>
      </c>
      <c r="H392" s="1335" t="s">
        <v>89</v>
      </c>
      <c r="I392" s="1347" t="s">
        <v>1071</v>
      </c>
      <c r="J392" s="1360" t="s">
        <v>22</v>
      </c>
      <c r="K392" s="1349" t="s">
        <v>1106</v>
      </c>
      <c r="L392" s="1079" t="s">
        <v>19</v>
      </c>
      <c r="M392" s="1080"/>
      <c r="N392" s="242"/>
      <c r="O392" s="243" t="s">
        <v>384</v>
      </c>
      <c r="P392" s="244"/>
      <c r="Q392" s="244"/>
      <c r="R392" s="244"/>
      <c r="S392" s="244"/>
      <c r="T392" s="244"/>
      <c r="U392" s="244"/>
      <c r="V392" s="244"/>
      <c r="W392" s="244"/>
      <c r="X392" s="244"/>
      <c r="Y392" s="244"/>
      <c r="Z392" s="244"/>
      <c r="AA392" s="244"/>
      <c r="AB392" s="244"/>
      <c r="AC392" s="244"/>
      <c r="AD392" s="244"/>
      <c r="AE392" s="244"/>
      <c r="AF392" s="1350">
        <v>3</v>
      </c>
      <c r="AG392" s="1352" t="s">
        <v>1055</v>
      </c>
      <c r="AH392" s="1352" t="s">
        <v>1107</v>
      </c>
      <c r="AI392" s="1350">
        <v>3</v>
      </c>
      <c r="AJ392" s="1352" t="s">
        <v>1055</v>
      </c>
      <c r="AK392" s="1352" t="s">
        <v>1107</v>
      </c>
      <c r="AL392" s="772"/>
    </row>
    <row r="393" spans="1:38" ht="11.25" customHeight="1">
      <c r="A393" s="1030" t="s">
        <v>1019</v>
      </c>
      <c r="E393" s="557"/>
      <c r="F393" s="1339"/>
      <c r="G393" s="1340"/>
      <c r="H393" s="1335" t="s">
        <v>102</v>
      </c>
      <c r="I393" s="1347"/>
      <c r="J393" s="1360"/>
      <c r="K393" s="1349"/>
      <c r="L393" s="1079"/>
      <c r="M393" s="1080"/>
      <c r="N393" s="1355"/>
      <c r="O393" s="1356">
        <v>1</v>
      </c>
      <c r="P393" s="1357" t="s">
        <v>61</v>
      </c>
      <c r="Q393" s="1348" t="s">
        <v>1108</v>
      </c>
      <c r="R393" s="1362" t="s">
        <v>1075</v>
      </c>
      <c r="S393" s="1362" t="s">
        <v>99</v>
      </c>
      <c r="T393" s="1362" t="s">
        <v>99</v>
      </c>
      <c r="U393" s="1362" t="s">
        <v>100</v>
      </c>
      <c r="V393" s="1362" t="s">
        <v>1066</v>
      </c>
      <c r="W393" s="1362" t="s">
        <v>1067</v>
      </c>
      <c r="X393" s="1362" t="s">
        <v>1109</v>
      </c>
      <c r="Y393" s="1362" t="s">
        <v>1013</v>
      </c>
      <c r="Z393" s="229"/>
      <c r="AA393" s="230"/>
      <c r="AB393" s="230"/>
      <c r="AC393" s="231"/>
      <c r="AD393" s="231"/>
      <c r="AE393" s="245"/>
      <c r="AF393" s="1350"/>
      <c r="AG393" s="1352"/>
      <c r="AH393" s="1352"/>
      <c r="AI393" s="1350"/>
      <c r="AJ393" s="1352"/>
      <c r="AK393" s="1352"/>
      <c r="AL393" s="772"/>
    </row>
    <row r="394" spans="1:38" ht="11.25" customHeight="1">
      <c r="A394" s="1030" t="s">
        <v>1019</v>
      </c>
      <c r="E394" s="557"/>
      <c r="F394" s="1339"/>
      <c r="G394" s="1340"/>
      <c r="H394" s="1335" t="s">
        <v>102</v>
      </c>
      <c r="I394" s="1347"/>
      <c r="J394" s="1360"/>
      <c r="K394" s="1349"/>
      <c r="L394" s="1079"/>
      <c r="M394" s="1080"/>
      <c r="N394" s="1355"/>
      <c r="O394" s="1356"/>
      <c r="P394" s="1358"/>
      <c r="Q394" s="1348"/>
      <c r="R394" s="1308"/>
      <c r="S394" s="1361"/>
      <c r="T394" s="1308"/>
      <c r="U394" s="1308"/>
      <c r="V394" s="1308"/>
      <c r="W394" s="1308"/>
      <c r="X394" s="1308"/>
      <c r="Y394" s="1308"/>
      <c r="AA394" s="778">
        <v>1</v>
      </c>
      <c r="AB394" s="779" t="s">
        <v>1119</v>
      </c>
      <c r="AC394" s="237">
        <v>1730.4958708588899</v>
      </c>
      <c r="AD394" s="779" t="str">
        <f>AB394</f>
        <v xml:space="preserve">  Прибыль направляемая на инвестиции</v>
      </c>
      <c r="AE394" s="237">
        <f>AC394</f>
        <v>1730.4958708588899</v>
      </c>
      <c r="AF394" s="1350"/>
      <c r="AG394" s="1352"/>
      <c r="AH394" s="1352"/>
      <c r="AI394" s="1350"/>
      <c r="AJ394" s="1352"/>
      <c r="AK394" s="1352"/>
      <c r="AL394" s="772"/>
    </row>
    <row r="395" spans="1:38" ht="11.25" customHeight="1">
      <c r="A395" s="1030" t="s">
        <v>1019</v>
      </c>
      <c r="E395" s="557"/>
      <c r="F395" s="1340"/>
      <c r="G395" s="1340"/>
      <c r="H395" s="1340"/>
      <c r="I395" s="1340"/>
      <c r="J395" s="1340"/>
      <c r="K395" s="1340"/>
      <c r="L395" s="1340"/>
      <c r="M395" s="1340"/>
      <c r="N395" s="1340"/>
      <c r="O395" s="1340"/>
      <c r="P395" s="1340"/>
      <c r="Q395" s="1340"/>
      <c r="R395" s="1340"/>
      <c r="S395" s="1340"/>
      <c r="T395" s="1340"/>
      <c r="U395" s="1340"/>
      <c r="V395" s="1340"/>
      <c r="W395" s="1340"/>
      <c r="X395" s="1340"/>
      <c r="Y395" s="1340"/>
      <c r="Z395" s="181" t="s">
        <v>103</v>
      </c>
      <c r="AA395" s="780" t="s">
        <v>102</v>
      </c>
      <c r="AB395" s="779" t="s">
        <v>1120</v>
      </c>
      <c r="AC395" s="237">
        <v>745.50412914111098</v>
      </c>
      <c r="AD395" s="779" t="str">
        <f>AB395</f>
        <v xml:space="preserve">     Прочие амортизационные отчисления</v>
      </c>
      <c r="AE395" s="237">
        <f>AC395</f>
        <v>745.50412914111098</v>
      </c>
      <c r="AF395" s="1351"/>
      <c r="AG395" s="1353"/>
      <c r="AH395" s="1353"/>
      <c r="AI395" s="1351"/>
      <c r="AJ395" s="1353"/>
      <c r="AK395" s="1354"/>
      <c r="AL395" s="772"/>
    </row>
    <row r="396" spans="1:38" ht="11.25" customHeight="1">
      <c r="A396" s="1030" t="s">
        <v>1019</v>
      </c>
      <c r="E396" s="557"/>
      <c r="F396" s="1339"/>
      <c r="G396" s="1340"/>
      <c r="H396" s="1335" t="s">
        <v>102</v>
      </c>
      <c r="I396" s="1347"/>
      <c r="J396" s="1360"/>
      <c r="K396" s="1349"/>
      <c r="L396" s="1079"/>
      <c r="M396" s="1080"/>
      <c r="N396" s="1355"/>
      <c r="O396" s="1356"/>
      <c r="P396" s="1359"/>
      <c r="Q396" s="1348"/>
      <c r="R396" s="1308"/>
      <c r="S396" s="1361"/>
      <c r="T396" s="1308"/>
      <c r="U396" s="1308"/>
      <c r="V396" s="1308"/>
      <c r="W396" s="1308"/>
      <c r="X396" s="1308"/>
      <c r="Y396" s="1308"/>
      <c r="Z396" s="229"/>
      <c r="AA396" s="230"/>
      <c r="AB396" s="44" t="s">
        <v>1059</v>
      </c>
      <c r="AC396" s="231"/>
      <c r="AD396" s="231"/>
      <c r="AE396" s="246"/>
      <c r="AF396" s="1350"/>
      <c r="AG396" s="1352"/>
      <c r="AH396" s="1352"/>
      <c r="AI396" s="1350"/>
      <c r="AJ396" s="1352"/>
      <c r="AK396" s="1352"/>
      <c r="AL396" s="772"/>
    </row>
    <row r="397" spans="1:38" ht="11.25" customHeight="1">
      <c r="A397" s="1030" t="s">
        <v>1019</v>
      </c>
      <c r="E397" s="557"/>
      <c r="F397" s="1339"/>
      <c r="G397" s="1340"/>
      <c r="H397" s="1335" t="s">
        <v>102</v>
      </c>
      <c r="I397" s="1347"/>
      <c r="J397" s="1360"/>
      <c r="K397" s="1349"/>
      <c r="L397" s="1079"/>
      <c r="M397" s="1080"/>
      <c r="N397" s="229"/>
      <c r="O397" s="230"/>
      <c r="P397" s="44" t="s">
        <v>1060</v>
      </c>
      <c r="Q397" s="230"/>
      <c r="R397" s="230"/>
      <c r="S397" s="230"/>
      <c r="T397" s="230"/>
      <c r="U397" s="230"/>
      <c r="V397" s="230"/>
      <c r="W397" s="230"/>
      <c r="X397" s="230"/>
      <c r="Y397" s="230"/>
      <c r="Z397" s="230"/>
      <c r="AA397" s="230"/>
      <c r="AB397" s="230"/>
      <c r="AC397" s="230"/>
      <c r="AD397" s="230"/>
      <c r="AE397" s="247"/>
      <c r="AF397" s="1350"/>
      <c r="AG397" s="1352"/>
      <c r="AH397" s="1352"/>
      <c r="AI397" s="1350"/>
      <c r="AJ397" s="1352"/>
      <c r="AK397" s="1352"/>
      <c r="AL397" s="772"/>
    </row>
    <row r="398" spans="1:38" ht="11.25" customHeight="1">
      <c r="A398" s="1030" t="s">
        <v>1019</v>
      </c>
      <c r="B398" s="1030" t="s">
        <v>1051</v>
      </c>
      <c r="E398" s="557"/>
      <c r="F398" s="1339"/>
      <c r="G398" s="1325" t="s">
        <v>103</v>
      </c>
      <c r="H398" s="1335" t="s">
        <v>90</v>
      </c>
      <c r="I398" s="1347" t="s">
        <v>1052</v>
      </c>
      <c r="J398" s="1363" t="s">
        <v>1093</v>
      </c>
      <c r="K398" s="1349" t="s">
        <v>1100</v>
      </c>
      <c r="L398" s="1079" t="s">
        <v>19</v>
      </c>
      <c r="M398" s="1080"/>
      <c r="N398" s="242"/>
      <c r="O398" s="243" t="s">
        <v>384</v>
      </c>
      <c r="P398" s="244"/>
      <c r="Q398" s="244"/>
      <c r="R398" s="244"/>
      <c r="S398" s="244"/>
      <c r="T398" s="244"/>
      <c r="U398" s="244"/>
      <c r="V398" s="244"/>
      <c r="W398" s="244"/>
      <c r="X398" s="244"/>
      <c r="Y398" s="244"/>
      <c r="Z398" s="244"/>
      <c r="AA398" s="244"/>
      <c r="AB398" s="244"/>
      <c r="AC398" s="244"/>
      <c r="AD398" s="244"/>
      <c r="AE398" s="244"/>
      <c r="AF398" s="1350">
        <v>8</v>
      </c>
      <c r="AG398" s="1352" t="s">
        <v>1055</v>
      </c>
      <c r="AH398" s="1352" t="s">
        <v>1101</v>
      </c>
      <c r="AI398" s="1350">
        <v>8</v>
      </c>
      <c r="AJ398" s="1352" t="s">
        <v>1055</v>
      </c>
      <c r="AK398" s="1352" t="s">
        <v>1101</v>
      </c>
      <c r="AL398" s="772"/>
    </row>
    <row r="399" spans="1:38" ht="11.25" customHeight="1">
      <c r="A399" s="1030" t="s">
        <v>1019</v>
      </c>
      <c r="E399" s="557"/>
      <c r="F399" s="1339"/>
      <c r="G399" s="1340"/>
      <c r="H399" s="1335" t="s">
        <v>89</v>
      </c>
      <c r="I399" s="1347"/>
      <c r="J399" s="1363"/>
      <c r="K399" s="1349"/>
      <c r="L399" s="1079"/>
      <c r="M399" s="1080"/>
      <c r="N399" s="1355"/>
      <c r="O399" s="1356">
        <v>1</v>
      </c>
      <c r="P399" s="1357" t="s">
        <v>19</v>
      </c>
      <c r="Q399" s="1308" t="s">
        <v>22</v>
      </c>
      <c r="R399" s="1308" t="s">
        <v>22</v>
      </c>
      <c r="S399" s="1308" t="s">
        <v>22</v>
      </c>
      <c r="T399" s="1308" t="s">
        <v>22</v>
      </c>
      <c r="U399" s="1308" t="s">
        <v>22</v>
      </c>
      <c r="V399" s="1308" t="s">
        <v>22</v>
      </c>
      <c r="W399" s="1308" t="s">
        <v>22</v>
      </c>
      <c r="X399" s="1308" t="s">
        <v>22</v>
      </c>
      <c r="Y399" s="1308"/>
      <c r="Z399" s="229"/>
      <c r="AA399" s="230"/>
      <c r="AB399" s="230"/>
      <c r="AC399" s="231"/>
      <c r="AD399" s="231"/>
      <c r="AE399" s="245"/>
      <c r="AF399" s="1350"/>
      <c r="AG399" s="1352"/>
      <c r="AH399" s="1352"/>
      <c r="AI399" s="1350"/>
      <c r="AJ399" s="1352"/>
      <c r="AK399" s="1352"/>
      <c r="AL399" s="772"/>
    </row>
    <row r="400" spans="1:38" ht="11.25" customHeight="1">
      <c r="A400" s="1030" t="s">
        <v>1019</v>
      </c>
      <c r="E400" s="557"/>
      <c r="F400" s="1339"/>
      <c r="G400" s="1340"/>
      <c r="H400" s="1335" t="s">
        <v>89</v>
      </c>
      <c r="I400" s="1347"/>
      <c r="J400" s="1363"/>
      <c r="K400" s="1349"/>
      <c r="L400" s="1079"/>
      <c r="M400" s="1080"/>
      <c r="N400" s="1355"/>
      <c r="O400" s="1356"/>
      <c r="P400" s="1358"/>
      <c r="Q400" s="1308"/>
      <c r="R400" s="1308"/>
      <c r="S400" s="1361"/>
      <c r="T400" s="1308"/>
      <c r="U400" s="1308"/>
      <c r="V400" s="1308"/>
      <c r="W400" s="1308"/>
      <c r="X400" s="1308"/>
      <c r="Y400" s="1308"/>
      <c r="AA400" s="778">
        <v>1</v>
      </c>
      <c r="AB400" s="779" t="s">
        <v>1119</v>
      </c>
      <c r="AC400" s="237">
        <v>11519.399411751299</v>
      </c>
      <c r="AD400" s="779" t="str">
        <f>AB400</f>
        <v xml:space="preserve">  Прибыль направляемая на инвестиции</v>
      </c>
      <c r="AE400" s="237">
        <f>AC400</f>
        <v>11519.399411751299</v>
      </c>
      <c r="AF400" s="1350"/>
      <c r="AG400" s="1352"/>
      <c r="AH400" s="1352"/>
      <c r="AI400" s="1350"/>
      <c r="AJ400" s="1352"/>
      <c r="AK400" s="1352"/>
      <c r="AL400" s="772"/>
    </row>
    <row r="401" spans="1:38" ht="11.25" customHeight="1">
      <c r="A401" s="1030" t="s">
        <v>1019</v>
      </c>
      <c r="E401" s="557"/>
      <c r="F401" s="1340"/>
      <c r="G401" s="1340"/>
      <c r="H401" s="1340"/>
      <c r="I401" s="1340"/>
      <c r="J401" s="1340"/>
      <c r="K401" s="1340"/>
      <c r="L401" s="1340"/>
      <c r="M401" s="1340"/>
      <c r="N401" s="1340"/>
      <c r="O401" s="1340"/>
      <c r="P401" s="1340"/>
      <c r="Q401" s="1340"/>
      <c r="R401" s="1340"/>
      <c r="S401" s="1340"/>
      <c r="T401" s="1340"/>
      <c r="U401" s="1340"/>
      <c r="V401" s="1340"/>
      <c r="W401" s="1340"/>
      <c r="X401" s="1340"/>
      <c r="Y401" s="1340"/>
      <c r="Z401" s="181" t="s">
        <v>103</v>
      </c>
      <c r="AA401" s="780" t="s">
        <v>102</v>
      </c>
      <c r="AB401" s="779" t="s">
        <v>1120</v>
      </c>
      <c r="AC401" s="237">
        <v>4962.6005882487098</v>
      </c>
      <c r="AD401" s="779" t="str">
        <f>AB401</f>
        <v xml:space="preserve">     Прочие амортизационные отчисления</v>
      </c>
      <c r="AE401" s="237">
        <f>AC401</f>
        <v>4962.6005882487098</v>
      </c>
      <c r="AF401" s="1351"/>
      <c r="AG401" s="1353"/>
      <c r="AH401" s="1353"/>
      <c r="AI401" s="1351"/>
      <c r="AJ401" s="1353"/>
      <c r="AK401" s="1354"/>
      <c r="AL401" s="772"/>
    </row>
    <row r="402" spans="1:38" ht="11.25" customHeight="1">
      <c r="A402" s="1030" t="s">
        <v>1019</v>
      </c>
      <c r="E402" s="557"/>
      <c r="F402" s="1339"/>
      <c r="G402" s="1340"/>
      <c r="H402" s="1335" t="s">
        <v>89</v>
      </c>
      <c r="I402" s="1347"/>
      <c r="J402" s="1363"/>
      <c r="K402" s="1349"/>
      <c r="L402" s="1079"/>
      <c r="M402" s="1080"/>
      <c r="N402" s="1355"/>
      <c r="O402" s="1356"/>
      <c r="P402" s="1359"/>
      <c r="Q402" s="1308"/>
      <c r="R402" s="1308"/>
      <c r="S402" s="1361"/>
      <c r="T402" s="1308"/>
      <c r="U402" s="1308"/>
      <c r="V402" s="1308"/>
      <c r="W402" s="1308"/>
      <c r="X402" s="1308"/>
      <c r="Y402" s="1308"/>
      <c r="Z402" s="229"/>
      <c r="AA402" s="230"/>
      <c r="AB402" s="44" t="s">
        <v>1059</v>
      </c>
      <c r="AC402" s="231"/>
      <c r="AD402" s="231"/>
      <c r="AE402" s="246"/>
      <c r="AF402" s="1350"/>
      <c r="AG402" s="1352"/>
      <c r="AH402" s="1352"/>
      <c r="AI402" s="1350"/>
      <c r="AJ402" s="1352"/>
      <c r="AK402" s="1352"/>
      <c r="AL402" s="772"/>
    </row>
    <row r="403" spans="1:38" ht="11.25" customHeight="1">
      <c r="A403" s="1030" t="s">
        <v>1019</v>
      </c>
      <c r="E403" s="557"/>
      <c r="F403" s="1339"/>
      <c r="G403" s="1340"/>
      <c r="H403" s="1335" t="s">
        <v>89</v>
      </c>
      <c r="I403" s="1347"/>
      <c r="J403" s="1363"/>
      <c r="K403" s="1349"/>
      <c r="L403" s="1079"/>
      <c r="M403" s="1080"/>
      <c r="N403" s="229"/>
      <c r="O403" s="230"/>
      <c r="P403" s="44" t="s">
        <v>1060</v>
      </c>
      <c r="Q403" s="230"/>
      <c r="R403" s="230"/>
      <c r="S403" s="230"/>
      <c r="T403" s="230"/>
      <c r="U403" s="230"/>
      <c r="V403" s="230"/>
      <c r="W403" s="230"/>
      <c r="X403" s="230"/>
      <c r="Y403" s="230"/>
      <c r="Z403" s="230"/>
      <c r="AA403" s="230"/>
      <c r="AB403" s="230"/>
      <c r="AC403" s="230"/>
      <c r="AD403" s="230"/>
      <c r="AE403" s="247"/>
      <c r="AF403" s="1350"/>
      <c r="AG403" s="1352"/>
      <c r="AH403" s="1352"/>
      <c r="AI403" s="1350"/>
      <c r="AJ403" s="1352"/>
      <c r="AK403" s="1352"/>
      <c r="AL403" s="772"/>
    </row>
    <row r="404" spans="1:38" ht="11.25" customHeight="1">
      <c r="A404" s="1030" t="s">
        <v>1019</v>
      </c>
      <c r="B404" s="1030" t="s">
        <v>1051</v>
      </c>
      <c r="E404" s="557"/>
      <c r="F404" s="1339"/>
      <c r="G404" s="1325" t="s">
        <v>103</v>
      </c>
      <c r="H404" s="1335" t="s">
        <v>115</v>
      </c>
      <c r="I404" s="1347" t="s">
        <v>1052</v>
      </c>
      <c r="J404" s="1363" t="s">
        <v>1053</v>
      </c>
      <c r="K404" s="1349" t="s">
        <v>1078</v>
      </c>
      <c r="L404" s="1079" t="s">
        <v>61</v>
      </c>
      <c r="M404" s="1364" t="s">
        <v>1018</v>
      </c>
      <c r="N404" s="242"/>
      <c r="O404" s="243" t="s">
        <v>384</v>
      </c>
      <c r="P404" s="244"/>
      <c r="Q404" s="244"/>
      <c r="R404" s="244"/>
      <c r="S404" s="244"/>
      <c r="T404" s="244"/>
      <c r="U404" s="244"/>
      <c r="V404" s="244"/>
      <c r="W404" s="244"/>
      <c r="X404" s="244"/>
      <c r="Y404" s="244"/>
      <c r="Z404" s="244"/>
      <c r="AA404" s="244"/>
      <c r="AB404" s="244"/>
      <c r="AC404" s="244"/>
      <c r="AD404" s="244"/>
      <c r="AE404" s="244"/>
      <c r="AF404" s="1350">
        <v>4</v>
      </c>
      <c r="AG404" s="1352" t="s">
        <v>1055</v>
      </c>
      <c r="AH404" s="1352" t="s">
        <v>1079</v>
      </c>
      <c r="AI404" s="1350">
        <v>4</v>
      </c>
      <c r="AJ404" s="1352" t="s">
        <v>1055</v>
      </c>
      <c r="AK404" s="1352" t="s">
        <v>1079</v>
      </c>
      <c r="AL404" s="772"/>
    </row>
    <row r="405" spans="1:38" ht="11.25" customHeight="1">
      <c r="A405" s="1030" t="s">
        <v>1019</v>
      </c>
      <c r="E405" s="557"/>
      <c r="F405" s="1339"/>
      <c r="G405" s="1340"/>
      <c r="H405" s="1335" t="s">
        <v>90</v>
      </c>
      <c r="I405" s="1347"/>
      <c r="J405" s="1363"/>
      <c r="K405" s="1349"/>
      <c r="L405" s="1079"/>
      <c r="M405" s="1364"/>
      <c r="N405" s="1355"/>
      <c r="O405" s="1356">
        <v>1</v>
      </c>
      <c r="P405" s="1357" t="s">
        <v>19</v>
      </c>
      <c r="Q405" s="1308" t="s">
        <v>22</v>
      </c>
      <c r="R405" s="1308" t="s">
        <v>22</v>
      </c>
      <c r="S405" s="1308" t="s">
        <v>22</v>
      </c>
      <c r="T405" s="1308" t="s">
        <v>22</v>
      </c>
      <c r="U405" s="1308" t="s">
        <v>22</v>
      </c>
      <c r="V405" s="1308" t="s">
        <v>22</v>
      </c>
      <c r="W405" s="1308" t="s">
        <v>22</v>
      </c>
      <c r="X405" s="1308" t="s">
        <v>22</v>
      </c>
      <c r="Y405" s="1308"/>
      <c r="Z405" s="229"/>
      <c r="AA405" s="230"/>
      <c r="AB405" s="230"/>
      <c r="AC405" s="231"/>
      <c r="AD405" s="231"/>
      <c r="AE405" s="245"/>
      <c r="AF405" s="1350"/>
      <c r="AG405" s="1352"/>
      <c r="AH405" s="1352"/>
      <c r="AI405" s="1350"/>
      <c r="AJ405" s="1352"/>
      <c r="AK405" s="1352"/>
      <c r="AL405" s="772"/>
    </row>
    <row r="406" spans="1:38" ht="11.25" customHeight="1">
      <c r="A406" s="1030" t="s">
        <v>1019</v>
      </c>
      <c r="E406" s="557"/>
      <c r="F406" s="1339"/>
      <c r="G406" s="1340"/>
      <c r="H406" s="1335" t="s">
        <v>90</v>
      </c>
      <c r="I406" s="1347"/>
      <c r="J406" s="1363"/>
      <c r="K406" s="1349"/>
      <c r="L406" s="1079"/>
      <c r="M406" s="1364"/>
      <c r="N406" s="1355"/>
      <c r="O406" s="1356"/>
      <c r="P406" s="1358"/>
      <c r="Q406" s="1308"/>
      <c r="R406" s="1308"/>
      <c r="S406" s="1361"/>
      <c r="T406" s="1308"/>
      <c r="U406" s="1308"/>
      <c r="V406" s="1308"/>
      <c r="W406" s="1308"/>
      <c r="X406" s="1308"/>
      <c r="Y406" s="1308"/>
      <c r="AA406" s="778">
        <v>1</v>
      </c>
      <c r="AB406" s="779" t="s">
        <v>1119</v>
      </c>
      <c r="AC406" s="237">
        <v>152.36191431633199</v>
      </c>
      <c r="AD406" s="779" t="str">
        <f>AB406</f>
        <v xml:space="preserve">  Прибыль направляемая на инвестиции</v>
      </c>
      <c r="AE406" s="237">
        <f>AC406</f>
        <v>152.36191431633199</v>
      </c>
      <c r="AF406" s="1350"/>
      <c r="AG406" s="1352"/>
      <c r="AH406" s="1352"/>
      <c r="AI406" s="1350"/>
      <c r="AJ406" s="1352"/>
      <c r="AK406" s="1352"/>
      <c r="AL406" s="772"/>
    </row>
    <row r="407" spans="1:38" ht="11.25" customHeight="1">
      <c r="A407" s="1030" t="s">
        <v>1019</v>
      </c>
      <c r="E407" s="557"/>
      <c r="F407" s="1340"/>
      <c r="G407" s="1340"/>
      <c r="H407" s="1340"/>
      <c r="I407" s="1340"/>
      <c r="J407" s="1340"/>
      <c r="K407" s="1340"/>
      <c r="L407" s="1340"/>
      <c r="M407" s="1365"/>
      <c r="N407" s="1340"/>
      <c r="O407" s="1340"/>
      <c r="P407" s="1340"/>
      <c r="Q407" s="1340"/>
      <c r="R407" s="1340"/>
      <c r="S407" s="1340"/>
      <c r="T407" s="1340"/>
      <c r="U407" s="1340"/>
      <c r="V407" s="1340"/>
      <c r="W407" s="1340"/>
      <c r="X407" s="1340"/>
      <c r="Y407" s="1340"/>
      <c r="Z407" s="181" t="s">
        <v>103</v>
      </c>
      <c r="AA407" s="780" t="s">
        <v>102</v>
      </c>
      <c r="AB407" s="779" t="s">
        <v>1120</v>
      </c>
      <c r="AC407" s="237">
        <v>65.638085683668095</v>
      </c>
      <c r="AD407" s="779" t="str">
        <f>AB407</f>
        <v xml:space="preserve">     Прочие амортизационные отчисления</v>
      </c>
      <c r="AE407" s="237">
        <f>AC407</f>
        <v>65.638085683668095</v>
      </c>
      <c r="AF407" s="1351"/>
      <c r="AG407" s="1353"/>
      <c r="AH407" s="1353"/>
      <c r="AI407" s="1351"/>
      <c r="AJ407" s="1353"/>
      <c r="AK407" s="1354"/>
      <c r="AL407" s="772"/>
    </row>
    <row r="408" spans="1:38" ht="11.25" customHeight="1">
      <c r="A408" s="1030" t="s">
        <v>1019</v>
      </c>
      <c r="E408" s="557"/>
      <c r="F408" s="1339"/>
      <c r="G408" s="1340"/>
      <c r="H408" s="1335" t="s">
        <v>90</v>
      </c>
      <c r="I408" s="1347"/>
      <c r="J408" s="1363"/>
      <c r="K408" s="1349"/>
      <c r="L408" s="1079"/>
      <c r="M408" s="1364"/>
      <c r="N408" s="1355"/>
      <c r="O408" s="1356"/>
      <c r="P408" s="1359"/>
      <c r="Q408" s="1308"/>
      <c r="R408" s="1308"/>
      <c r="S408" s="1361"/>
      <c r="T408" s="1308"/>
      <c r="U408" s="1308"/>
      <c r="V408" s="1308"/>
      <c r="W408" s="1308"/>
      <c r="X408" s="1308"/>
      <c r="Y408" s="1308"/>
      <c r="Z408" s="229"/>
      <c r="AA408" s="230"/>
      <c r="AB408" s="44" t="s">
        <v>1059</v>
      </c>
      <c r="AC408" s="231"/>
      <c r="AD408" s="231"/>
      <c r="AE408" s="246"/>
      <c r="AF408" s="1350"/>
      <c r="AG408" s="1352"/>
      <c r="AH408" s="1352"/>
      <c r="AI408" s="1350"/>
      <c r="AJ408" s="1352"/>
      <c r="AK408" s="1352"/>
      <c r="AL408" s="772"/>
    </row>
    <row r="409" spans="1:38" ht="11.25" customHeight="1">
      <c r="A409" s="1030" t="s">
        <v>1019</v>
      </c>
      <c r="E409" s="557"/>
      <c r="F409" s="1339"/>
      <c r="G409" s="1340"/>
      <c r="H409" s="1335" t="s">
        <v>90</v>
      </c>
      <c r="I409" s="1347"/>
      <c r="J409" s="1363"/>
      <c r="K409" s="1349"/>
      <c r="L409" s="1079"/>
      <c r="M409" s="1364"/>
      <c r="N409" s="229"/>
      <c r="O409" s="230"/>
      <c r="P409" s="44" t="s">
        <v>1060</v>
      </c>
      <c r="Q409" s="230"/>
      <c r="R409" s="230"/>
      <c r="S409" s="230"/>
      <c r="T409" s="230"/>
      <c r="U409" s="230"/>
      <c r="V409" s="230"/>
      <c r="W409" s="230"/>
      <c r="X409" s="230"/>
      <c r="Y409" s="230"/>
      <c r="Z409" s="230"/>
      <c r="AA409" s="230"/>
      <c r="AB409" s="230"/>
      <c r="AC409" s="230"/>
      <c r="AD409" s="230"/>
      <c r="AE409" s="247"/>
      <c r="AF409" s="1350"/>
      <c r="AG409" s="1352"/>
      <c r="AH409" s="1352"/>
      <c r="AI409" s="1350"/>
      <c r="AJ409" s="1352"/>
      <c r="AK409" s="1352"/>
      <c r="AL409" s="772"/>
    </row>
    <row r="410" spans="1:38" ht="11.25" customHeight="1">
      <c r="A410" s="1030" t="s">
        <v>1019</v>
      </c>
      <c r="B410" s="1030" t="s">
        <v>1051</v>
      </c>
      <c r="E410" s="557"/>
      <c r="F410" s="1339"/>
      <c r="G410" s="1325" t="s">
        <v>103</v>
      </c>
      <c r="H410" s="1335" t="s">
        <v>91</v>
      </c>
      <c r="I410" s="1347" t="s">
        <v>1052</v>
      </c>
      <c r="J410" s="1363" t="s">
        <v>1093</v>
      </c>
      <c r="K410" s="1349" t="s">
        <v>1102</v>
      </c>
      <c r="L410" s="1079" t="s">
        <v>61</v>
      </c>
      <c r="M410" s="1364" t="s">
        <v>1018</v>
      </c>
      <c r="N410" s="242"/>
      <c r="O410" s="243" t="s">
        <v>384</v>
      </c>
      <c r="P410" s="244"/>
      <c r="Q410" s="244"/>
      <c r="R410" s="244"/>
      <c r="S410" s="244"/>
      <c r="T410" s="244"/>
      <c r="U410" s="244"/>
      <c r="V410" s="244"/>
      <c r="W410" s="244"/>
      <c r="X410" s="244"/>
      <c r="Y410" s="244"/>
      <c r="Z410" s="244"/>
      <c r="AA410" s="244"/>
      <c r="AB410" s="244"/>
      <c r="AC410" s="244"/>
      <c r="AD410" s="244"/>
      <c r="AE410" s="244"/>
      <c r="AF410" s="1350">
        <v>7</v>
      </c>
      <c r="AG410" s="1352" t="s">
        <v>1055</v>
      </c>
      <c r="AH410" s="1352" t="s">
        <v>1103</v>
      </c>
      <c r="AI410" s="1350">
        <v>7</v>
      </c>
      <c r="AJ410" s="1352" t="s">
        <v>1055</v>
      </c>
      <c r="AK410" s="1352" t="s">
        <v>1103</v>
      </c>
      <c r="AL410" s="772"/>
    </row>
    <row r="411" spans="1:38" ht="11.25" customHeight="1">
      <c r="A411" s="1030" t="s">
        <v>1019</v>
      </c>
      <c r="E411" s="557"/>
      <c r="F411" s="1339"/>
      <c r="G411" s="1340"/>
      <c r="H411" s="1335" t="s">
        <v>115</v>
      </c>
      <c r="I411" s="1347"/>
      <c r="J411" s="1363"/>
      <c r="K411" s="1349"/>
      <c r="L411" s="1079"/>
      <c r="M411" s="1364"/>
      <c r="N411" s="1355"/>
      <c r="O411" s="1356">
        <v>1</v>
      </c>
      <c r="P411" s="1357" t="s">
        <v>19</v>
      </c>
      <c r="Q411" s="1308" t="s">
        <v>22</v>
      </c>
      <c r="R411" s="1308" t="s">
        <v>22</v>
      </c>
      <c r="S411" s="1308" t="s">
        <v>22</v>
      </c>
      <c r="T411" s="1308" t="s">
        <v>22</v>
      </c>
      <c r="U411" s="1308" t="s">
        <v>22</v>
      </c>
      <c r="V411" s="1308" t="s">
        <v>22</v>
      </c>
      <c r="W411" s="1308" t="s">
        <v>22</v>
      </c>
      <c r="X411" s="1308" t="s">
        <v>22</v>
      </c>
      <c r="Y411" s="1308"/>
      <c r="Z411" s="229"/>
      <c r="AA411" s="230"/>
      <c r="AB411" s="230"/>
      <c r="AC411" s="231"/>
      <c r="AD411" s="231"/>
      <c r="AE411" s="245"/>
      <c r="AF411" s="1350"/>
      <c r="AG411" s="1352"/>
      <c r="AH411" s="1352"/>
      <c r="AI411" s="1350"/>
      <c r="AJ411" s="1352"/>
      <c r="AK411" s="1352"/>
      <c r="AL411" s="772"/>
    </row>
    <row r="412" spans="1:38" ht="11.25" customHeight="1">
      <c r="A412" s="1030" t="s">
        <v>1019</v>
      </c>
      <c r="E412" s="557"/>
      <c r="F412" s="1339"/>
      <c r="G412" s="1340"/>
      <c r="H412" s="1335" t="s">
        <v>115</v>
      </c>
      <c r="I412" s="1347"/>
      <c r="J412" s="1363"/>
      <c r="K412" s="1349"/>
      <c r="L412" s="1079"/>
      <c r="M412" s="1364"/>
      <c r="N412" s="1355"/>
      <c r="O412" s="1356"/>
      <c r="P412" s="1358"/>
      <c r="Q412" s="1308"/>
      <c r="R412" s="1308"/>
      <c r="S412" s="1361"/>
      <c r="T412" s="1308"/>
      <c r="U412" s="1308"/>
      <c r="V412" s="1308"/>
      <c r="W412" s="1308"/>
      <c r="X412" s="1308"/>
      <c r="Y412" s="1308"/>
      <c r="AA412" s="778">
        <v>1</v>
      </c>
      <c r="AB412" s="779" t="s">
        <v>1119</v>
      </c>
      <c r="AC412" s="237">
        <v>698.90786383638499</v>
      </c>
      <c r="AD412" s="779" t="str">
        <f>AB412</f>
        <v xml:space="preserve">  Прибыль направляемая на инвестиции</v>
      </c>
      <c r="AE412" s="237">
        <f>AC412</f>
        <v>698.90786383638499</v>
      </c>
      <c r="AF412" s="1350"/>
      <c r="AG412" s="1352"/>
      <c r="AH412" s="1352"/>
      <c r="AI412" s="1350"/>
      <c r="AJ412" s="1352"/>
      <c r="AK412" s="1352"/>
      <c r="AL412" s="772"/>
    </row>
    <row r="413" spans="1:38" ht="11.25" customHeight="1">
      <c r="A413" s="1030" t="s">
        <v>1019</v>
      </c>
      <c r="E413" s="557"/>
      <c r="F413" s="1340"/>
      <c r="G413" s="1340"/>
      <c r="H413" s="1340"/>
      <c r="I413" s="1340"/>
      <c r="J413" s="1340"/>
      <c r="K413" s="1340"/>
      <c r="L413" s="1340"/>
      <c r="M413" s="1365"/>
      <c r="N413" s="1340"/>
      <c r="O413" s="1340"/>
      <c r="P413" s="1340"/>
      <c r="Q413" s="1340"/>
      <c r="R413" s="1340"/>
      <c r="S413" s="1340"/>
      <c r="T413" s="1340"/>
      <c r="U413" s="1340"/>
      <c r="V413" s="1340"/>
      <c r="W413" s="1340"/>
      <c r="X413" s="1340"/>
      <c r="Y413" s="1340"/>
      <c r="Z413" s="181" t="s">
        <v>103</v>
      </c>
      <c r="AA413" s="780" t="s">
        <v>102</v>
      </c>
      <c r="AB413" s="779" t="s">
        <v>1120</v>
      </c>
      <c r="AC413" s="237">
        <v>301.09213616361501</v>
      </c>
      <c r="AD413" s="779" t="str">
        <f>AB413</f>
        <v xml:space="preserve">     Прочие амортизационные отчисления</v>
      </c>
      <c r="AE413" s="237">
        <f>AC413</f>
        <v>301.09213616361501</v>
      </c>
      <c r="AF413" s="1351"/>
      <c r="AG413" s="1353"/>
      <c r="AH413" s="1353"/>
      <c r="AI413" s="1351"/>
      <c r="AJ413" s="1353"/>
      <c r="AK413" s="1354"/>
      <c r="AL413" s="772"/>
    </row>
    <row r="414" spans="1:38" ht="11.25" customHeight="1">
      <c r="A414" s="1030" t="s">
        <v>1019</v>
      </c>
      <c r="E414" s="557"/>
      <c r="F414" s="1339"/>
      <c r="G414" s="1340"/>
      <c r="H414" s="1335" t="s">
        <v>115</v>
      </c>
      <c r="I414" s="1347"/>
      <c r="J414" s="1363"/>
      <c r="K414" s="1349"/>
      <c r="L414" s="1079"/>
      <c r="M414" s="1364"/>
      <c r="N414" s="1355"/>
      <c r="O414" s="1356"/>
      <c r="P414" s="1359"/>
      <c r="Q414" s="1308"/>
      <c r="R414" s="1308"/>
      <c r="S414" s="1361"/>
      <c r="T414" s="1308"/>
      <c r="U414" s="1308"/>
      <c r="V414" s="1308"/>
      <c r="W414" s="1308"/>
      <c r="X414" s="1308"/>
      <c r="Y414" s="1308"/>
      <c r="Z414" s="229"/>
      <c r="AA414" s="230"/>
      <c r="AB414" s="44" t="s">
        <v>1059</v>
      </c>
      <c r="AC414" s="231"/>
      <c r="AD414" s="231"/>
      <c r="AE414" s="246"/>
      <c r="AF414" s="1350"/>
      <c r="AG414" s="1352"/>
      <c r="AH414" s="1352"/>
      <c r="AI414" s="1350"/>
      <c r="AJ414" s="1352"/>
      <c r="AK414" s="1352"/>
      <c r="AL414" s="772"/>
    </row>
    <row r="415" spans="1:38" ht="11.25" customHeight="1">
      <c r="A415" s="1030" t="s">
        <v>1019</v>
      </c>
      <c r="E415" s="557"/>
      <c r="F415" s="1339"/>
      <c r="G415" s="1340"/>
      <c r="H415" s="1335" t="s">
        <v>115</v>
      </c>
      <c r="I415" s="1347"/>
      <c r="J415" s="1363"/>
      <c r="K415" s="1349"/>
      <c r="L415" s="1079"/>
      <c r="M415" s="1364"/>
      <c r="N415" s="229"/>
      <c r="O415" s="230"/>
      <c r="P415" s="44" t="s">
        <v>1060</v>
      </c>
      <c r="Q415" s="230"/>
      <c r="R415" s="230"/>
      <c r="S415" s="230"/>
      <c r="T415" s="230"/>
      <c r="U415" s="230"/>
      <c r="V415" s="230"/>
      <c r="W415" s="230"/>
      <c r="X415" s="230"/>
      <c r="Y415" s="230"/>
      <c r="Z415" s="230"/>
      <c r="AA415" s="230"/>
      <c r="AB415" s="230"/>
      <c r="AC415" s="230"/>
      <c r="AD415" s="230"/>
      <c r="AE415" s="247"/>
      <c r="AF415" s="1350"/>
      <c r="AG415" s="1352"/>
      <c r="AH415" s="1352"/>
      <c r="AI415" s="1350"/>
      <c r="AJ415" s="1352"/>
      <c r="AK415" s="1352"/>
      <c r="AL415" s="772"/>
    </row>
    <row r="416" spans="1:38" ht="11.25" customHeight="1">
      <c r="A416" s="1030" t="s">
        <v>1019</v>
      </c>
      <c r="B416" s="1030" t="s">
        <v>1051</v>
      </c>
      <c r="E416" s="557"/>
      <c r="F416" s="1339"/>
      <c r="G416" s="1325" t="s">
        <v>103</v>
      </c>
      <c r="H416" s="1335" t="s">
        <v>92</v>
      </c>
      <c r="I416" s="1347" t="s">
        <v>1052</v>
      </c>
      <c r="J416" s="1363" t="s">
        <v>1053</v>
      </c>
      <c r="K416" s="1349" t="s">
        <v>1110</v>
      </c>
      <c r="L416" s="1079" t="s">
        <v>61</v>
      </c>
      <c r="M416" s="1364" t="s">
        <v>1018</v>
      </c>
      <c r="N416" s="242"/>
      <c r="O416" s="243" t="s">
        <v>384</v>
      </c>
      <c r="P416" s="244"/>
      <c r="Q416" s="244"/>
      <c r="R416" s="244"/>
      <c r="S416" s="244"/>
      <c r="T416" s="244"/>
      <c r="U416" s="244"/>
      <c r="V416" s="244"/>
      <c r="W416" s="244"/>
      <c r="X416" s="244"/>
      <c r="Y416" s="244"/>
      <c r="Z416" s="244"/>
      <c r="AA416" s="244"/>
      <c r="AB416" s="244"/>
      <c r="AC416" s="244"/>
      <c r="AD416" s="244"/>
      <c r="AE416" s="244"/>
      <c r="AF416" s="1350">
        <v>3</v>
      </c>
      <c r="AG416" s="1352" t="s">
        <v>1055</v>
      </c>
      <c r="AH416" s="1352" t="s">
        <v>1107</v>
      </c>
      <c r="AI416" s="1350">
        <v>3</v>
      </c>
      <c r="AJ416" s="1352" t="s">
        <v>1055</v>
      </c>
      <c r="AK416" s="1352" t="s">
        <v>1107</v>
      </c>
      <c r="AL416" s="772"/>
    </row>
    <row r="417" spans="1:38" ht="11.25" customHeight="1">
      <c r="A417" s="1030" t="s">
        <v>1019</v>
      </c>
      <c r="E417" s="557"/>
      <c r="F417" s="1339"/>
      <c r="G417" s="1340"/>
      <c r="H417" s="1335" t="s">
        <v>91</v>
      </c>
      <c r="I417" s="1347"/>
      <c r="J417" s="1363"/>
      <c r="K417" s="1349"/>
      <c r="L417" s="1079"/>
      <c r="M417" s="1364"/>
      <c r="N417" s="1355"/>
      <c r="O417" s="1356">
        <v>1</v>
      </c>
      <c r="P417" s="1357" t="s">
        <v>19</v>
      </c>
      <c r="Q417" s="1308" t="s">
        <v>22</v>
      </c>
      <c r="R417" s="1308" t="s">
        <v>22</v>
      </c>
      <c r="S417" s="1308" t="s">
        <v>22</v>
      </c>
      <c r="T417" s="1308" t="s">
        <v>22</v>
      </c>
      <c r="U417" s="1308" t="s">
        <v>22</v>
      </c>
      <c r="V417" s="1308" t="s">
        <v>22</v>
      </c>
      <c r="W417" s="1308" t="s">
        <v>22</v>
      </c>
      <c r="X417" s="1308" t="s">
        <v>22</v>
      </c>
      <c r="Y417" s="1308"/>
      <c r="Z417" s="229"/>
      <c r="AA417" s="230"/>
      <c r="AB417" s="230"/>
      <c r="AC417" s="231"/>
      <c r="AD417" s="231"/>
      <c r="AE417" s="245"/>
      <c r="AF417" s="1350"/>
      <c r="AG417" s="1352"/>
      <c r="AH417" s="1352"/>
      <c r="AI417" s="1350"/>
      <c r="AJ417" s="1352"/>
      <c r="AK417" s="1352"/>
      <c r="AL417" s="772"/>
    </row>
    <row r="418" spans="1:38" ht="11.25" customHeight="1">
      <c r="A418" s="1030" t="s">
        <v>1019</v>
      </c>
      <c r="E418" s="557"/>
      <c r="F418" s="1339"/>
      <c r="G418" s="1340"/>
      <c r="H418" s="1335" t="s">
        <v>91</v>
      </c>
      <c r="I418" s="1347"/>
      <c r="J418" s="1363"/>
      <c r="K418" s="1349"/>
      <c r="L418" s="1079"/>
      <c r="M418" s="1364"/>
      <c r="N418" s="1355"/>
      <c r="O418" s="1356"/>
      <c r="P418" s="1358"/>
      <c r="Q418" s="1308"/>
      <c r="R418" s="1308"/>
      <c r="S418" s="1361"/>
      <c r="T418" s="1308"/>
      <c r="U418" s="1308"/>
      <c r="V418" s="1308"/>
      <c r="W418" s="1308"/>
      <c r="X418" s="1308"/>
      <c r="Y418" s="1308"/>
      <c r="AA418" s="778">
        <v>1</v>
      </c>
      <c r="AB418" s="779" t="s">
        <v>1119</v>
      </c>
      <c r="AC418" s="237">
        <v>84.567851524202595</v>
      </c>
      <c r="AD418" s="779" t="str">
        <f>AB418</f>
        <v xml:space="preserve">  Прибыль направляемая на инвестиции</v>
      </c>
      <c r="AE418" s="237">
        <f>AC418</f>
        <v>84.567851524202595</v>
      </c>
      <c r="AF418" s="1350"/>
      <c r="AG418" s="1352"/>
      <c r="AH418" s="1352"/>
      <c r="AI418" s="1350"/>
      <c r="AJ418" s="1352"/>
      <c r="AK418" s="1352"/>
      <c r="AL418" s="772"/>
    </row>
    <row r="419" spans="1:38" ht="11.25" customHeight="1">
      <c r="A419" s="1030" t="s">
        <v>1019</v>
      </c>
      <c r="E419" s="557"/>
      <c r="F419" s="1340"/>
      <c r="G419" s="1340"/>
      <c r="H419" s="1340"/>
      <c r="I419" s="1340"/>
      <c r="J419" s="1340"/>
      <c r="K419" s="1340"/>
      <c r="L419" s="1340"/>
      <c r="M419" s="1365"/>
      <c r="N419" s="1340"/>
      <c r="O419" s="1340"/>
      <c r="P419" s="1340"/>
      <c r="Q419" s="1340"/>
      <c r="R419" s="1340"/>
      <c r="S419" s="1340"/>
      <c r="T419" s="1340"/>
      <c r="U419" s="1340"/>
      <c r="V419" s="1340"/>
      <c r="W419" s="1340"/>
      <c r="X419" s="1340"/>
      <c r="Y419" s="1340"/>
      <c r="Z419" s="181" t="s">
        <v>103</v>
      </c>
      <c r="AA419" s="780" t="s">
        <v>102</v>
      </c>
      <c r="AB419" s="779" t="s">
        <v>1120</v>
      </c>
      <c r="AC419" s="237">
        <v>36.432148475797398</v>
      </c>
      <c r="AD419" s="779" t="str">
        <f>AB419</f>
        <v xml:space="preserve">     Прочие амортизационные отчисления</v>
      </c>
      <c r="AE419" s="237">
        <f>AC419</f>
        <v>36.432148475797398</v>
      </c>
      <c r="AF419" s="1351"/>
      <c r="AG419" s="1353"/>
      <c r="AH419" s="1353"/>
      <c r="AI419" s="1351"/>
      <c r="AJ419" s="1353"/>
      <c r="AK419" s="1354"/>
      <c r="AL419" s="772"/>
    </row>
    <row r="420" spans="1:38" ht="11.25" customHeight="1">
      <c r="A420" s="1030" t="s">
        <v>1019</v>
      </c>
      <c r="E420" s="557"/>
      <c r="F420" s="1339"/>
      <c r="G420" s="1340"/>
      <c r="H420" s="1335" t="s">
        <v>91</v>
      </c>
      <c r="I420" s="1347"/>
      <c r="J420" s="1363"/>
      <c r="K420" s="1349"/>
      <c r="L420" s="1079"/>
      <c r="M420" s="1364"/>
      <c r="N420" s="1355"/>
      <c r="O420" s="1356"/>
      <c r="P420" s="1359"/>
      <c r="Q420" s="1308"/>
      <c r="R420" s="1308"/>
      <c r="S420" s="1361"/>
      <c r="T420" s="1308"/>
      <c r="U420" s="1308"/>
      <c r="V420" s="1308"/>
      <c r="W420" s="1308"/>
      <c r="X420" s="1308"/>
      <c r="Y420" s="1308"/>
      <c r="Z420" s="229"/>
      <c r="AA420" s="230"/>
      <c r="AB420" s="44" t="s">
        <v>1059</v>
      </c>
      <c r="AC420" s="231"/>
      <c r="AD420" s="231"/>
      <c r="AE420" s="246"/>
      <c r="AF420" s="1350"/>
      <c r="AG420" s="1352"/>
      <c r="AH420" s="1352"/>
      <c r="AI420" s="1350"/>
      <c r="AJ420" s="1352"/>
      <c r="AK420" s="1352"/>
      <c r="AL420" s="772"/>
    </row>
    <row r="421" spans="1:38" ht="11.25" customHeight="1">
      <c r="A421" s="1030" t="s">
        <v>1019</v>
      </c>
      <c r="E421" s="557"/>
      <c r="F421" s="1339"/>
      <c r="G421" s="1340"/>
      <c r="H421" s="1335" t="s">
        <v>91</v>
      </c>
      <c r="I421" s="1347"/>
      <c r="J421" s="1363"/>
      <c r="K421" s="1349"/>
      <c r="L421" s="1079"/>
      <c r="M421" s="1364"/>
      <c r="N421" s="229"/>
      <c r="O421" s="230"/>
      <c r="P421" s="44" t="s">
        <v>1060</v>
      </c>
      <c r="Q421" s="230"/>
      <c r="R421" s="230"/>
      <c r="S421" s="230"/>
      <c r="T421" s="230"/>
      <c r="U421" s="230"/>
      <c r="V421" s="230"/>
      <c r="W421" s="230"/>
      <c r="X421" s="230"/>
      <c r="Y421" s="230"/>
      <c r="Z421" s="230"/>
      <c r="AA421" s="230"/>
      <c r="AB421" s="230"/>
      <c r="AC421" s="230"/>
      <c r="AD421" s="230"/>
      <c r="AE421" s="247"/>
      <c r="AF421" s="1350"/>
      <c r="AG421" s="1352"/>
      <c r="AH421" s="1352"/>
      <c r="AI421" s="1350"/>
      <c r="AJ421" s="1352"/>
      <c r="AK421" s="1352"/>
      <c r="AL421" s="772"/>
    </row>
    <row r="422" spans="1:38" ht="11.25" customHeight="1">
      <c r="A422" s="1030" t="s">
        <v>1019</v>
      </c>
      <c r="B422" s="1030" t="s">
        <v>1051</v>
      </c>
      <c r="E422" s="557"/>
      <c r="F422" s="1339"/>
      <c r="G422" s="1325" t="s">
        <v>103</v>
      </c>
      <c r="H422" s="1335" t="s">
        <v>116</v>
      </c>
      <c r="I422" s="1347" t="s">
        <v>1052</v>
      </c>
      <c r="J422" s="1363" t="s">
        <v>1053</v>
      </c>
      <c r="K422" s="1349" t="s">
        <v>1114</v>
      </c>
      <c r="L422" s="1079" t="s">
        <v>61</v>
      </c>
      <c r="M422" s="1364" t="s">
        <v>1018</v>
      </c>
      <c r="N422" s="242"/>
      <c r="O422" s="243" t="s">
        <v>384</v>
      </c>
      <c r="P422" s="244"/>
      <c r="Q422" s="244"/>
      <c r="R422" s="244"/>
      <c r="S422" s="244"/>
      <c r="T422" s="244"/>
      <c r="U422" s="244"/>
      <c r="V422" s="244"/>
      <c r="W422" s="244"/>
      <c r="X422" s="244"/>
      <c r="Y422" s="244"/>
      <c r="Z422" s="244"/>
      <c r="AA422" s="244"/>
      <c r="AB422" s="244"/>
      <c r="AC422" s="244"/>
      <c r="AD422" s="244"/>
      <c r="AE422" s="244"/>
      <c r="AF422" s="1350">
        <v>4</v>
      </c>
      <c r="AG422" s="1352" t="s">
        <v>1055</v>
      </c>
      <c r="AH422" s="1352" t="s">
        <v>1079</v>
      </c>
      <c r="AI422" s="1350">
        <v>4</v>
      </c>
      <c r="AJ422" s="1352" t="s">
        <v>1055</v>
      </c>
      <c r="AK422" s="1352" t="s">
        <v>1079</v>
      </c>
      <c r="AL422" s="772"/>
    </row>
    <row r="423" spans="1:38" ht="11.25" customHeight="1">
      <c r="A423" s="1030" t="s">
        <v>1019</v>
      </c>
      <c r="E423" s="557"/>
      <c r="F423" s="1339"/>
      <c r="G423" s="1340"/>
      <c r="H423" s="1335" t="s">
        <v>92</v>
      </c>
      <c r="I423" s="1347"/>
      <c r="J423" s="1363"/>
      <c r="K423" s="1349"/>
      <c r="L423" s="1079"/>
      <c r="M423" s="1364"/>
      <c r="N423" s="1355"/>
      <c r="O423" s="1356">
        <v>1</v>
      </c>
      <c r="P423" s="1357" t="s">
        <v>19</v>
      </c>
      <c r="Q423" s="1308" t="s">
        <v>22</v>
      </c>
      <c r="R423" s="1308" t="s">
        <v>22</v>
      </c>
      <c r="S423" s="1308" t="s">
        <v>22</v>
      </c>
      <c r="T423" s="1308" t="s">
        <v>22</v>
      </c>
      <c r="U423" s="1308" t="s">
        <v>22</v>
      </c>
      <c r="V423" s="1308" t="s">
        <v>22</v>
      </c>
      <c r="W423" s="1308" t="s">
        <v>22</v>
      </c>
      <c r="X423" s="1308" t="s">
        <v>22</v>
      </c>
      <c r="Y423" s="1308"/>
      <c r="Z423" s="229"/>
      <c r="AA423" s="230"/>
      <c r="AB423" s="230"/>
      <c r="AC423" s="231"/>
      <c r="AD423" s="231"/>
      <c r="AE423" s="245"/>
      <c r="AF423" s="1350"/>
      <c r="AG423" s="1352"/>
      <c r="AH423" s="1352"/>
      <c r="AI423" s="1350"/>
      <c r="AJ423" s="1352"/>
      <c r="AK423" s="1352"/>
      <c r="AL423" s="772"/>
    </row>
    <row r="424" spans="1:38" ht="11.25" customHeight="1">
      <c r="A424" s="1030" t="s">
        <v>1019</v>
      </c>
      <c r="E424" s="557"/>
      <c r="F424" s="1339"/>
      <c r="G424" s="1340"/>
      <c r="H424" s="1335" t="s">
        <v>92</v>
      </c>
      <c r="I424" s="1347"/>
      <c r="J424" s="1363"/>
      <c r="K424" s="1349"/>
      <c r="L424" s="1079"/>
      <c r="M424" s="1364"/>
      <c r="N424" s="1355"/>
      <c r="O424" s="1356"/>
      <c r="P424" s="1358"/>
      <c r="Q424" s="1308"/>
      <c r="R424" s="1308"/>
      <c r="S424" s="1361"/>
      <c r="T424" s="1308"/>
      <c r="U424" s="1308"/>
      <c r="V424" s="1308"/>
      <c r="W424" s="1308"/>
      <c r="X424" s="1308"/>
      <c r="Y424" s="1308"/>
      <c r="AA424" s="778">
        <v>1</v>
      </c>
      <c r="AB424" s="779" t="s">
        <v>1119</v>
      </c>
      <c r="AC424" s="237">
        <v>20.2683280512552</v>
      </c>
      <c r="AD424" s="779" t="str">
        <f>AB424</f>
        <v xml:space="preserve">  Прибыль направляемая на инвестиции</v>
      </c>
      <c r="AE424" s="237">
        <f>AC424</f>
        <v>20.2683280512552</v>
      </c>
      <c r="AF424" s="1350"/>
      <c r="AG424" s="1352"/>
      <c r="AH424" s="1352"/>
      <c r="AI424" s="1350"/>
      <c r="AJ424" s="1352"/>
      <c r="AK424" s="1352"/>
      <c r="AL424" s="772"/>
    </row>
    <row r="425" spans="1:38" ht="11.25" customHeight="1">
      <c r="A425" s="1030" t="s">
        <v>1019</v>
      </c>
      <c r="E425" s="557"/>
      <c r="F425" s="1340"/>
      <c r="G425" s="1340"/>
      <c r="H425" s="1340"/>
      <c r="I425" s="1340"/>
      <c r="J425" s="1340"/>
      <c r="K425" s="1340"/>
      <c r="L425" s="1340"/>
      <c r="M425" s="1365"/>
      <c r="N425" s="1340"/>
      <c r="O425" s="1340"/>
      <c r="P425" s="1340"/>
      <c r="Q425" s="1340"/>
      <c r="R425" s="1340"/>
      <c r="S425" s="1340"/>
      <c r="T425" s="1340"/>
      <c r="U425" s="1340"/>
      <c r="V425" s="1340"/>
      <c r="W425" s="1340"/>
      <c r="X425" s="1340"/>
      <c r="Y425" s="1340"/>
      <c r="Z425" s="181" t="s">
        <v>103</v>
      </c>
      <c r="AA425" s="780" t="s">
        <v>102</v>
      </c>
      <c r="AB425" s="779" t="s">
        <v>1120</v>
      </c>
      <c r="AC425" s="237">
        <v>8.7316719487448395</v>
      </c>
      <c r="AD425" s="779" t="str">
        <f>AB425</f>
        <v xml:space="preserve">     Прочие амортизационные отчисления</v>
      </c>
      <c r="AE425" s="237">
        <f>AC425</f>
        <v>8.7316719487448395</v>
      </c>
      <c r="AF425" s="1351"/>
      <c r="AG425" s="1353"/>
      <c r="AH425" s="1353"/>
      <c r="AI425" s="1351"/>
      <c r="AJ425" s="1353"/>
      <c r="AK425" s="1354"/>
      <c r="AL425" s="772"/>
    </row>
    <row r="426" spans="1:38" ht="11.25" customHeight="1">
      <c r="A426" s="1030" t="s">
        <v>1019</v>
      </c>
      <c r="E426" s="557"/>
      <c r="F426" s="1339"/>
      <c r="G426" s="1340"/>
      <c r="H426" s="1335" t="s">
        <v>92</v>
      </c>
      <c r="I426" s="1347"/>
      <c r="J426" s="1363"/>
      <c r="K426" s="1349"/>
      <c r="L426" s="1079"/>
      <c r="M426" s="1364"/>
      <c r="N426" s="1355"/>
      <c r="O426" s="1356"/>
      <c r="P426" s="1359"/>
      <c r="Q426" s="1308"/>
      <c r="R426" s="1308"/>
      <c r="S426" s="1361"/>
      <c r="T426" s="1308"/>
      <c r="U426" s="1308"/>
      <c r="V426" s="1308"/>
      <c r="W426" s="1308"/>
      <c r="X426" s="1308"/>
      <c r="Y426" s="1308"/>
      <c r="Z426" s="229"/>
      <c r="AA426" s="230"/>
      <c r="AB426" s="44" t="s">
        <v>1059</v>
      </c>
      <c r="AC426" s="231"/>
      <c r="AD426" s="231"/>
      <c r="AE426" s="246"/>
      <c r="AF426" s="1350"/>
      <c r="AG426" s="1352"/>
      <c r="AH426" s="1352"/>
      <c r="AI426" s="1350"/>
      <c r="AJ426" s="1352"/>
      <c r="AK426" s="1352"/>
      <c r="AL426" s="772"/>
    </row>
    <row r="427" spans="1:38" ht="11.25" customHeight="1">
      <c r="A427" s="1030" t="s">
        <v>1019</v>
      </c>
      <c r="E427" s="557"/>
      <c r="F427" s="1339"/>
      <c r="G427" s="1340"/>
      <c r="H427" s="1335" t="s">
        <v>92</v>
      </c>
      <c r="I427" s="1347"/>
      <c r="J427" s="1363"/>
      <c r="K427" s="1349"/>
      <c r="L427" s="1079"/>
      <c r="M427" s="1364"/>
      <c r="N427" s="229"/>
      <c r="O427" s="230"/>
      <c r="P427" s="44" t="s">
        <v>1060</v>
      </c>
      <c r="Q427" s="230"/>
      <c r="R427" s="230"/>
      <c r="S427" s="230"/>
      <c r="T427" s="230"/>
      <c r="U427" s="230"/>
      <c r="V427" s="230"/>
      <c r="W427" s="230"/>
      <c r="X427" s="230"/>
      <c r="Y427" s="230"/>
      <c r="Z427" s="230"/>
      <c r="AA427" s="230"/>
      <c r="AB427" s="230"/>
      <c r="AC427" s="230"/>
      <c r="AD427" s="230"/>
      <c r="AE427" s="247"/>
      <c r="AF427" s="1350"/>
      <c r="AG427" s="1352"/>
      <c r="AH427" s="1352"/>
      <c r="AI427" s="1350"/>
      <c r="AJ427" s="1352"/>
      <c r="AK427" s="1352"/>
      <c r="AL427" s="772"/>
    </row>
    <row r="428" spans="1:38" ht="11.25" customHeight="1">
      <c r="A428" s="1030" t="s">
        <v>1019</v>
      </c>
      <c r="B428" s="1030" t="s">
        <v>1051</v>
      </c>
      <c r="E428" s="557"/>
      <c r="F428" s="1339"/>
      <c r="G428" s="1325" t="s">
        <v>103</v>
      </c>
      <c r="H428" s="1335" t="s">
        <v>158</v>
      </c>
      <c r="I428" s="1347" t="s">
        <v>1052</v>
      </c>
      <c r="J428" s="1363" t="s">
        <v>1053</v>
      </c>
      <c r="K428" s="1349" t="s">
        <v>1121</v>
      </c>
      <c r="L428" s="1079" t="s">
        <v>61</v>
      </c>
      <c r="M428" s="1364" t="s">
        <v>1018</v>
      </c>
      <c r="N428" s="242"/>
      <c r="O428" s="243" t="s">
        <v>384</v>
      </c>
      <c r="P428" s="244"/>
      <c r="Q428" s="244"/>
      <c r="R428" s="244"/>
      <c r="S428" s="244"/>
      <c r="T428" s="244"/>
      <c r="U428" s="244"/>
      <c r="V428" s="244"/>
      <c r="W428" s="244"/>
      <c r="X428" s="244"/>
      <c r="Y428" s="244"/>
      <c r="Z428" s="244"/>
      <c r="AA428" s="244"/>
      <c r="AB428" s="244"/>
      <c r="AC428" s="244"/>
      <c r="AD428" s="244"/>
      <c r="AE428" s="244"/>
      <c r="AF428" s="1350">
        <v>4</v>
      </c>
      <c r="AG428" s="1352" t="s">
        <v>1055</v>
      </c>
      <c r="AH428" s="1352" t="s">
        <v>1079</v>
      </c>
      <c r="AI428" s="1350">
        <v>4</v>
      </c>
      <c r="AJ428" s="1352" t="s">
        <v>1055</v>
      </c>
      <c r="AK428" s="1352" t="s">
        <v>1079</v>
      </c>
      <c r="AL428" s="772"/>
    </row>
    <row r="429" spans="1:38" ht="11.25" customHeight="1">
      <c r="A429" s="1030" t="s">
        <v>1019</v>
      </c>
      <c r="E429" s="557"/>
      <c r="F429" s="1339"/>
      <c r="G429" s="1340"/>
      <c r="H429" s="1335" t="s">
        <v>116</v>
      </c>
      <c r="I429" s="1347"/>
      <c r="J429" s="1363"/>
      <c r="K429" s="1349"/>
      <c r="L429" s="1079"/>
      <c r="M429" s="1364"/>
      <c r="N429" s="1355"/>
      <c r="O429" s="1356">
        <v>1</v>
      </c>
      <c r="P429" s="1357" t="s">
        <v>19</v>
      </c>
      <c r="Q429" s="1308" t="s">
        <v>22</v>
      </c>
      <c r="R429" s="1308" t="s">
        <v>22</v>
      </c>
      <c r="S429" s="1308" t="s">
        <v>22</v>
      </c>
      <c r="T429" s="1308" t="s">
        <v>22</v>
      </c>
      <c r="U429" s="1308" t="s">
        <v>22</v>
      </c>
      <c r="V429" s="1308" t="s">
        <v>22</v>
      </c>
      <c r="W429" s="1308" t="s">
        <v>22</v>
      </c>
      <c r="X429" s="1308" t="s">
        <v>22</v>
      </c>
      <c r="Y429" s="1308"/>
      <c r="Z429" s="229"/>
      <c r="AA429" s="230"/>
      <c r="AB429" s="230"/>
      <c r="AC429" s="231"/>
      <c r="AD429" s="231"/>
      <c r="AE429" s="245"/>
      <c r="AF429" s="1350"/>
      <c r="AG429" s="1352"/>
      <c r="AH429" s="1352"/>
      <c r="AI429" s="1350"/>
      <c r="AJ429" s="1352"/>
      <c r="AK429" s="1352"/>
      <c r="AL429" s="772"/>
    </row>
    <row r="430" spans="1:38" ht="11.25" customHeight="1">
      <c r="A430" s="1030" t="s">
        <v>1019</v>
      </c>
      <c r="E430" s="557"/>
      <c r="F430" s="1339"/>
      <c r="G430" s="1340"/>
      <c r="H430" s="1335" t="s">
        <v>116</v>
      </c>
      <c r="I430" s="1347"/>
      <c r="J430" s="1363"/>
      <c r="K430" s="1349"/>
      <c r="L430" s="1079"/>
      <c r="M430" s="1364"/>
      <c r="N430" s="1355"/>
      <c r="O430" s="1356"/>
      <c r="P430" s="1358"/>
      <c r="Q430" s="1308"/>
      <c r="R430" s="1308"/>
      <c r="S430" s="1361"/>
      <c r="T430" s="1308"/>
      <c r="U430" s="1308"/>
      <c r="V430" s="1308"/>
      <c r="W430" s="1308"/>
      <c r="X430" s="1308"/>
      <c r="Y430" s="1308"/>
      <c r="AA430" s="778">
        <v>1</v>
      </c>
      <c r="AB430" s="779" t="s">
        <v>1119</v>
      </c>
      <c r="AC430" s="237">
        <v>20.2683280512552</v>
      </c>
      <c r="AD430" s="779" t="str">
        <f>AB430</f>
        <v xml:space="preserve">  Прибыль направляемая на инвестиции</v>
      </c>
      <c r="AE430" s="237">
        <f>AC430</f>
        <v>20.2683280512552</v>
      </c>
      <c r="AF430" s="1350"/>
      <c r="AG430" s="1352"/>
      <c r="AH430" s="1352"/>
      <c r="AI430" s="1350"/>
      <c r="AJ430" s="1352"/>
      <c r="AK430" s="1352"/>
      <c r="AL430" s="772"/>
    </row>
    <row r="431" spans="1:38" ht="11.25" customHeight="1">
      <c r="A431" s="1030" t="s">
        <v>1019</v>
      </c>
      <c r="E431" s="557"/>
      <c r="F431" s="1340"/>
      <c r="G431" s="1340"/>
      <c r="H431" s="1340"/>
      <c r="I431" s="1340"/>
      <c r="J431" s="1340"/>
      <c r="K431" s="1340"/>
      <c r="L431" s="1340"/>
      <c r="M431" s="1365"/>
      <c r="N431" s="1340"/>
      <c r="O431" s="1340"/>
      <c r="P431" s="1340"/>
      <c r="Q431" s="1340"/>
      <c r="R431" s="1340"/>
      <c r="S431" s="1340"/>
      <c r="T431" s="1340"/>
      <c r="U431" s="1340"/>
      <c r="V431" s="1340"/>
      <c r="W431" s="1340"/>
      <c r="X431" s="1340"/>
      <c r="Y431" s="1340"/>
      <c r="Z431" s="181" t="s">
        <v>103</v>
      </c>
      <c r="AA431" s="780" t="s">
        <v>102</v>
      </c>
      <c r="AB431" s="779" t="s">
        <v>1120</v>
      </c>
      <c r="AC431" s="237">
        <v>8.7316719487448395</v>
      </c>
      <c r="AD431" s="779" t="str">
        <f>AB431</f>
        <v xml:space="preserve">     Прочие амортизационные отчисления</v>
      </c>
      <c r="AE431" s="237">
        <f>AC431</f>
        <v>8.7316719487448395</v>
      </c>
      <c r="AF431" s="1351"/>
      <c r="AG431" s="1353"/>
      <c r="AH431" s="1353"/>
      <c r="AI431" s="1351"/>
      <c r="AJ431" s="1353"/>
      <c r="AK431" s="1354"/>
      <c r="AL431" s="772"/>
    </row>
    <row r="432" spans="1:38" ht="11.25" customHeight="1">
      <c r="A432" s="1030" t="s">
        <v>1019</v>
      </c>
      <c r="E432" s="557"/>
      <c r="F432" s="1339"/>
      <c r="G432" s="1340"/>
      <c r="H432" s="1335" t="s">
        <v>116</v>
      </c>
      <c r="I432" s="1347"/>
      <c r="J432" s="1363"/>
      <c r="K432" s="1349"/>
      <c r="L432" s="1079"/>
      <c r="M432" s="1364"/>
      <c r="N432" s="1355"/>
      <c r="O432" s="1356"/>
      <c r="P432" s="1359"/>
      <c r="Q432" s="1308"/>
      <c r="R432" s="1308"/>
      <c r="S432" s="1361"/>
      <c r="T432" s="1308"/>
      <c r="U432" s="1308"/>
      <c r="V432" s="1308"/>
      <c r="W432" s="1308"/>
      <c r="X432" s="1308"/>
      <c r="Y432" s="1308"/>
      <c r="Z432" s="229"/>
      <c r="AA432" s="230"/>
      <c r="AB432" s="44" t="s">
        <v>1059</v>
      </c>
      <c r="AC432" s="231"/>
      <c r="AD432" s="231"/>
      <c r="AE432" s="246"/>
      <c r="AF432" s="1350"/>
      <c r="AG432" s="1352"/>
      <c r="AH432" s="1352"/>
      <c r="AI432" s="1350"/>
      <c r="AJ432" s="1352"/>
      <c r="AK432" s="1352"/>
      <c r="AL432" s="772"/>
    </row>
    <row r="433" spans="1:38" ht="11.25" customHeight="1">
      <c r="A433" s="1030" t="s">
        <v>1019</v>
      </c>
      <c r="E433" s="557"/>
      <c r="F433" s="1339"/>
      <c r="G433" s="1340"/>
      <c r="H433" s="1335" t="s">
        <v>116</v>
      </c>
      <c r="I433" s="1347"/>
      <c r="J433" s="1363"/>
      <c r="K433" s="1349"/>
      <c r="L433" s="1079"/>
      <c r="M433" s="1364"/>
      <c r="N433" s="229"/>
      <c r="O433" s="230"/>
      <c r="P433" s="44" t="s">
        <v>1060</v>
      </c>
      <c r="Q433" s="230"/>
      <c r="R433" s="230"/>
      <c r="S433" s="230"/>
      <c r="T433" s="230"/>
      <c r="U433" s="230"/>
      <c r="V433" s="230"/>
      <c r="W433" s="230"/>
      <c r="X433" s="230"/>
      <c r="Y433" s="230"/>
      <c r="Z433" s="230"/>
      <c r="AA433" s="230"/>
      <c r="AB433" s="230"/>
      <c r="AC433" s="230"/>
      <c r="AD433" s="230"/>
      <c r="AE433" s="247"/>
      <c r="AF433" s="1350"/>
      <c r="AG433" s="1352"/>
      <c r="AH433" s="1352"/>
      <c r="AI433" s="1350"/>
      <c r="AJ433" s="1352"/>
      <c r="AK433" s="1352"/>
      <c r="AL433" s="772"/>
    </row>
    <row r="434" spans="1:38" ht="11.25" customHeight="1">
      <c r="A434" s="1030" t="s">
        <v>1019</v>
      </c>
      <c r="B434" s="1030" t="s">
        <v>1051</v>
      </c>
      <c r="E434" s="557"/>
      <c r="F434" s="1339"/>
      <c r="G434" s="1325" t="s">
        <v>103</v>
      </c>
      <c r="H434" s="1335" t="s">
        <v>159</v>
      </c>
      <c r="I434" s="1347" t="s">
        <v>1052</v>
      </c>
      <c r="J434" s="1363" t="s">
        <v>1053</v>
      </c>
      <c r="K434" s="1349" t="s">
        <v>1122</v>
      </c>
      <c r="L434" s="1079" t="s">
        <v>61</v>
      </c>
      <c r="M434" s="1364" t="s">
        <v>1018</v>
      </c>
      <c r="N434" s="242"/>
      <c r="O434" s="243" t="s">
        <v>384</v>
      </c>
      <c r="P434" s="244"/>
      <c r="Q434" s="244"/>
      <c r="R434" s="244"/>
      <c r="S434" s="244"/>
      <c r="T434" s="244"/>
      <c r="U434" s="244"/>
      <c r="V434" s="244"/>
      <c r="W434" s="244"/>
      <c r="X434" s="244"/>
      <c r="Y434" s="244"/>
      <c r="Z434" s="244"/>
      <c r="AA434" s="244"/>
      <c r="AB434" s="244"/>
      <c r="AC434" s="244"/>
      <c r="AD434" s="244"/>
      <c r="AE434" s="244"/>
      <c r="AF434" s="1350">
        <v>3</v>
      </c>
      <c r="AG434" s="1352" t="s">
        <v>1055</v>
      </c>
      <c r="AH434" s="1352" t="s">
        <v>1107</v>
      </c>
      <c r="AI434" s="1350">
        <v>3</v>
      </c>
      <c r="AJ434" s="1352" t="s">
        <v>1055</v>
      </c>
      <c r="AK434" s="1352" t="s">
        <v>1107</v>
      </c>
      <c r="AL434" s="772"/>
    </row>
    <row r="435" spans="1:38" ht="11.25" customHeight="1">
      <c r="A435" s="1030" t="s">
        <v>1019</v>
      </c>
      <c r="E435" s="557"/>
      <c r="F435" s="1339"/>
      <c r="G435" s="1340"/>
      <c r="H435" s="1335" t="s">
        <v>158</v>
      </c>
      <c r="I435" s="1347"/>
      <c r="J435" s="1363"/>
      <c r="K435" s="1349"/>
      <c r="L435" s="1079"/>
      <c r="M435" s="1364"/>
      <c r="N435" s="1355"/>
      <c r="O435" s="1356">
        <v>1</v>
      </c>
      <c r="P435" s="1357" t="s">
        <v>19</v>
      </c>
      <c r="Q435" s="1308" t="s">
        <v>22</v>
      </c>
      <c r="R435" s="1308" t="s">
        <v>22</v>
      </c>
      <c r="S435" s="1308" t="s">
        <v>22</v>
      </c>
      <c r="T435" s="1308" t="s">
        <v>22</v>
      </c>
      <c r="U435" s="1308" t="s">
        <v>22</v>
      </c>
      <c r="V435" s="1308" t="s">
        <v>22</v>
      </c>
      <c r="W435" s="1308" t="s">
        <v>22</v>
      </c>
      <c r="X435" s="1308" t="s">
        <v>22</v>
      </c>
      <c r="Y435" s="1308"/>
      <c r="Z435" s="229"/>
      <c r="AA435" s="230"/>
      <c r="AB435" s="230"/>
      <c r="AC435" s="231"/>
      <c r="AD435" s="231"/>
      <c r="AE435" s="245"/>
      <c r="AF435" s="1350"/>
      <c r="AG435" s="1352"/>
      <c r="AH435" s="1352"/>
      <c r="AI435" s="1350"/>
      <c r="AJ435" s="1352"/>
      <c r="AK435" s="1352"/>
      <c r="AL435" s="772"/>
    </row>
    <row r="436" spans="1:38" ht="11.25" customHeight="1">
      <c r="A436" s="1030" t="s">
        <v>1019</v>
      </c>
      <c r="E436" s="557"/>
      <c r="F436" s="1339"/>
      <c r="G436" s="1340"/>
      <c r="H436" s="1335" t="s">
        <v>158</v>
      </c>
      <c r="I436" s="1347"/>
      <c r="J436" s="1363"/>
      <c r="K436" s="1349"/>
      <c r="L436" s="1079"/>
      <c r="M436" s="1364"/>
      <c r="N436" s="1355"/>
      <c r="O436" s="1356"/>
      <c r="P436" s="1358"/>
      <c r="Q436" s="1308"/>
      <c r="R436" s="1308"/>
      <c r="S436" s="1361"/>
      <c r="T436" s="1308"/>
      <c r="U436" s="1308"/>
      <c r="V436" s="1308"/>
      <c r="W436" s="1308"/>
      <c r="X436" s="1308"/>
      <c r="Y436" s="1308"/>
      <c r="AA436" s="778">
        <v>1</v>
      </c>
      <c r="AB436" s="779" t="s">
        <v>1119</v>
      </c>
      <c r="AC436" s="237">
        <v>534.66451583483399</v>
      </c>
      <c r="AD436" s="779" t="str">
        <f>AB436</f>
        <v xml:space="preserve">  Прибыль направляемая на инвестиции</v>
      </c>
      <c r="AE436" s="237">
        <f>AC436</f>
        <v>534.66451583483399</v>
      </c>
      <c r="AF436" s="1350"/>
      <c r="AG436" s="1352"/>
      <c r="AH436" s="1352"/>
      <c r="AI436" s="1350"/>
      <c r="AJ436" s="1352"/>
      <c r="AK436" s="1352"/>
      <c r="AL436" s="772"/>
    </row>
    <row r="437" spans="1:38" ht="11.25" customHeight="1">
      <c r="A437" s="1030" t="s">
        <v>1019</v>
      </c>
      <c r="E437" s="557"/>
      <c r="F437" s="1340"/>
      <c r="G437" s="1340"/>
      <c r="H437" s="1340"/>
      <c r="I437" s="1340"/>
      <c r="J437" s="1340"/>
      <c r="K437" s="1340"/>
      <c r="L437" s="1340"/>
      <c r="M437" s="1365"/>
      <c r="N437" s="1340"/>
      <c r="O437" s="1340"/>
      <c r="P437" s="1340"/>
      <c r="Q437" s="1340"/>
      <c r="R437" s="1340"/>
      <c r="S437" s="1340"/>
      <c r="T437" s="1340"/>
      <c r="U437" s="1340"/>
      <c r="V437" s="1340"/>
      <c r="W437" s="1340"/>
      <c r="X437" s="1340"/>
      <c r="Y437" s="1340"/>
      <c r="Z437" s="181" t="s">
        <v>103</v>
      </c>
      <c r="AA437" s="780" t="s">
        <v>102</v>
      </c>
      <c r="AB437" s="779" t="s">
        <v>1120</v>
      </c>
      <c r="AC437" s="237">
        <v>230.33548416516601</v>
      </c>
      <c r="AD437" s="779" t="str">
        <f>AB437</f>
        <v xml:space="preserve">     Прочие амортизационные отчисления</v>
      </c>
      <c r="AE437" s="237">
        <f>AC437</f>
        <v>230.33548416516601</v>
      </c>
      <c r="AF437" s="1351"/>
      <c r="AG437" s="1353"/>
      <c r="AH437" s="1353"/>
      <c r="AI437" s="1351"/>
      <c r="AJ437" s="1353"/>
      <c r="AK437" s="1354"/>
      <c r="AL437" s="772"/>
    </row>
    <row r="438" spans="1:38" ht="11.25" customHeight="1">
      <c r="A438" s="1030" t="s">
        <v>1019</v>
      </c>
      <c r="E438" s="557"/>
      <c r="F438" s="1339"/>
      <c r="G438" s="1340"/>
      <c r="H438" s="1335" t="s">
        <v>158</v>
      </c>
      <c r="I438" s="1347"/>
      <c r="J438" s="1363"/>
      <c r="K438" s="1349"/>
      <c r="L438" s="1079"/>
      <c r="M438" s="1364"/>
      <c r="N438" s="1355"/>
      <c r="O438" s="1356"/>
      <c r="P438" s="1359"/>
      <c r="Q438" s="1308"/>
      <c r="R438" s="1308"/>
      <c r="S438" s="1361"/>
      <c r="T438" s="1308"/>
      <c r="U438" s="1308"/>
      <c r="V438" s="1308"/>
      <c r="W438" s="1308"/>
      <c r="X438" s="1308"/>
      <c r="Y438" s="1308"/>
      <c r="Z438" s="229"/>
      <c r="AA438" s="230"/>
      <c r="AB438" s="44" t="s">
        <v>1059</v>
      </c>
      <c r="AC438" s="231"/>
      <c r="AD438" s="231"/>
      <c r="AE438" s="246"/>
      <c r="AF438" s="1350"/>
      <c r="AG438" s="1352"/>
      <c r="AH438" s="1352"/>
      <c r="AI438" s="1350"/>
      <c r="AJ438" s="1352"/>
      <c r="AK438" s="1352"/>
      <c r="AL438" s="772"/>
    </row>
    <row r="439" spans="1:38" ht="11.25" customHeight="1">
      <c r="A439" s="1030" t="s">
        <v>1019</v>
      </c>
      <c r="E439" s="557"/>
      <c r="F439" s="1339"/>
      <c r="G439" s="1340"/>
      <c r="H439" s="1335" t="s">
        <v>158</v>
      </c>
      <c r="I439" s="1347"/>
      <c r="J439" s="1363"/>
      <c r="K439" s="1349"/>
      <c r="L439" s="1079"/>
      <c r="M439" s="1364"/>
      <c r="N439" s="229"/>
      <c r="O439" s="230"/>
      <c r="P439" s="44" t="s">
        <v>1060</v>
      </c>
      <c r="Q439" s="230"/>
      <c r="R439" s="230"/>
      <c r="S439" s="230"/>
      <c r="T439" s="230"/>
      <c r="U439" s="230"/>
      <c r="V439" s="230"/>
      <c r="W439" s="230"/>
      <c r="X439" s="230"/>
      <c r="Y439" s="230"/>
      <c r="Z439" s="230"/>
      <c r="AA439" s="230"/>
      <c r="AB439" s="230"/>
      <c r="AC439" s="230"/>
      <c r="AD439" s="230"/>
      <c r="AE439" s="247"/>
      <c r="AF439" s="1350"/>
      <c r="AG439" s="1352"/>
      <c r="AH439" s="1352"/>
      <c r="AI439" s="1350"/>
      <c r="AJ439" s="1352"/>
      <c r="AK439" s="1352"/>
      <c r="AL439" s="772"/>
    </row>
    <row r="440" spans="1:38" ht="11.25" customHeight="1">
      <c r="A440" s="1030" t="s">
        <v>1019</v>
      </c>
      <c r="B440" s="1030" t="s">
        <v>1051</v>
      </c>
      <c r="E440" s="557"/>
      <c r="F440" s="1339"/>
      <c r="G440" s="1325" t="s">
        <v>103</v>
      </c>
      <c r="H440" s="1335" t="s">
        <v>160</v>
      </c>
      <c r="I440" s="1347" t="s">
        <v>1052</v>
      </c>
      <c r="J440" s="1363" t="s">
        <v>1053</v>
      </c>
      <c r="K440" s="1349" t="s">
        <v>1123</v>
      </c>
      <c r="L440" s="1079" t="s">
        <v>61</v>
      </c>
      <c r="M440" s="1364" t="s">
        <v>1018</v>
      </c>
      <c r="N440" s="242"/>
      <c r="O440" s="243" t="s">
        <v>384</v>
      </c>
      <c r="P440" s="244"/>
      <c r="Q440" s="244"/>
      <c r="R440" s="244"/>
      <c r="S440" s="244"/>
      <c r="T440" s="244"/>
      <c r="U440" s="244"/>
      <c r="V440" s="244"/>
      <c r="W440" s="244"/>
      <c r="X440" s="244"/>
      <c r="Y440" s="244"/>
      <c r="Z440" s="244"/>
      <c r="AA440" s="244"/>
      <c r="AB440" s="244"/>
      <c r="AC440" s="244"/>
      <c r="AD440" s="244"/>
      <c r="AE440" s="244"/>
      <c r="AF440" s="1350">
        <v>4</v>
      </c>
      <c r="AG440" s="1352" t="s">
        <v>1055</v>
      </c>
      <c r="AH440" s="1352" t="s">
        <v>1079</v>
      </c>
      <c r="AI440" s="1350">
        <v>4</v>
      </c>
      <c r="AJ440" s="1352" t="s">
        <v>1055</v>
      </c>
      <c r="AK440" s="1352" t="s">
        <v>1079</v>
      </c>
      <c r="AL440" s="772"/>
    </row>
    <row r="441" spans="1:38" ht="11.25" customHeight="1">
      <c r="A441" s="1030" t="s">
        <v>1019</v>
      </c>
      <c r="E441" s="557"/>
      <c r="F441" s="1339"/>
      <c r="G441" s="1340"/>
      <c r="H441" s="1335" t="s">
        <v>159</v>
      </c>
      <c r="I441" s="1347"/>
      <c r="J441" s="1363"/>
      <c r="K441" s="1349"/>
      <c r="L441" s="1079"/>
      <c r="M441" s="1364"/>
      <c r="N441" s="1355"/>
      <c r="O441" s="1356">
        <v>1</v>
      </c>
      <c r="P441" s="1357" t="s">
        <v>19</v>
      </c>
      <c r="Q441" s="1308" t="s">
        <v>22</v>
      </c>
      <c r="R441" s="1308" t="s">
        <v>22</v>
      </c>
      <c r="S441" s="1308" t="s">
        <v>22</v>
      </c>
      <c r="T441" s="1308" t="s">
        <v>22</v>
      </c>
      <c r="U441" s="1308" t="s">
        <v>22</v>
      </c>
      <c r="V441" s="1308" t="s">
        <v>22</v>
      </c>
      <c r="W441" s="1308" t="s">
        <v>22</v>
      </c>
      <c r="X441" s="1308" t="s">
        <v>22</v>
      </c>
      <c r="Y441" s="1308"/>
      <c r="Z441" s="229"/>
      <c r="AA441" s="230"/>
      <c r="AB441" s="230"/>
      <c r="AC441" s="231"/>
      <c r="AD441" s="231"/>
      <c r="AE441" s="245"/>
      <c r="AF441" s="1350"/>
      <c r="AG441" s="1352"/>
      <c r="AH441" s="1352"/>
      <c r="AI441" s="1350"/>
      <c r="AJ441" s="1352"/>
      <c r="AK441" s="1352"/>
      <c r="AL441" s="772"/>
    </row>
    <row r="442" spans="1:38" ht="11.25" customHeight="1">
      <c r="A442" s="1030" t="s">
        <v>1019</v>
      </c>
      <c r="E442" s="557"/>
      <c r="F442" s="1339"/>
      <c r="G442" s="1340"/>
      <c r="H442" s="1335" t="s">
        <v>159</v>
      </c>
      <c r="I442" s="1347"/>
      <c r="J442" s="1363"/>
      <c r="K442" s="1349"/>
      <c r="L442" s="1079"/>
      <c r="M442" s="1364"/>
      <c r="N442" s="1355"/>
      <c r="O442" s="1356"/>
      <c r="P442" s="1358"/>
      <c r="Q442" s="1308"/>
      <c r="R442" s="1308"/>
      <c r="S442" s="1361"/>
      <c r="T442" s="1308"/>
      <c r="U442" s="1308"/>
      <c r="V442" s="1308"/>
      <c r="W442" s="1308"/>
      <c r="X442" s="1308"/>
      <c r="Y442" s="1308"/>
      <c r="AA442" s="778">
        <v>1</v>
      </c>
      <c r="AB442" s="779" t="s">
        <v>1119</v>
      </c>
      <c r="AC442" s="237">
        <v>11.8814336852185</v>
      </c>
      <c r="AD442" s="779" t="str">
        <f>AB442</f>
        <v xml:space="preserve">  Прибыль направляемая на инвестиции</v>
      </c>
      <c r="AE442" s="237">
        <f>AC442</f>
        <v>11.8814336852185</v>
      </c>
      <c r="AF442" s="1350"/>
      <c r="AG442" s="1352"/>
      <c r="AH442" s="1352"/>
      <c r="AI442" s="1350"/>
      <c r="AJ442" s="1352"/>
      <c r="AK442" s="1352"/>
      <c r="AL442" s="772"/>
    </row>
    <row r="443" spans="1:38" ht="11.25" customHeight="1">
      <c r="A443" s="1030" t="s">
        <v>1019</v>
      </c>
      <c r="E443" s="557"/>
      <c r="F443" s="1340"/>
      <c r="G443" s="1340"/>
      <c r="H443" s="1340"/>
      <c r="I443" s="1340"/>
      <c r="J443" s="1340"/>
      <c r="K443" s="1340"/>
      <c r="L443" s="1340"/>
      <c r="M443" s="1365"/>
      <c r="N443" s="1340"/>
      <c r="O443" s="1340"/>
      <c r="P443" s="1340"/>
      <c r="Q443" s="1340"/>
      <c r="R443" s="1340"/>
      <c r="S443" s="1340"/>
      <c r="T443" s="1340"/>
      <c r="U443" s="1340"/>
      <c r="V443" s="1340"/>
      <c r="W443" s="1340"/>
      <c r="X443" s="1340"/>
      <c r="Y443" s="1340"/>
      <c r="Z443" s="181" t="s">
        <v>103</v>
      </c>
      <c r="AA443" s="780" t="s">
        <v>102</v>
      </c>
      <c r="AB443" s="779" t="s">
        <v>1120</v>
      </c>
      <c r="AC443" s="237">
        <v>5.11856631478146</v>
      </c>
      <c r="AD443" s="779" t="str">
        <f>AB443</f>
        <v xml:space="preserve">     Прочие амортизационные отчисления</v>
      </c>
      <c r="AE443" s="237">
        <f>AC443</f>
        <v>5.11856631478146</v>
      </c>
      <c r="AF443" s="1351"/>
      <c r="AG443" s="1353"/>
      <c r="AH443" s="1353"/>
      <c r="AI443" s="1351"/>
      <c r="AJ443" s="1353"/>
      <c r="AK443" s="1354"/>
      <c r="AL443" s="772"/>
    </row>
    <row r="444" spans="1:38" ht="11.25" customHeight="1">
      <c r="A444" s="1030" t="s">
        <v>1019</v>
      </c>
      <c r="E444" s="557"/>
      <c r="F444" s="1339"/>
      <c r="G444" s="1340"/>
      <c r="H444" s="1335" t="s">
        <v>159</v>
      </c>
      <c r="I444" s="1347"/>
      <c r="J444" s="1363"/>
      <c r="K444" s="1349"/>
      <c r="L444" s="1079"/>
      <c r="M444" s="1364"/>
      <c r="N444" s="1355"/>
      <c r="O444" s="1356"/>
      <c r="P444" s="1359"/>
      <c r="Q444" s="1308"/>
      <c r="R444" s="1308"/>
      <c r="S444" s="1361"/>
      <c r="T444" s="1308"/>
      <c r="U444" s="1308"/>
      <c r="V444" s="1308"/>
      <c r="W444" s="1308"/>
      <c r="X444" s="1308"/>
      <c r="Y444" s="1308"/>
      <c r="Z444" s="229"/>
      <c r="AA444" s="230"/>
      <c r="AB444" s="44" t="s">
        <v>1059</v>
      </c>
      <c r="AC444" s="231"/>
      <c r="AD444" s="231"/>
      <c r="AE444" s="246"/>
      <c r="AF444" s="1350"/>
      <c r="AG444" s="1352"/>
      <c r="AH444" s="1352"/>
      <c r="AI444" s="1350"/>
      <c r="AJ444" s="1352"/>
      <c r="AK444" s="1352"/>
      <c r="AL444" s="772"/>
    </row>
    <row r="445" spans="1:38" ht="11.25" customHeight="1">
      <c r="A445" s="1030" t="s">
        <v>1019</v>
      </c>
      <c r="E445" s="557"/>
      <c r="F445" s="1339"/>
      <c r="G445" s="1340"/>
      <c r="H445" s="1335" t="s">
        <v>159</v>
      </c>
      <c r="I445" s="1347"/>
      <c r="J445" s="1363"/>
      <c r="K445" s="1349"/>
      <c r="L445" s="1079"/>
      <c r="M445" s="1364"/>
      <c r="N445" s="229"/>
      <c r="O445" s="230"/>
      <c r="P445" s="44" t="s">
        <v>1060</v>
      </c>
      <c r="Q445" s="230"/>
      <c r="R445" s="230"/>
      <c r="S445" s="230"/>
      <c r="T445" s="230"/>
      <c r="U445" s="230"/>
      <c r="V445" s="230"/>
      <c r="W445" s="230"/>
      <c r="X445" s="230"/>
      <c r="Y445" s="230"/>
      <c r="Z445" s="230"/>
      <c r="AA445" s="230"/>
      <c r="AB445" s="230"/>
      <c r="AC445" s="230"/>
      <c r="AD445" s="230"/>
      <c r="AE445" s="247"/>
      <c r="AF445" s="1350"/>
      <c r="AG445" s="1352"/>
      <c r="AH445" s="1352"/>
      <c r="AI445" s="1350"/>
      <c r="AJ445" s="1352"/>
      <c r="AK445" s="1352"/>
      <c r="AL445" s="772"/>
    </row>
    <row r="446" spans="1:38" ht="11.25" customHeight="1">
      <c r="A446" s="1030" t="s">
        <v>1019</v>
      </c>
      <c r="B446" s="1030" t="s">
        <v>1051</v>
      </c>
      <c r="E446" s="557"/>
      <c r="F446" s="1339"/>
      <c r="G446" s="1325" t="s">
        <v>103</v>
      </c>
      <c r="H446" s="1335" t="s">
        <v>161</v>
      </c>
      <c r="I446" s="1347" t="s">
        <v>1052</v>
      </c>
      <c r="J446" s="1363" t="s">
        <v>1053</v>
      </c>
      <c r="K446" s="1349" t="s">
        <v>1124</v>
      </c>
      <c r="L446" s="1079" t="s">
        <v>61</v>
      </c>
      <c r="M446" s="1364" t="s">
        <v>1018</v>
      </c>
      <c r="N446" s="242"/>
      <c r="O446" s="243" t="s">
        <v>384</v>
      </c>
      <c r="P446" s="244"/>
      <c r="Q446" s="244"/>
      <c r="R446" s="244"/>
      <c r="S446" s="244"/>
      <c r="T446" s="244"/>
      <c r="U446" s="244"/>
      <c r="V446" s="244"/>
      <c r="W446" s="244"/>
      <c r="X446" s="244"/>
      <c r="Y446" s="244"/>
      <c r="Z446" s="244"/>
      <c r="AA446" s="244"/>
      <c r="AB446" s="244"/>
      <c r="AC446" s="244"/>
      <c r="AD446" s="244"/>
      <c r="AE446" s="244"/>
      <c r="AF446" s="1350">
        <v>4</v>
      </c>
      <c r="AG446" s="1352" t="s">
        <v>1055</v>
      </c>
      <c r="AH446" s="1352" t="s">
        <v>1079</v>
      </c>
      <c r="AI446" s="1350">
        <v>4</v>
      </c>
      <c r="AJ446" s="1352" t="s">
        <v>1055</v>
      </c>
      <c r="AK446" s="1352" t="s">
        <v>1079</v>
      </c>
      <c r="AL446" s="772"/>
    </row>
    <row r="447" spans="1:38" ht="11.25" customHeight="1">
      <c r="A447" s="1030" t="s">
        <v>1019</v>
      </c>
      <c r="E447" s="557"/>
      <c r="F447" s="1339"/>
      <c r="G447" s="1340"/>
      <c r="H447" s="1335" t="s">
        <v>160</v>
      </c>
      <c r="I447" s="1347"/>
      <c r="J447" s="1363"/>
      <c r="K447" s="1349"/>
      <c r="L447" s="1079"/>
      <c r="M447" s="1364"/>
      <c r="N447" s="1355"/>
      <c r="O447" s="1356">
        <v>1</v>
      </c>
      <c r="P447" s="1357" t="s">
        <v>19</v>
      </c>
      <c r="Q447" s="1308" t="s">
        <v>22</v>
      </c>
      <c r="R447" s="1308" t="s">
        <v>22</v>
      </c>
      <c r="S447" s="1308" t="s">
        <v>22</v>
      </c>
      <c r="T447" s="1308" t="s">
        <v>22</v>
      </c>
      <c r="U447" s="1308" t="s">
        <v>22</v>
      </c>
      <c r="V447" s="1308" t="s">
        <v>22</v>
      </c>
      <c r="W447" s="1308" t="s">
        <v>22</v>
      </c>
      <c r="X447" s="1308" t="s">
        <v>22</v>
      </c>
      <c r="Y447" s="1308"/>
      <c r="Z447" s="229"/>
      <c r="AA447" s="230"/>
      <c r="AB447" s="230"/>
      <c r="AC447" s="231"/>
      <c r="AD447" s="231"/>
      <c r="AE447" s="245"/>
      <c r="AF447" s="1350"/>
      <c r="AG447" s="1352"/>
      <c r="AH447" s="1352"/>
      <c r="AI447" s="1350"/>
      <c r="AJ447" s="1352"/>
      <c r="AK447" s="1352"/>
      <c r="AL447" s="772"/>
    </row>
    <row r="448" spans="1:38" ht="11.25" customHeight="1">
      <c r="A448" s="1030" t="s">
        <v>1019</v>
      </c>
      <c r="E448" s="557"/>
      <c r="F448" s="1339"/>
      <c r="G448" s="1340"/>
      <c r="H448" s="1335" t="s">
        <v>160</v>
      </c>
      <c r="I448" s="1347"/>
      <c r="J448" s="1363"/>
      <c r="K448" s="1349"/>
      <c r="L448" s="1079"/>
      <c r="M448" s="1364"/>
      <c r="N448" s="1355"/>
      <c r="O448" s="1356"/>
      <c r="P448" s="1358"/>
      <c r="Q448" s="1308"/>
      <c r="R448" s="1308"/>
      <c r="S448" s="1361"/>
      <c r="T448" s="1308"/>
      <c r="U448" s="1308"/>
      <c r="V448" s="1308"/>
      <c r="W448" s="1308"/>
      <c r="X448" s="1308"/>
      <c r="Y448" s="1308"/>
      <c r="AA448" s="778">
        <v>1</v>
      </c>
      <c r="AB448" s="779" t="s">
        <v>1119</v>
      </c>
      <c r="AC448" s="237">
        <v>44.7301032855286</v>
      </c>
      <c r="AD448" s="779" t="str">
        <f>AB448</f>
        <v xml:space="preserve">  Прибыль направляемая на инвестиции</v>
      </c>
      <c r="AE448" s="237">
        <f>AC448</f>
        <v>44.7301032855286</v>
      </c>
      <c r="AF448" s="1350"/>
      <c r="AG448" s="1352"/>
      <c r="AH448" s="1352"/>
      <c r="AI448" s="1350"/>
      <c r="AJ448" s="1352"/>
      <c r="AK448" s="1352"/>
      <c r="AL448" s="772"/>
    </row>
    <row r="449" spans="1:38" ht="11.25" customHeight="1">
      <c r="A449" s="1030" t="s">
        <v>1019</v>
      </c>
      <c r="E449" s="557"/>
      <c r="F449" s="1340"/>
      <c r="G449" s="1340"/>
      <c r="H449" s="1340"/>
      <c r="I449" s="1340"/>
      <c r="J449" s="1340"/>
      <c r="K449" s="1340"/>
      <c r="L449" s="1340"/>
      <c r="M449" s="1365"/>
      <c r="N449" s="1340"/>
      <c r="O449" s="1340"/>
      <c r="P449" s="1340"/>
      <c r="Q449" s="1340"/>
      <c r="R449" s="1340"/>
      <c r="S449" s="1340"/>
      <c r="T449" s="1340"/>
      <c r="U449" s="1340"/>
      <c r="V449" s="1340"/>
      <c r="W449" s="1340"/>
      <c r="X449" s="1340"/>
      <c r="Y449" s="1340"/>
      <c r="Z449" s="181" t="s">
        <v>103</v>
      </c>
      <c r="AA449" s="780" t="s">
        <v>102</v>
      </c>
      <c r="AB449" s="779" t="s">
        <v>1120</v>
      </c>
      <c r="AC449" s="237">
        <v>19.2698967144714</v>
      </c>
      <c r="AD449" s="779" t="str">
        <f>AB449</f>
        <v xml:space="preserve">     Прочие амортизационные отчисления</v>
      </c>
      <c r="AE449" s="237">
        <f>AC449</f>
        <v>19.2698967144714</v>
      </c>
      <c r="AF449" s="1351"/>
      <c r="AG449" s="1353"/>
      <c r="AH449" s="1353"/>
      <c r="AI449" s="1351"/>
      <c r="AJ449" s="1353"/>
      <c r="AK449" s="1354"/>
      <c r="AL449" s="772"/>
    </row>
    <row r="450" spans="1:38" ht="11.25" customHeight="1">
      <c r="A450" s="1030" t="s">
        <v>1019</v>
      </c>
      <c r="E450" s="557"/>
      <c r="F450" s="1339"/>
      <c r="G450" s="1340"/>
      <c r="H450" s="1335" t="s">
        <v>160</v>
      </c>
      <c r="I450" s="1347"/>
      <c r="J450" s="1363"/>
      <c r="K450" s="1349"/>
      <c r="L450" s="1079"/>
      <c r="M450" s="1364"/>
      <c r="N450" s="1355"/>
      <c r="O450" s="1356"/>
      <c r="P450" s="1359"/>
      <c r="Q450" s="1308"/>
      <c r="R450" s="1308"/>
      <c r="S450" s="1361"/>
      <c r="T450" s="1308"/>
      <c r="U450" s="1308"/>
      <c r="V450" s="1308"/>
      <c r="W450" s="1308"/>
      <c r="X450" s="1308"/>
      <c r="Y450" s="1308"/>
      <c r="Z450" s="229"/>
      <c r="AA450" s="230"/>
      <c r="AB450" s="44" t="s">
        <v>1059</v>
      </c>
      <c r="AC450" s="231"/>
      <c r="AD450" s="231"/>
      <c r="AE450" s="246"/>
      <c r="AF450" s="1350"/>
      <c r="AG450" s="1352"/>
      <c r="AH450" s="1352"/>
      <c r="AI450" s="1350"/>
      <c r="AJ450" s="1352"/>
      <c r="AK450" s="1352"/>
      <c r="AL450" s="772"/>
    </row>
    <row r="451" spans="1:38" ht="11.25" customHeight="1">
      <c r="A451" s="1030" t="s">
        <v>1019</v>
      </c>
      <c r="E451" s="557"/>
      <c r="F451" s="1339"/>
      <c r="G451" s="1340"/>
      <c r="H451" s="1335" t="s">
        <v>160</v>
      </c>
      <c r="I451" s="1347"/>
      <c r="J451" s="1363"/>
      <c r="K451" s="1349"/>
      <c r="L451" s="1079"/>
      <c r="M451" s="1364"/>
      <c r="N451" s="229"/>
      <c r="O451" s="230"/>
      <c r="P451" s="44" t="s">
        <v>1060</v>
      </c>
      <c r="Q451" s="230"/>
      <c r="R451" s="230"/>
      <c r="S451" s="230"/>
      <c r="T451" s="230"/>
      <c r="U451" s="230"/>
      <c r="V451" s="230"/>
      <c r="W451" s="230"/>
      <c r="X451" s="230"/>
      <c r="Y451" s="230"/>
      <c r="Z451" s="230"/>
      <c r="AA451" s="230"/>
      <c r="AB451" s="230"/>
      <c r="AC451" s="230"/>
      <c r="AD451" s="230"/>
      <c r="AE451" s="247"/>
      <c r="AF451" s="1350"/>
      <c r="AG451" s="1352"/>
      <c r="AH451" s="1352"/>
      <c r="AI451" s="1350"/>
      <c r="AJ451" s="1352"/>
      <c r="AK451" s="1352"/>
      <c r="AL451" s="772"/>
    </row>
    <row r="452" spans="1:38" ht="11.25" customHeight="1">
      <c r="A452" s="1030" t="s">
        <v>1019</v>
      </c>
      <c r="B452" s="1030" t="s">
        <v>1051</v>
      </c>
      <c r="E452" s="557"/>
      <c r="F452" s="1339"/>
      <c r="G452" s="1325" t="s">
        <v>103</v>
      </c>
      <c r="H452" s="1335" t="s">
        <v>162</v>
      </c>
      <c r="I452" s="1347" t="s">
        <v>1052</v>
      </c>
      <c r="J452" s="1363" t="s">
        <v>1053</v>
      </c>
      <c r="K452" s="1349" t="s">
        <v>1125</v>
      </c>
      <c r="L452" s="1079" t="s">
        <v>61</v>
      </c>
      <c r="M452" s="1364" t="s">
        <v>1018</v>
      </c>
      <c r="N452" s="242"/>
      <c r="O452" s="243" t="s">
        <v>384</v>
      </c>
      <c r="P452" s="244"/>
      <c r="Q452" s="244"/>
      <c r="R452" s="244"/>
      <c r="S452" s="244"/>
      <c r="T452" s="244"/>
      <c r="U452" s="244"/>
      <c r="V452" s="244"/>
      <c r="W452" s="244"/>
      <c r="X452" s="244"/>
      <c r="Y452" s="244"/>
      <c r="Z452" s="244"/>
      <c r="AA452" s="244"/>
      <c r="AB452" s="244"/>
      <c r="AC452" s="244"/>
      <c r="AD452" s="244"/>
      <c r="AE452" s="244"/>
      <c r="AF452" s="1350">
        <v>3</v>
      </c>
      <c r="AG452" s="1352" t="s">
        <v>1055</v>
      </c>
      <c r="AH452" s="1352" t="s">
        <v>1107</v>
      </c>
      <c r="AI452" s="1350">
        <v>3</v>
      </c>
      <c r="AJ452" s="1352" t="s">
        <v>1055</v>
      </c>
      <c r="AK452" s="1352" t="s">
        <v>1107</v>
      </c>
      <c r="AL452" s="772"/>
    </row>
    <row r="453" spans="1:38" ht="11.25" customHeight="1">
      <c r="A453" s="1030" t="s">
        <v>1019</v>
      </c>
      <c r="E453" s="557"/>
      <c r="F453" s="1339"/>
      <c r="G453" s="1340"/>
      <c r="H453" s="1335" t="s">
        <v>161</v>
      </c>
      <c r="I453" s="1347"/>
      <c r="J453" s="1363"/>
      <c r="K453" s="1349"/>
      <c r="L453" s="1079"/>
      <c r="M453" s="1364"/>
      <c r="N453" s="1355"/>
      <c r="O453" s="1356">
        <v>1</v>
      </c>
      <c r="P453" s="1357" t="s">
        <v>19</v>
      </c>
      <c r="Q453" s="1308" t="s">
        <v>22</v>
      </c>
      <c r="R453" s="1308" t="s">
        <v>22</v>
      </c>
      <c r="S453" s="1308" t="s">
        <v>22</v>
      </c>
      <c r="T453" s="1308" t="s">
        <v>22</v>
      </c>
      <c r="U453" s="1308" t="s">
        <v>22</v>
      </c>
      <c r="V453" s="1308" t="s">
        <v>22</v>
      </c>
      <c r="W453" s="1308" t="s">
        <v>22</v>
      </c>
      <c r="X453" s="1308" t="s">
        <v>22</v>
      </c>
      <c r="Y453" s="1308"/>
      <c r="Z453" s="229"/>
      <c r="AA453" s="230"/>
      <c r="AB453" s="230"/>
      <c r="AC453" s="231"/>
      <c r="AD453" s="231"/>
      <c r="AE453" s="245"/>
      <c r="AF453" s="1350"/>
      <c r="AG453" s="1352"/>
      <c r="AH453" s="1352"/>
      <c r="AI453" s="1350"/>
      <c r="AJ453" s="1352"/>
      <c r="AK453" s="1352"/>
      <c r="AL453" s="772"/>
    </row>
    <row r="454" spans="1:38" ht="11.25" customHeight="1">
      <c r="A454" s="1030" t="s">
        <v>1019</v>
      </c>
      <c r="E454" s="557"/>
      <c r="F454" s="1339"/>
      <c r="G454" s="1340"/>
      <c r="H454" s="1335" t="s">
        <v>161</v>
      </c>
      <c r="I454" s="1347"/>
      <c r="J454" s="1363"/>
      <c r="K454" s="1349"/>
      <c r="L454" s="1079"/>
      <c r="M454" s="1364"/>
      <c r="N454" s="1355"/>
      <c r="O454" s="1356"/>
      <c r="P454" s="1358"/>
      <c r="Q454" s="1308"/>
      <c r="R454" s="1308"/>
      <c r="S454" s="1361"/>
      <c r="T454" s="1308"/>
      <c r="U454" s="1308"/>
      <c r="V454" s="1308"/>
      <c r="W454" s="1308"/>
      <c r="X454" s="1308"/>
      <c r="Y454" s="1308"/>
      <c r="AA454" s="778">
        <v>1</v>
      </c>
      <c r="AB454" s="779" t="s">
        <v>1119</v>
      </c>
      <c r="AC454" s="237">
        <v>280.96096126222699</v>
      </c>
      <c r="AD454" s="779" t="str">
        <f>AB454</f>
        <v xml:space="preserve">  Прибыль направляемая на инвестиции</v>
      </c>
      <c r="AE454" s="237">
        <f>AC454</f>
        <v>280.96096126222699</v>
      </c>
      <c r="AF454" s="1350"/>
      <c r="AG454" s="1352"/>
      <c r="AH454" s="1352"/>
      <c r="AI454" s="1350"/>
      <c r="AJ454" s="1352"/>
      <c r="AK454" s="1352"/>
      <c r="AL454" s="772"/>
    </row>
    <row r="455" spans="1:38" ht="11.25" customHeight="1">
      <c r="A455" s="1030" t="s">
        <v>1019</v>
      </c>
      <c r="E455" s="557"/>
      <c r="F455" s="1340"/>
      <c r="G455" s="1340"/>
      <c r="H455" s="1340"/>
      <c r="I455" s="1340"/>
      <c r="J455" s="1340"/>
      <c r="K455" s="1340"/>
      <c r="L455" s="1340"/>
      <c r="M455" s="1365"/>
      <c r="N455" s="1340"/>
      <c r="O455" s="1340"/>
      <c r="P455" s="1340"/>
      <c r="Q455" s="1340"/>
      <c r="R455" s="1340"/>
      <c r="S455" s="1340"/>
      <c r="T455" s="1340"/>
      <c r="U455" s="1340"/>
      <c r="V455" s="1340"/>
      <c r="W455" s="1340"/>
      <c r="X455" s="1340"/>
      <c r="Y455" s="1340"/>
      <c r="Z455" s="181" t="s">
        <v>103</v>
      </c>
      <c r="AA455" s="780" t="s">
        <v>102</v>
      </c>
      <c r="AB455" s="779" t="s">
        <v>1120</v>
      </c>
      <c r="AC455" s="237">
        <v>121.039038737773</v>
      </c>
      <c r="AD455" s="779" t="str">
        <f>AB455</f>
        <v xml:space="preserve">     Прочие амортизационные отчисления</v>
      </c>
      <c r="AE455" s="237">
        <f>AC455</f>
        <v>121.039038737773</v>
      </c>
      <c r="AF455" s="1351"/>
      <c r="AG455" s="1353"/>
      <c r="AH455" s="1353"/>
      <c r="AI455" s="1351"/>
      <c r="AJ455" s="1353"/>
      <c r="AK455" s="1354"/>
      <c r="AL455" s="772"/>
    </row>
    <row r="456" spans="1:38" ht="11.25" customHeight="1">
      <c r="A456" s="1030" t="s">
        <v>1019</v>
      </c>
      <c r="E456" s="557"/>
      <c r="F456" s="1339"/>
      <c r="G456" s="1340"/>
      <c r="H456" s="1335" t="s">
        <v>161</v>
      </c>
      <c r="I456" s="1347"/>
      <c r="J456" s="1363"/>
      <c r="K456" s="1349"/>
      <c r="L456" s="1079"/>
      <c r="M456" s="1364"/>
      <c r="N456" s="1355"/>
      <c r="O456" s="1356"/>
      <c r="P456" s="1359"/>
      <c r="Q456" s="1308"/>
      <c r="R456" s="1308"/>
      <c r="S456" s="1361"/>
      <c r="T456" s="1308"/>
      <c r="U456" s="1308"/>
      <c r="V456" s="1308"/>
      <c r="W456" s="1308"/>
      <c r="X456" s="1308"/>
      <c r="Y456" s="1308"/>
      <c r="Z456" s="229"/>
      <c r="AA456" s="230"/>
      <c r="AB456" s="44" t="s">
        <v>1059</v>
      </c>
      <c r="AC456" s="231"/>
      <c r="AD456" s="231"/>
      <c r="AE456" s="246"/>
      <c r="AF456" s="1350"/>
      <c r="AG456" s="1352"/>
      <c r="AH456" s="1352"/>
      <c r="AI456" s="1350"/>
      <c r="AJ456" s="1352"/>
      <c r="AK456" s="1352"/>
      <c r="AL456" s="772"/>
    </row>
    <row r="457" spans="1:38" ht="11.25" customHeight="1">
      <c r="A457" s="1030" t="s">
        <v>1019</v>
      </c>
      <c r="E457" s="557"/>
      <c r="F457" s="1339"/>
      <c r="G457" s="1340"/>
      <c r="H457" s="1335" t="s">
        <v>161</v>
      </c>
      <c r="I457" s="1347"/>
      <c r="J457" s="1363"/>
      <c r="K457" s="1349"/>
      <c r="L457" s="1079"/>
      <c r="M457" s="1364"/>
      <c r="N457" s="229"/>
      <c r="O457" s="230"/>
      <c r="P457" s="44" t="s">
        <v>1060</v>
      </c>
      <c r="Q457" s="230"/>
      <c r="R457" s="230"/>
      <c r="S457" s="230"/>
      <c r="T457" s="230"/>
      <c r="U457" s="230"/>
      <c r="V457" s="230"/>
      <c r="W457" s="230"/>
      <c r="X457" s="230"/>
      <c r="Y457" s="230"/>
      <c r="Z457" s="230"/>
      <c r="AA457" s="230"/>
      <c r="AB457" s="230"/>
      <c r="AC457" s="230"/>
      <c r="AD457" s="230"/>
      <c r="AE457" s="247"/>
      <c r="AF457" s="1350"/>
      <c r="AG457" s="1352"/>
      <c r="AH457" s="1352"/>
      <c r="AI457" s="1350"/>
      <c r="AJ457" s="1352"/>
      <c r="AK457" s="1352"/>
      <c r="AL457" s="772"/>
    </row>
    <row r="458" spans="1:38" ht="11.25" customHeight="1">
      <c r="A458" s="1030" t="s">
        <v>1019</v>
      </c>
      <c r="B458" s="1030" t="s">
        <v>1051</v>
      </c>
      <c r="E458" s="557"/>
      <c r="F458" s="1339"/>
      <c r="G458" s="1325" t="s">
        <v>103</v>
      </c>
      <c r="H458" s="1335" t="s">
        <v>163</v>
      </c>
      <c r="I458" s="1347" t="s">
        <v>1052</v>
      </c>
      <c r="J458" s="1363" t="s">
        <v>1053</v>
      </c>
      <c r="K458" s="1349" t="s">
        <v>1126</v>
      </c>
      <c r="L458" s="1079" t="s">
        <v>61</v>
      </c>
      <c r="M458" s="1364" t="s">
        <v>1018</v>
      </c>
      <c r="N458" s="242"/>
      <c r="O458" s="243" t="s">
        <v>384</v>
      </c>
      <c r="P458" s="244"/>
      <c r="Q458" s="244"/>
      <c r="R458" s="244"/>
      <c r="S458" s="244"/>
      <c r="T458" s="244"/>
      <c r="U458" s="244"/>
      <c r="V458" s="244"/>
      <c r="W458" s="244"/>
      <c r="X458" s="244"/>
      <c r="Y458" s="244"/>
      <c r="Z458" s="244"/>
      <c r="AA458" s="244"/>
      <c r="AB458" s="244"/>
      <c r="AC458" s="244"/>
      <c r="AD458" s="244"/>
      <c r="AE458" s="244"/>
      <c r="AF458" s="1350">
        <v>4</v>
      </c>
      <c r="AG458" s="1352" t="s">
        <v>1055</v>
      </c>
      <c r="AH458" s="1352" t="s">
        <v>1079</v>
      </c>
      <c r="AI458" s="1350">
        <v>4</v>
      </c>
      <c r="AJ458" s="1352" t="s">
        <v>1055</v>
      </c>
      <c r="AK458" s="1352" t="s">
        <v>1079</v>
      </c>
      <c r="AL458" s="772"/>
    </row>
    <row r="459" spans="1:38" ht="11.25" customHeight="1">
      <c r="A459" s="1030" t="s">
        <v>1019</v>
      </c>
      <c r="E459" s="557"/>
      <c r="F459" s="1339"/>
      <c r="G459" s="1340"/>
      <c r="H459" s="1335" t="s">
        <v>162</v>
      </c>
      <c r="I459" s="1347"/>
      <c r="J459" s="1363"/>
      <c r="K459" s="1349"/>
      <c r="L459" s="1079"/>
      <c r="M459" s="1364"/>
      <c r="N459" s="1355"/>
      <c r="O459" s="1356">
        <v>1</v>
      </c>
      <c r="P459" s="1357" t="s">
        <v>19</v>
      </c>
      <c r="Q459" s="1308" t="s">
        <v>22</v>
      </c>
      <c r="R459" s="1308" t="s">
        <v>22</v>
      </c>
      <c r="S459" s="1308" t="s">
        <v>22</v>
      </c>
      <c r="T459" s="1308" t="s">
        <v>22</v>
      </c>
      <c r="U459" s="1308" t="s">
        <v>22</v>
      </c>
      <c r="V459" s="1308" t="s">
        <v>22</v>
      </c>
      <c r="W459" s="1308" t="s">
        <v>22</v>
      </c>
      <c r="X459" s="1308" t="s">
        <v>22</v>
      </c>
      <c r="Y459" s="1308"/>
      <c r="Z459" s="229"/>
      <c r="AA459" s="230"/>
      <c r="AB459" s="230"/>
      <c r="AC459" s="231"/>
      <c r="AD459" s="231"/>
      <c r="AE459" s="245"/>
      <c r="AF459" s="1350"/>
      <c r="AG459" s="1352"/>
      <c r="AH459" s="1352"/>
      <c r="AI459" s="1350"/>
      <c r="AJ459" s="1352"/>
      <c r="AK459" s="1352"/>
      <c r="AL459" s="772"/>
    </row>
    <row r="460" spans="1:38" ht="11.25" customHeight="1">
      <c r="A460" s="1030" t="s">
        <v>1019</v>
      </c>
      <c r="E460" s="557"/>
      <c r="F460" s="1339"/>
      <c r="G460" s="1340"/>
      <c r="H460" s="1335" t="s">
        <v>162</v>
      </c>
      <c r="I460" s="1347"/>
      <c r="J460" s="1363"/>
      <c r="K460" s="1349"/>
      <c r="L460" s="1079"/>
      <c r="M460" s="1364"/>
      <c r="N460" s="1355"/>
      <c r="O460" s="1356"/>
      <c r="P460" s="1358"/>
      <c r="Q460" s="1308"/>
      <c r="R460" s="1308"/>
      <c r="S460" s="1361"/>
      <c r="T460" s="1308"/>
      <c r="U460" s="1308"/>
      <c r="V460" s="1308"/>
      <c r="W460" s="1308"/>
      <c r="X460" s="1308"/>
      <c r="Y460" s="1308"/>
      <c r="AA460" s="778">
        <v>1</v>
      </c>
      <c r="AB460" s="779" t="s">
        <v>1119</v>
      </c>
      <c r="AC460" s="237">
        <v>25.8595909619462</v>
      </c>
      <c r="AD460" s="779" t="str">
        <f>AB460</f>
        <v xml:space="preserve">  Прибыль направляемая на инвестиции</v>
      </c>
      <c r="AE460" s="237">
        <f>AC460</f>
        <v>25.8595909619462</v>
      </c>
      <c r="AF460" s="1350"/>
      <c r="AG460" s="1352"/>
      <c r="AH460" s="1352"/>
      <c r="AI460" s="1350"/>
      <c r="AJ460" s="1352"/>
      <c r="AK460" s="1352"/>
      <c r="AL460" s="772"/>
    </row>
    <row r="461" spans="1:38" ht="11.25" customHeight="1">
      <c r="A461" s="1030" t="s">
        <v>1019</v>
      </c>
      <c r="E461" s="557"/>
      <c r="F461" s="1340"/>
      <c r="G461" s="1340"/>
      <c r="H461" s="1340"/>
      <c r="I461" s="1340"/>
      <c r="J461" s="1340"/>
      <c r="K461" s="1340"/>
      <c r="L461" s="1340"/>
      <c r="M461" s="1365"/>
      <c r="N461" s="1340"/>
      <c r="O461" s="1340"/>
      <c r="P461" s="1340"/>
      <c r="Q461" s="1340"/>
      <c r="R461" s="1340"/>
      <c r="S461" s="1340"/>
      <c r="T461" s="1340"/>
      <c r="U461" s="1340"/>
      <c r="V461" s="1340"/>
      <c r="W461" s="1340"/>
      <c r="X461" s="1340"/>
      <c r="Y461" s="1340"/>
      <c r="Z461" s="181" t="s">
        <v>103</v>
      </c>
      <c r="AA461" s="780" t="s">
        <v>102</v>
      </c>
      <c r="AB461" s="779" t="s">
        <v>1120</v>
      </c>
      <c r="AC461" s="237">
        <v>11.1404090380538</v>
      </c>
      <c r="AD461" s="779" t="str">
        <f>AB461</f>
        <v xml:space="preserve">     Прочие амортизационные отчисления</v>
      </c>
      <c r="AE461" s="237">
        <f>AC461</f>
        <v>11.1404090380538</v>
      </c>
      <c r="AF461" s="1351"/>
      <c r="AG461" s="1353"/>
      <c r="AH461" s="1353"/>
      <c r="AI461" s="1351"/>
      <c r="AJ461" s="1353"/>
      <c r="AK461" s="1354"/>
      <c r="AL461" s="772"/>
    </row>
    <row r="462" spans="1:38" ht="11.25" customHeight="1">
      <c r="A462" s="1030" t="s">
        <v>1019</v>
      </c>
      <c r="E462" s="557"/>
      <c r="F462" s="1339"/>
      <c r="G462" s="1340"/>
      <c r="H462" s="1335" t="s">
        <v>162</v>
      </c>
      <c r="I462" s="1347"/>
      <c r="J462" s="1363"/>
      <c r="K462" s="1349"/>
      <c r="L462" s="1079"/>
      <c r="M462" s="1364"/>
      <c r="N462" s="1355"/>
      <c r="O462" s="1356"/>
      <c r="P462" s="1359"/>
      <c r="Q462" s="1308"/>
      <c r="R462" s="1308"/>
      <c r="S462" s="1361"/>
      <c r="T462" s="1308"/>
      <c r="U462" s="1308"/>
      <c r="V462" s="1308"/>
      <c r="W462" s="1308"/>
      <c r="X462" s="1308"/>
      <c r="Y462" s="1308"/>
      <c r="Z462" s="229"/>
      <c r="AA462" s="230"/>
      <c r="AB462" s="44" t="s">
        <v>1059</v>
      </c>
      <c r="AC462" s="231"/>
      <c r="AD462" s="231"/>
      <c r="AE462" s="246"/>
      <c r="AF462" s="1350"/>
      <c r="AG462" s="1352"/>
      <c r="AH462" s="1352"/>
      <c r="AI462" s="1350"/>
      <c r="AJ462" s="1352"/>
      <c r="AK462" s="1352"/>
      <c r="AL462" s="772"/>
    </row>
    <row r="463" spans="1:38" ht="11.25" customHeight="1">
      <c r="A463" s="1030" t="s">
        <v>1019</v>
      </c>
      <c r="E463" s="557"/>
      <c r="F463" s="1339"/>
      <c r="G463" s="1340"/>
      <c r="H463" s="1335" t="s">
        <v>162</v>
      </c>
      <c r="I463" s="1347"/>
      <c r="J463" s="1363"/>
      <c r="K463" s="1349"/>
      <c r="L463" s="1079"/>
      <c r="M463" s="1364"/>
      <c r="N463" s="229"/>
      <c r="O463" s="230"/>
      <c r="P463" s="44" t="s">
        <v>1060</v>
      </c>
      <c r="Q463" s="230"/>
      <c r="R463" s="230"/>
      <c r="S463" s="230"/>
      <c r="T463" s="230"/>
      <c r="U463" s="230"/>
      <c r="V463" s="230"/>
      <c r="W463" s="230"/>
      <c r="X463" s="230"/>
      <c r="Y463" s="230"/>
      <c r="Z463" s="230"/>
      <c r="AA463" s="230"/>
      <c r="AB463" s="230"/>
      <c r="AC463" s="230"/>
      <c r="AD463" s="230"/>
      <c r="AE463" s="247"/>
      <c r="AF463" s="1350"/>
      <c r="AG463" s="1352"/>
      <c r="AH463" s="1352"/>
      <c r="AI463" s="1350"/>
      <c r="AJ463" s="1352"/>
      <c r="AK463" s="1352"/>
      <c r="AL463" s="772"/>
    </row>
    <row r="464" spans="1:38" ht="11.25" customHeight="1">
      <c r="A464" s="1030" t="s">
        <v>1019</v>
      </c>
      <c r="B464" s="1030" t="s">
        <v>1051</v>
      </c>
      <c r="E464" s="557"/>
      <c r="F464" s="1339"/>
      <c r="G464" s="1325" t="s">
        <v>103</v>
      </c>
      <c r="H464" s="1335" t="s">
        <v>1127</v>
      </c>
      <c r="I464" s="1347" t="s">
        <v>1052</v>
      </c>
      <c r="J464" s="1363" t="s">
        <v>1053</v>
      </c>
      <c r="K464" s="1349" t="s">
        <v>1128</v>
      </c>
      <c r="L464" s="1079" t="s">
        <v>61</v>
      </c>
      <c r="M464" s="1364" t="s">
        <v>1018</v>
      </c>
      <c r="N464" s="242"/>
      <c r="O464" s="243" t="s">
        <v>384</v>
      </c>
      <c r="P464" s="244"/>
      <c r="Q464" s="244"/>
      <c r="R464" s="244"/>
      <c r="S464" s="244"/>
      <c r="T464" s="244"/>
      <c r="U464" s="244"/>
      <c r="V464" s="244"/>
      <c r="W464" s="244"/>
      <c r="X464" s="244"/>
      <c r="Y464" s="244"/>
      <c r="Z464" s="244"/>
      <c r="AA464" s="244"/>
      <c r="AB464" s="244"/>
      <c r="AC464" s="244"/>
      <c r="AD464" s="244"/>
      <c r="AE464" s="244"/>
      <c r="AF464" s="1350">
        <v>4</v>
      </c>
      <c r="AG464" s="1352" t="s">
        <v>1055</v>
      </c>
      <c r="AH464" s="1352" t="s">
        <v>1079</v>
      </c>
      <c r="AI464" s="1350">
        <v>4</v>
      </c>
      <c r="AJ464" s="1352" t="s">
        <v>1055</v>
      </c>
      <c r="AK464" s="1352" t="s">
        <v>1079</v>
      </c>
      <c r="AL464" s="772"/>
    </row>
    <row r="465" spans="1:38" ht="11.25" customHeight="1">
      <c r="A465" s="1030" t="s">
        <v>1019</v>
      </c>
      <c r="E465" s="557"/>
      <c r="F465" s="1339"/>
      <c r="G465" s="1340"/>
      <c r="H465" s="1335" t="s">
        <v>163</v>
      </c>
      <c r="I465" s="1347"/>
      <c r="J465" s="1363"/>
      <c r="K465" s="1349"/>
      <c r="L465" s="1079"/>
      <c r="M465" s="1364"/>
      <c r="N465" s="1355"/>
      <c r="O465" s="1356">
        <v>1</v>
      </c>
      <c r="P465" s="1357" t="s">
        <v>19</v>
      </c>
      <c r="Q465" s="1308" t="s">
        <v>22</v>
      </c>
      <c r="R465" s="1308" t="s">
        <v>22</v>
      </c>
      <c r="S465" s="1308" t="s">
        <v>22</v>
      </c>
      <c r="T465" s="1308" t="s">
        <v>22</v>
      </c>
      <c r="U465" s="1308" t="s">
        <v>22</v>
      </c>
      <c r="V465" s="1308" t="s">
        <v>22</v>
      </c>
      <c r="W465" s="1308" t="s">
        <v>22</v>
      </c>
      <c r="X465" s="1308" t="s">
        <v>22</v>
      </c>
      <c r="Y465" s="1308"/>
      <c r="Z465" s="229"/>
      <c r="AA465" s="230"/>
      <c r="AB465" s="230"/>
      <c r="AC465" s="231"/>
      <c r="AD465" s="231"/>
      <c r="AE465" s="245"/>
      <c r="AF465" s="1350"/>
      <c r="AG465" s="1352"/>
      <c r="AH465" s="1352"/>
      <c r="AI465" s="1350"/>
      <c r="AJ465" s="1352"/>
      <c r="AK465" s="1352"/>
      <c r="AL465" s="772"/>
    </row>
    <row r="466" spans="1:38" ht="11.25" customHeight="1">
      <c r="A466" s="1030" t="s">
        <v>1019</v>
      </c>
      <c r="E466" s="557"/>
      <c r="F466" s="1339"/>
      <c r="G466" s="1340"/>
      <c r="H466" s="1335" t="s">
        <v>163</v>
      </c>
      <c r="I466" s="1347"/>
      <c r="J466" s="1363"/>
      <c r="K466" s="1349"/>
      <c r="L466" s="1079"/>
      <c r="M466" s="1364"/>
      <c r="N466" s="1355"/>
      <c r="O466" s="1356"/>
      <c r="P466" s="1358"/>
      <c r="Q466" s="1308"/>
      <c r="R466" s="1308"/>
      <c r="S466" s="1361"/>
      <c r="T466" s="1308"/>
      <c r="U466" s="1308"/>
      <c r="V466" s="1308"/>
      <c r="W466" s="1308"/>
      <c r="X466" s="1308"/>
      <c r="Y466" s="1308"/>
      <c r="AA466" s="778">
        <v>1</v>
      </c>
      <c r="AB466" s="779" t="s">
        <v>1119</v>
      </c>
      <c r="AC466" s="237">
        <v>220.155977108461</v>
      </c>
      <c r="AD466" s="779" t="str">
        <f>AB466</f>
        <v xml:space="preserve">  Прибыль направляемая на инвестиции</v>
      </c>
      <c r="AE466" s="237">
        <f>AC466</f>
        <v>220.155977108461</v>
      </c>
      <c r="AF466" s="1350"/>
      <c r="AG466" s="1352"/>
      <c r="AH466" s="1352"/>
      <c r="AI466" s="1350"/>
      <c r="AJ466" s="1352"/>
      <c r="AK466" s="1352"/>
      <c r="AL466" s="772"/>
    </row>
    <row r="467" spans="1:38" ht="11.25" customHeight="1">
      <c r="A467" s="1030" t="s">
        <v>1019</v>
      </c>
      <c r="E467" s="557"/>
      <c r="F467" s="1340"/>
      <c r="G467" s="1340"/>
      <c r="H467" s="1340"/>
      <c r="I467" s="1340"/>
      <c r="J467" s="1340"/>
      <c r="K467" s="1340"/>
      <c r="L467" s="1340"/>
      <c r="M467" s="1365"/>
      <c r="N467" s="1340"/>
      <c r="O467" s="1340"/>
      <c r="P467" s="1340"/>
      <c r="Q467" s="1340"/>
      <c r="R467" s="1340"/>
      <c r="S467" s="1340"/>
      <c r="T467" s="1340"/>
      <c r="U467" s="1340"/>
      <c r="V467" s="1340"/>
      <c r="W467" s="1340"/>
      <c r="X467" s="1340"/>
      <c r="Y467" s="1340"/>
      <c r="Z467" s="181" t="s">
        <v>103</v>
      </c>
      <c r="AA467" s="780" t="s">
        <v>102</v>
      </c>
      <c r="AB467" s="779" t="s">
        <v>1120</v>
      </c>
      <c r="AC467" s="237">
        <v>94.844022891538799</v>
      </c>
      <c r="AD467" s="779" t="str">
        <f>AB467</f>
        <v xml:space="preserve">     Прочие амортизационные отчисления</v>
      </c>
      <c r="AE467" s="237">
        <f>AC467</f>
        <v>94.844022891538799</v>
      </c>
      <c r="AF467" s="1351"/>
      <c r="AG467" s="1353"/>
      <c r="AH467" s="1353"/>
      <c r="AI467" s="1351"/>
      <c r="AJ467" s="1353"/>
      <c r="AK467" s="1354"/>
      <c r="AL467" s="772"/>
    </row>
    <row r="468" spans="1:38" ht="11.25" customHeight="1">
      <c r="A468" s="1030" t="s">
        <v>1019</v>
      </c>
      <c r="E468" s="557"/>
      <c r="F468" s="1339"/>
      <c r="G468" s="1340"/>
      <c r="H468" s="1335" t="s">
        <v>163</v>
      </c>
      <c r="I468" s="1347"/>
      <c r="J468" s="1363"/>
      <c r="K468" s="1349"/>
      <c r="L468" s="1079"/>
      <c r="M468" s="1364"/>
      <c r="N468" s="1355"/>
      <c r="O468" s="1356"/>
      <c r="P468" s="1359"/>
      <c r="Q468" s="1308"/>
      <c r="R468" s="1308"/>
      <c r="S468" s="1361"/>
      <c r="T468" s="1308"/>
      <c r="U468" s="1308"/>
      <c r="V468" s="1308"/>
      <c r="W468" s="1308"/>
      <c r="X468" s="1308"/>
      <c r="Y468" s="1308"/>
      <c r="Z468" s="229"/>
      <c r="AA468" s="230"/>
      <c r="AB468" s="44" t="s">
        <v>1059</v>
      </c>
      <c r="AC468" s="231"/>
      <c r="AD468" s="231"/>
      <c r="AE468" s="246"/>
      <c r="AF468" s="1350"/>
      <c r="AG468" s="1352"/>
      <c r="AH468" s="1352"/>
      <c r="AI468" s="1350"/>
      <c r="AJ468" s="1352"/>
      <c r="AK468" s="1352"/>
      <c r="AL468" s="772"/>
    </row>
    <row r="469" spans="1:38" ht="11.25" customHeight="1">
      <c r="A469" s="1030" t="s">
        <v>1019</v>
      </c>
      <c r="E469" s="557"/>
      <c r="F469" s="1339"/>
      <c r="G469" s="1340"/>
      <c r="H469" s="1335" t="s">
        <v>163</v>
      </c>
      <c r="I469" s="1347"/>
      <c r="J469" s="1363"/>
      <c r="K469" s="1349"/>
      <c r="L469" s="1079"/>
      <c r="M469" s="1364"/>
      <c r="N469" s="229"/>
      <c r="O469" s="230"/>
      <c r="P469" s="44" t="s">
        <v>1060</v>
      </c>
      <c r="Q469" s="230"/>
      <c r="R469" s="230"/>
      <c r="S469" s="230"/>
      <c r="T469" s="230"/>
      <c r="U469" s="230"/>
      <c r="V469" s="230"/>
      <c r="W469" s="230"/>
      <c r="X469" s="230"/>
      <c r="Y469" s="230"/>
      <c r="Z469" s="230"/>
      <c r="AA469" s="230"/>
      <c r="AB469" s="230"/>
      <c r="AC469" s="230"/>
      <c r="AD469" s="230"/>
      <c r="AE469" s="247"/>
      <c r="AF469" s="1350"/>
      <c r="AG469" s="1352"/>
      <c r="AH469" s="1352"/>
      <c r="AI469" s="1350"/>
      <c r="AJ469" s="1352"/>
      <c r="AK469" s="1352"/>
      <c r="AL469" s="772"/>
    </row>
    <row r="470" spans="1:38" ht="11.25" customHeight="1">
      <c r="A470" s="1030" t="s">
        <v>1019</v>
      </c>
      <c r="B470" s="1030" t="s">
        <v>1051</v>
      </c>
      <c r="E470" s="557"/>
      <c r="F470" s="1339"/>
      <c r="G470" s="1325" t="s">
        <v>103</v>
      </c>
      <c r="H470" s="1335" t="s">
        <v>1129</v>
      </c>
      <c r="I470" s="1347" t="s">
        <v>1052</v>
      </c>
      <c r="J470" s="1363" t="s">
        <v>1053</v>
      </c>
      <c r="K470" s="1349" t="s">
        <v>1130</v>
      </c>
      <c r="L470" s="1079" t="s">
        <v>61</v>
      </c>
      <c r="M470" s="1364" t="s">
        <v>1018</v>
      </c>
      <c r="N470" s="242"/>
      <c r="O470" s="243" t="s">
        <v>384</v>
      </c>
      <c r="P470" s="244"/>
      <c r="Q470" s="244"/>
      <c r="R470" s="244"/>
      <c r="S470" s="244"/>
      <c r="T470" s="244"/>
      <c r="U470" s="244"/>
      <c r="V470" s="244"/>
      <c r="W470" s="244"/>
      <c r="X470" s="244"/>
      <c r="Y470" s="244"/>
      <c r="Z470" s="244"/>
      <c r="AA470" s="244"/>
      <c r="AB470" s="244"/>
      <c r="AC470" s="244"/>
      <c r="AD470" s="244"/>
      <c r="AE470" s="244"/>
      <c r="AF470" s="1350">
        <v>3</v>
      </c>
      <c r="AG470" s="1352" t="s">
        <v>1055</v>
      </c>
      <c r="AH470" s="1352" t="s">
        <v>1107</v>
      </c>
      <c r="AI470" s="1350">
        <v>3</v>
      </c>
      <c r="AJ470" s="1352" t="s">
        <v>1055</v>
      </c>
      <c r="AK470" s="1352" t="s">
        <v>1107</v>
      </c>
      <c r="AL470" s="772"/>
    </row>
    <row r="471" spans="1:38" ht="11.25" customHeight="1">
      <c r="A471" s="1030" t="s">
        <v>1019</v>
      </c>
      <c r="E471" s="557"/>
      <c r="F471" s="1339"/>
      <c r="G471" s="1340"/>
      <c r="H471" s="1335" t="s">
        <v>1127</v>
      </c>
      <c r="I471" s="1347"/>
      <c r="J471" s="1363"/>
      <c r="K471" s="1349"/>
      <c r="L471" s="1079"/>
      <c r="M471" s="1364"/>
      <c r="N471" s="1355"/>
      <c r="O471" s="1356">
        <v>1</v>
      </c>
      <c r="P471" s="1357" t="s">
        <v>19</v>
      </c>
      <c r="Q471" s="1308" t="s">
        <v>22</v>
      </c>
      <c r="R471" s="1308" t="s">
        <v>22</v>
      </c>
      <c r="S471" s="1308" t="s">
        <v>22</v>
      </c>
      <c r="T471" s="1308" t="s">
        <v>22</v>
      </c>
      <c r="U471" s="1308" t="s">
        <v>22</v>
      </c>
      <c r="V471" s="1308" t="s">
        <v>22</v>
      </c>
      <c r="W471" s="1308" t="s">
        <v>22</v>
      </c>
      <c r="X471" s="1308" t="s">
        <v>22</v>
      </c>
      <c r="Y471" s="1308"/>
      <c r="Z471" s="229"/>
      <c r="AA471" s="230"/>
      <c r="AB471" s="230"/>
      <c r="AC471" s="231"/>
      <c r="AD471" s="231"/>
      <c r="AE471" s="245"/>
      <c r="AF471" s="1350"/>
      <c r="AG471" s="1352"/>
      <c r="AH471" s="1352"/>
      <c r="AI471" s="1350"/>
      <c r="AJ471" s="1352"/>
      <c r="AK471" s="1352"/>
      <c r="AL471" s="772"/>
    </row>
    <row r="472" spans="1:38" ht="11.25" customHeight="1">
      <c r="A472" s="1030" t="s">
        <v>1019</v>
      </c>
      <c r="E472" s="557"/>
      <c r="F472" s="1339"/>
      <c r="G472" s="1340"/>
      <c r="H472" s="1335" t="s">
        <v>1127</v>
      </c>
      <c r="I472" s="1347"/>
      <c r="J472" s="1363"/>
      <c r="K472" s="1349"/>
      <c r="L472" s="1079"/>
      <c r="M472" s="1364"/>
      <c r="N472" s="1355"/>
      <c r="O472" s="1356"/>
      <c r="P472" s="1358"/>
      <c r="Q472" s="1308"/>
      <c r="R472" s="1308"/>
      <c r="S472" s="1361"/>
      <c r="T472" s="1308"/>
      <c r="U472" s="1308"/>
      <c r="V472" s="1308"/>
      <c r="W472" s="1308"/>
      <c r="X472" s="1308"/>
      <c r="Y472" s="1308"/>
      <c r="AA472" s="778">
        <v>1</v>
      </c>
      <c r="AB472" s="779" t="s">
        <v>1119</v>
      </c>
      <c r="AC472" s="237">
        <v>451.49448003830503</v>
      </c>
      <c r="AD472" s="779" t="str">
        <f>AB472</f>
        <v xml:space="preserve">  Прибыль направляемая на инвестиции</v>
      </c>
      <c r="AE472" s="237">
        <f>AC472</f>
        <v>451.49448003830503</v>
      </c>
      <c r="AF472" s="1350"/>
      <c r="AG472" s="1352"/>
      <c r="AH472" s="1352"/>
      <c r="AI472" s="1350"/>
      <c r="AJ472" s="1352"/>
      <c r="AK472" s="1352"/>
      <c r="AL472" s="772"/>
    </row>
    <row r="473" spans="1:38" ht="11.25" customHeight="1">
      <c r="A473" s="1030" t="s">
        <v>1019</v>
      </c>
      <c r="E473" s="557"/>
      <c r="F473" s="1340"/>
      <c r="G473" s="1340"/>
      <c r="H473" s="1340"/>
      <c r="I473" s="1340"/>
      <c r="J473" s="1340"/>
      <c r="K473" s="1340"/>
      <c r="L473" s="1340"/>
      <c r="M473" s="1365"/>
      <c r="N473" s="1340"/>
      <c r="O473" s="1340"/>
      <c r="P473" s="1340"/>
      <c r="Q473" s="1340"/>
      <c r="R473" s="1340"/>
      <c r="S473" s="1340"/>
      <c r="T473" s="1340"/>
      <c r="U473" s="1340"/>
      <c r="V473" s="1340"/>
      <c r="W473" s="1340"/>
      <c r="X473" s="1340"/>
      <c r="Y473" s="1340"/>
      <c r="Z473" s="181" t="s">
        <v>103</v>
      </c>
      <c r="AA473" s="780" t="s">
        <v>102</v>
      </c>
      <c r="AB473" s="779" t="s">
        <v>1120</v>
      </c>
      <c r="AC473" s="237">
        <v>194.505519961695</v>
      </c>
      <c r="AD473" s="779" t="str">
        <f>AB473</f>
        <v xml:space="preserve">     Прочие амортизационные отчисления</v>
      </c>
      <c r="AE473" s="237">
        <f>AC473</f>
        <v>194.505519961695</v>
      </c>
      <c r="AF473" s="1351"/>
      <c r="AG473" s="1353"/>
      <c r="AH473" s="1353"/>
      <c r="AI473" s="1351"/>
      <c r="AJ473" s="1353"/>
      <c r="AK473" s="1354"/>
      <c r="AL473" s="772"/>
    </row>
    <row r="474" spans="1:38" ht="11.25" customHeight="1">
      <c r="A474" s="1030" t="s">
        <v>1019</v>
      </c>
      <c r="E474" s="557"/>
      <c r="F474" s="1339"/>
      <c r="G474" s="1340"/>
      <c r="H474" s="1335" t="s">
        <v>1127</v>
      </c>
      <c r="I474" s="1347"/>
      <c r="J474" s="1363"/>
      <c r="K474" s="1349"/>
      <c r="L474" s="1079"/>
      <c r="M474" s="1364"/>
      <c r="N474" s="1355"/>
      <c r="O474" s="1356"/>
      <c r="P474" s="1359"/>
      <c r="Q474" s="1308"/>
      <c r="R474" s="1308"/>
      <c r="S474" s="1361"/>
      <c r="T474" s="1308"/>
      <c r="U474" s="1308"/>
      <c r="V474" s="1308"/>
      <c r="W474" s="1308"/>
      <c r="X474" s="1308"/>
      <c r="Y474" s="1308"/>
      <c r="Z474" s="229"/>
      <c r="AA474" s="230"/>
      <c r="AB474" s="44" t="s">
        <v>1059</v>
      </c>
      <c r="AC474" s="231"/>
      <c r="AD474" s="231"/>
      <c r="AE474" s="246"/>
      <c r="AF474" s="1350"/>
      <c r="AG474" s="1352"/>
      <c r="AH474" s="1352"/>
      <c r="AI474" s="1350"/>
      <c r="AJ474" s="1352"/>
      <c r="AK474" s="1352"/>
      <c r="AL474" s="772"/>
    </row>
    <row r="475" spans="1:38" ht="11.25" customHeight="1">
      <c r="A475" s="1030" t="s">
        <v>1019</v>
      </c>
      <c r="E475" s="557"/>
      <c r="F475" s="1339"/>
      <c r="G475" s="1340"/>
      <c r="H475" s="1335" t="s">
        <v>1127</v>
      </c>
      <c r="I475" s="1347"/>
      <c r="J475" s="1363"/>
      <c r="K475" s="1349"/>
      <c r="L475" s="1079"/>
      <c r="M475" s="1364"/>
      <c r="N475" s="229"/>
      <c r="O475" s="230"/>
      <c r="P475" s="44" t="s">
        <v>1060</v>
      </c>
      <c r="Q475" s="230"/>
      <c r="R475" s="230"/>
      <c r="S475" s="230"/>
      <c r="T475" s="230"/>
      <c r="U475" s="230"/>
      <c r="V475" s="230"/>
      <c r="W475" s="230"/>
      <c r="X475" s="230"/>
      <c r="Y475" s="230"/>
      <c r="Z475" s="230"/>
      <c r="AA475" s="230"/>
      <c r="AB475" s="230"/>
      <c r="AC475" s="230"/>
      <c r="AD475" s="230"/>
      <c r="AE475" s="247"/>
      <c r="AF475" s="1350"/>
      <c r="AG475" s="1352"/>
      <c r="AH475" s="1352"/>
      <c r="AI475" s="1350"/>
      <c r="AJ475" s="1352"/>
      <c r="AK475" s="1352"/>
      <c r="AL475" s="772"/>
    </row>
    <row r="476" spans="1:38" ht="11.25" customHeight="1">
      <c r="A476" s="1030" t="s">
        <v>1019</v>
      </c>
      <c r="B476" s="1030" t="s">
        <v>1051</v>
      </c>
      <c r="E476" s="557"/>
      <c r="F476" s="1339"/>
      <c r="G476" s="1325" t="s">
        <v>103</v>
      </c>
      <c r="H476" s="1335" t="s">
        <v>1131</v>
      </c>
      <c r="I476" s="1347" t="s">
        <v>1052</v>
      </c>
      <c r="J476" s="1363" t="s">
        <v>1093</v>
      </c>
      <c r="K476" s="1349" t="s">
        <v>1094</v>
      </c>
      <c r="L476" s="1079" t="s">
        <v>61</v>
      </c>
      <c r="M476" s="1364" t="s">
        <v>1018</v>
      </c>
      <c r="N476" s="242"/>
      <c r="O476" s="243" t="s">
        <v>384</v>
      </c>
      <c r="P476" s="244"/>
      <c r="Q476" s="244"/>
      <c r="R476" s="244"/>
      <c r="S476" s="244"/>
      <c r="T476" s="244"/>
      <c r="U476" s="244"/>
      <c r="V476" s="244"/>
      <c r="W476" s="244"/>
      <c r="X476" s="244"/>
      <c r="Y476" s="244"/>
      <c r="Z476" s="244"/>
      <c r="AA476" s="244"/>
      <c r="AB476" s="244"/>
      <c r="AC476" s="244"/>
      <c r="AD476" s="244"/>
      <c r="AE476" s="244"/>
      <c r="AF476" s="1350">
        <v>10</v>
      </c>
      <c r="AG476" s="1352" t="s">
        <v>1055</v>
      </c>
      <c r="AH476" s="1352" t="s">
        <v>1095</v>
      </c>
      <c r="AI476" s="1350">
        <v>10</v>
      </c>
      <c r="AJ476" s="1352" t="s">
        <v>1055</v>
      </c>
      <c r="AK476" s="1352" t="s">
        <v>1095</v>
      </c>
      <c r="AL476" s="772"/>
    </row>
    <row r="477" spans="1:38" ht="11.25" customHeight="1">
      <c r="A477" s="1030" t="s">
        <v>1019</v>
      </c>
      <c r="E477" s="557"/>
      <c r="F477" s="1339"/>
      <c r="G477" s="1340"/>
      <c r="H477" s="1335" t="s">
        <v>1129</v>
      </c>
      <c r="I477" s="1347"/>
      <c r="J477" s="1363"/>
      <c r="K477" s="1349"/>
      <c r="L477" s="1079"/>
      <c r="M477" s="1364"/>
      <c r="N477" s="1355"/>
      <c r="O477" s="1356">
        <v>1</v>
      </c>
      <c r="P477" s="1357" t="s">
        <v>19</v>
      </c>
      <c r="Q477" s="1308" t="s">
        <v>22</v>
      </c>
      <c r="R477" s="1308" t="s">
        <v>22</v>
      </c>
      <c r="S477" s="1308" t="s">
        <v>22</v>
      </c>
      <c r="T477" s="1308" t="s">
        <v>22</v>
      </c>
      <c r="U477" s="1308" t="s">
        <v>22</v>
      </c>
      <c r="V477" s="1308" t="s">
        <v>22</v>
      </c>
      <c r="W477" s="1308" t="s">
        <v>22</v>
      </c>
      <c r="X477" s="1308" t="s">
        <v>22</v>
      </c>
      <c r="Y477" s="1308"/>
      <c r="Z477" s="229"/>
      <c r="AA477" s="230"/>
      <c r="AB477" s="230"/>
      <c r="AC477" s="231"/>
      <c r="AD477" s="231"/>
      <c r="AE477" s="245"/>
      <c r="AF477" s="1350"/>
      <c r="AG477" s="1352"/>
      <c r="AH477" s="1352"/>
      <c r="AI477" s="1350"/>
      <c r="AJ477" s="1352"/>
      <c r="AK477" s="1352"/>
      <c r="AL477" s="772"/>
    </row>
    <row r="478" spans="1:38" ht="11.25" customHeight="1">
      <c r="A478" s="1030" t="s">
        <v>1019</v>
      </c>
      <c r="E478" s="557"/>
      <c r="F478" s="1339"/>
      <c r="G478" s="1340"/>
      <c r="H478" s="1335" t="s">
        <v>1129</v>
      </c>
      <c r="I478" s="1347"/>
      <c r="J478" s="1363"/>
      <c r="K478" s="1349"/>
      <c r="L478" s="1079"/>
      <c r="M478" s="1364"/>
      <c r="N478" s="1355"/>
      <c r="O478" s="1356"/>
      <c r="P478" s="1358"/>
      <c r="Q478" s="1308"/>
      <c r="R478" s="1308"/>
      <c r="S478" s="1361"/>
      <c r="T478" s="1308"/>
      <c r="U478" s="1308"/>
      <c r="V478" s="1308"/>
      <c r="W478" s="1308"/>
      <c r="X478" s="1308"/>
      <c r="Y478" s="1308"/>
      <c r="AA478" s="778">
        <v>1</v>
      </c>
      <c r="AB478" s="779" t="s">
        <v>1119</v>
      </c>
      <c r="AC478" s="237">
        <v>22365.051642764302</v>
      </c>
      <c r="AD478" s="779" t="str">
        <f>AB478</f>
        <v xml:space="preserve">  Прибыль направляемая на инвестиции</v>
      </c>
      <c r="AE478" s="237">
        <f>AC478</f>
        <v>22365.051642764302</v>
      </c>
      <c r="AF478" s="1350"/>
      <c r="AG478" s="1352"/>
      <c r="AH478" s="1352"/>
      <c r="AI478" s="1350"/>
      <c r="AJ478" s="1352"/>
      <c r="AK478" s="1352"/>
      <c r="AL478" s="772"/>
    </row>
    <row r="479" spans="1:38" ht="11.25" customHeight="1">
      <c r="A479" s="1030" t="s">
        <v>1019</v>
      </c>
      <c r="E479" s="557"/>
      <c r="F479" s="1340"/>
      <c r="G479" s="1340"/>
      <c r="H479" s="1340"/>
      <c r="I479" s="1340"/>
      <c r="J479" s="1340"/>
      <c r="K479" s="1340"/>
      <c r="L479" s="1340"/>
      <c r="M479" s="1365"/>
      <c r="N479" s="1340"/>
      <c r="O479" s="1340"/>
      <c r="P479" s="1340"/>
      <c r="Q479" s="1340"/>
      <c r="R479" s="1340"/>
      <c r="S479" s="1340"/>
      <c r="T479" s="1340"/>
      <c r="U479" s="1340"/>
      <c r="V479" s="1340"/>
      <c r="W479" s="1340"/>
      <c r="X479" s="1340"/>
      <c r="Y479" s="1340"/>
      <c r="Z479" s="181" t="s">
        <v>103</v>
      </c>
      <c r="AA479" s="780" t="s">
        <v>102</v>
      </c>
      <c r="AB479" s="779" t="s">
        <v>1120</v>
      </c>
      <c r="AC479" s="237">
        <v>9634.9483572356894</v>
      </c>
      <c r="AD479" s="779" t="str">
        <f>AB479</f>
        <v xml:space="preserve">     Прочие амортизационные отчисления</v>
      </c>
      <c r="AE479" s="237">
        <f>AC479</f>
        <v>9634.9483572356894</v>
      </c>
      <c r="AF479" s="1351"/>
      <c r="AG479" s="1353"/>
      <c r="AH479" s="1353"/>
      <c r="AI479" s="1351"/>
      <c r="AJ479" s="1353"/>
      <c r="AK479" s="1354"/>
      <c r="AL479" s="772"/>
    </row>
    <row r="480" spans="1:38" ht="11.25" customHeight="1">
      <c r="A480" s="1030" t="s">
        <v>1019</v>
      </c>
      <c r="E480" s="557"/>
      <c r="F480" s="1339"/>
      <c r="G480" s="1340"/>
      <c r="H480" s="1335" t="s">
        <v>1129</v>
      </c>
      <c r="I480" s="1347"/>
      <c r="J480" s="1363"/>
      <c r="K480" s="1349"/>
      <c r="L480" s="1079"/>
      <c r="M480" s="1364"/>
      <c r="N480" s="1355"/>
      <c r="O480" s="1356"/>
      <c r="P480" s="1359"/>
      <c r="Q480" s="1308"/>
      <c r="R480" s="1308"/>
      <c r="S480" s="1361"/>
      <c r="T480" s="1308"/>
      <c r="U480" s="1308"/>
      <c r="V480" s="1308"/>
      <c r="W480" s="1308"/>
      <c r="X480" s="1308"/>
      <c r="Y480" s="1308"/>
      <c r="Z480" s="229"/>
      <c r="AA480" s="230"/>
      <c r="AB480" s="44" t="s">
        <v>1059</v>
      </c>
      <c r="AC480" s="231"/>
      <c r="AD480" s="231"/>
      <c r="AE480" s="246"/>
      <c r="AF480" s="1350"/>
      <c r="AG480" s="1352"/>
      <c r="AH480" s="1352"/>
      <c r="AI480" s="1350"/>
      <c r="AJ480" s="1352"/>
      <c r="AK480" s="1352"/>
      <c r="AL480" s="772"/>
    </row>
    <row r="481" spans="1:38" ht="11.25" customHeight="1">
      <c r="A481" s="1030" t="s">
        <v>1019</v>
      </c>
      <c r="E481" s="557"/>
      <c r="F481" s="1339"/>
      <c r="G481" s="1340"/>
      <c r="H481" s="1335" t="s">
        <v>1129</v>
      </c>
      <c r="I481" s="1347"/>
      <c r="J481" s="1363"/>
      <c r="K481" s="1349"/>
      <c r="L481" s="1079"/>
      <c r="M481" s="1364"/>
      <c r="N481" s="229"/>
      <c r="O481" s="230"/>
      <c r="P481" s="44" t="s">
        <v>1060</v>
      </c>
      <c r="Q481" s="230"/>
      <c r="R481" s="230"/>
      <c r="S481" s="230"/>
      <c r="T481" s="230"/>
      <c r="U481" s="230"/>
      <c r="V481" s="230"/>
      <c r="W481" s="230"/>
      <c r="X481" s="230"/>
      <c r="Y481" s="230"/>
      <c r="Z481" s="230"/>
      <c r="AA481" s="230"/>
      <c r="AB481" s="230"/>
      <c r="AC481" s="230"/>
      <c r="AD481" s="230"/>
      <c r="AE481" s="247"/>
      <c r="AF481" s="1350"/>
      <c r="AG481" s="1352"/>
      <c r="AH481" s="1352"/>
      <c r="AI481" s="1350"/>
      <c r="AJ481" s="1352"/>
      <c r="AK481" s="1352"/>
      <c r="AL481" s="772"/>
    </row>
    <row r="482" spans="1:38" ht="11.25" customHeight="1">
      <c r="A482" s="1030" t="s">
        <v>1019</v>
      </c>
      <c r="B482" s="1030" t="s">
        <v>22</v>
      </c>
      <c r="E482" s="557"/>
      <c r="F482" s="1339"/>
      <c r="G482" s="1325" t="s">
        <v>103</v>
      </c>
      <c r="H482" s="1335" t="s">
        <v>1132</v>
      </c>
      <c r="I482" s="1347" t="s">
        <v>1111</v>
      </c>
      <c r="J482" s="1360" t="s">
        <v>22</v>
      </c>
      <c r="K482" s="1349" t="s">
        <v>1133</v>
      </c>
      <c r="L482" s="1079" t="s">
        <v>19</v>
      </c>
      <c r="M482" s="1080"/>
      <c r="N482" s="242"/>
      <c r="O482" s="243" t="s">
        <v>384</v>
      </c>
      <c r="P482" s="244"/>
      <c r="Q482" s="244"/>
      <c r="R482" s="244"/>
      <c r="S482" s="244"/>
      <c r="T482" s="244"/>
      <c r="U482" s="244"/>
      <c r="V482" s="244"/>
      <c r="W482" s="244"/>
      <c r="X482" s="244"/>
      <c r="Y482" s="244"/>
      <c r="Z482" s="244"/>
      <c r="AA482" s="244"/>
      <c r="AB482" s="244"/>
      <c r="AC482" s="244"/>
      <c r="AD482" s="244"/>
      <c r="AE482" s="244"/>
      <c r="AF482" s="1350">
        <v>4</v>
      </c>
      <c r="AG482" s="1352" t="s">
        <v>1055</v>
      </c>
      <c r="AH482" s="1352" t="s">
        <v>1079</v>
      </c>
      <c r="AI482" s="1350">
        <v>4</v>
      </c>
      <c r="AJ482" s="1352" t="s">
        <v>1055</v>
      </c>
      <c r="AK482" s="1352" t="s">
        <v>1079</v>
      </c>
      <c r="AL482" s="772"/>
    </row>
    <row r="483" spans="1:38" ht="11.25" customHeight="1">
      <c r="A483" s="1030" t="s">
        <v>1019</v>
      </c>
      <c r="E483" s="557"/>
      <c r="F483" s="1339"/>
      <c r="G483" s="1340"/>
      <c r="H483" s="1335" t="s">
        <v>1131</v>
      </c>
      <c r="I483" s="1347"/>
      <c r="J483" s="1360"/>
      <c r="K483" s="1349"/>
      <c r="L483" s="1079"/>
      <c r="M483" s="1080"/>
      <c r="N483" s="1355"/>
      <c r="O483" s="1356">
        <v>1</v>
      </c>
      <c r="P483" s="1357" t="s">
        <v>19</v>
      </c>
      <c r="Q483" s="1308" t="s">
        <v>22</v>
      </c>
      <c r="R483" s="1308" t="s">
        <v>22</v>
      </c>
      <c r="S483" s="1308" t="s">
        <v>22</v>
      </c>
      <c r="T483" s="1308" t="s">
        <v>22</v>
      </c>
      <c r="U483" s="1308" t="s">
        <v>22</v>
      </c>
      <c r="V483" s="1308" t="s">
        <v>22</v>
      </c>
      <c r="W483" s="1308" t="s">
        <v>22</v>
      </c>
      <c r="X483" s="1308" t="s">
        <v>22</v>
      </c>
      <c r="Y483" s="1308"/>
      <c r="Z483" s="229"/>
      <c r="AA483" s="230"/>
      <c r="AB483" s="230"/>
      <c r="AC483" s="231"/>
      <c r="AD483" s="231"/>
      <c r="AE483" s="245"/>
      <c r="AF483" s="1350"/>
      <c r="AG483" s="1352"/>
      <c r="AH483" s="1352"/>
      <c r="AI483" s="1350"/>
      <c r="AJ483" s="1352"/>
      <c r="AK483" s="1352"/>
      <c r="AL483" s="772"/>
    </row>
    <row r="484" spans="1:38" ht="11.25" customHeight="1">
      <c r="A484" s="1030" t="s">
        <v>1019</v>
      </c>
      <c r="E484" s="557"/>
      <c r="F484" s="1339"/>
      <c r="G484" s="1340"/>
      <c r="H484" s="1335" t="s">
        <v>1131</v>
      </c>
      <c r="I484" s="1347"/>
      <c r="J484" s="1360"/>
      <c r="K484" s="1349"/>
      <c r="L484" s="1079"/>
      <c r="M484" s="1080"/>
      <c r="N484" s="1355"/>
      <c r="O484" s="1356"/>
      <c r="P484" s="1358"/>
      <c r="Q484" s="1308"/>
      <c r="R484" s="1308"/>
      <c r="S484" s="1361"/>
      <c r="T484" s="1308"/>
      <c r="U484" s="1308"/>
      <c r="V484" s="1308"/>
      <c r="W484" s="1308"/>
      <c r="X484" s="1308"/>
      <c r="Y484" s="1308"/>
      <c r="AA484" s="778">
        <v>1</v>
      </c>
      <c r="AB484" s="779" t="s">
        <v>1119</v>
      </c>
      <c r="AC484" s="237">
        <v>60.804984153765503</v>
      </c>
      <c r="AD484" s="779" t="str">
        <f>AB484</f>
        <v xml:space="preserve">  Прибыль направляемая на инвестиции</v>
      </c>
      <c r="AE484" s="237">
        <f>AC484</f>
        <v>60.804984153765503</v>
      </c>
      <c r="AF484" s="1350"/>
      <c r="AG484" s="1352"/>
      <c r="AH484" s="1352"/>
      <c r="AI484" s="1350"/>
      <c r="AJ484" s="1352"/>
      <c r="AK484" s="1352"/>
      <c r="AL484" s="772"/>
    </row>
    <row r="485" spans="1:38" ht="11.25" customHeight="1">
      <c r="A485" s="1030" t="s">
        <v>1019</v>
      </c>
      <c r="E485" s="557"/>
      <c r="F485" s="1340"/>
      <c r="G485" s="1340"/>
      <c r="H485" s="1340"/>
      <c r="I485" s="1340"/>
      <c r="J485" s="1340"/>
      <c r="K485" s="1340"/>
      <c r="L485" s="1340"/>
      <c r="M485" s="1340"/>
      <c r="N485" s="1340"/>
      <c r="O485" s="1340"/>
      <c r="P485" s="1340"/>
      <c r="Q485" s="1340"/>
      <c r="R485" s="1340"/>
      <c r="S485" s="1340"/>
      <c r="T485" s="1340"/>
      <c r="U485" s="1340"/>
      <c r="V485" s="1340"/>
      <c r="W485" s="1340"/>
      <c r="X485" s="1340"/>
      <c r="Y485" s="1340"/>
      <c r="Z485" s="181" t="s">
        <v>103</v>
      </c>
      <c r="AA485" s="780" t="s">
        <v>102</v>
      </c>
      <c r="AB485" s="779" t="s">
        <v>1120</v>
      </c>
      <c r="AC485" s="237">
        <v>26.195015846234501</v>
      </c>
      <c r="AD485" s="779" t="str">
        <f>AB485</f>
        <v xml:space="preserve">     Прочие амортизационные отчисления</v>
      </c>
      <c r="AE485" s="237">
        <f>AC485</f>
        <v>26.195015846234501</v>
      </c>
      <c r="AF485" s="1351"/>
      <c r="AG485" s="1353"/>
      <c r="AH485" s="1353"/>
      <c r="AI485" s="1351"/>
      <c r="AJ485" s="1353"/>
      <c r="AK485" s="1354"/>
      <c r="AL485" s="772"/>
    </row>
    <row r="486" spans="1:38" ht="11.25" customHeight="1">
      <c r="A486" s="1030" t="s">
        <v>1019</v>
      </c>
      <c r="E486" s="557"/>
      <c r="F486" s="1339"/>
      <c r="G486" s="1340"/>
      <c r="H486" s="1335" t="s">
        <v>1131</v>
      </c>
      <c r="I486" s="1347"/>
      <c r="J486" s="1360"/>
      <c r="K486" s="1349"/>
      <c r="L486" s="1079"/>
      <c r="M486" s="1080"/>
      <c r="N486" s="1355"/>
      <c r="O486" s="1356"/>
      <c r="P486" s="1359"/>
      <c r="Q486" s="1308"/>
      <c r="R486" s="1308"/>
      <c r="S486" s="1361"/>
      <c r="T486" s="1308"/>
      <c r="U486" s="1308"/>
      <c r="V486" s="1308"/>
      <c r="W486" s="1308"/>
      <c r="X486" s="1308"/>
      <c r="Y486" s="1308"/>
      <c r="Z486" s="229"/>
      <c r="AA486" s="230"/>
      <c r="AB486" s="44" t="s">
        <v>1059</v>
      </c>
      <c r="AC486" s="231"/>
      <c r="AD486" s="231"/>
      <c r="AE486" s="246"/>
      <c r="AF486" s="1350"/>
      <c r="AG486" s="1352"/>
      <c r="AH486" s="1352"/>
      <c r="AI486" s="1350"/>
      <c r="AJ486" s="1352"/>
      <c r="AK486" s="1352"/>
      <c r="AL486" s="772"/>
    </row>
    <row r="487" spans="1:38" ht="11.25" customHeight="1">
      <c r="A487" s="1030" t="s">
        <v>1019</v>
      </c>
      <c r="E487" s="557"/>
      <c r="F487" s="1339"/>
      <c r="G487" s="1340"/>
      <c r="H487" s="1335" t="s">
        <v>1131</v>
      </c>
      <c r="I487" s="1347"/>
      <c r="J487" s="1360"/>
      <c r="K487" s="1349"/>
      <c r="L487" s="1079"/>
      <c r="M487" s="1080"/>
      <c r="N487" s="229"/>
      <c r="O487" s="230"/>
      <c r="P487" s="44" t="s">
        <v>1060</v>
      </c>
      <c r="Q487" s="230"/>
      <c r="R487" s="230"/>
      <c r="S487" s="230"/>
      <c r="T487" s="230"/>
      <c r="U487" s="230"/>
      <c r="V487" s="230"/>
      <c r="W487" s="230"/>
      <c r="X487" s="230"/>
      <c r="Y487" s="230"/>
      <c r="Z487" s="230"/>
      <c r="AA487" s="230"/>
      <c r="AB487" s="230"/>
      <c r="AC487" s="230"/>
      <c r="AD487" s="230"/>
      <c r="AE487" s="247"/>
      <c r="AF487" s="1350"/>
      <c r="AG487" s="1352"/>
      <c r="AH487" s="1352"/>
      <c r="AI487" s="1350"/>
      <c r="AJ487" s="1352"/>
      <c r="AK487" s="1352"/>
      <c r="AL487" s="772"/>
    </row>
    <row r="488" spans="1:38" ht="11.25" customHeight="1">
      <c r="A488" s="1030" t="s">
        <v>1019</v>
      </c>
      <c r="B488" s="1030" t="s">
        <v>22</v>
      </c>
      <c r="E488" s="557"/>
      <c r="F488" s="1339"/>
      <c r="G488" s="1325" t="s">
        <v>103</v>
      </c>
      <c r="H488" s="1335" t="s">
        <v>1134</v>
      </c>
      <c r="I488" s="1347" t="s">
        <v>1111</v>
      </c>
      <c r="J488" s="1360" t="s">
        <v>22</v>
      </c>
      <c r="K488" s="1349" t="s">
        <v>1135</v>
      </c>
      <c r="L488" s="1079" t="s">
        <v>19</v>
      </c>
      <c r="M488" s="1080"/>
      <c r="N488" s="242"/>
      <c r="O488" s="243" t="s">
        <v>384</v>
      </c>
      <c r="P488" s="244"/>
      <c r="Q488" s="244"/>
      <c r="R488" s="244"/>
      <c r="S488" s="244"/>
      <c r="T488" s="244"/>
      <c r="U488" s="244"/>
      <c r="V488" s="244"/>
      <c r="W488" s="244"/>
      <c r="X488" s="244"/>
      <c r="Y488" s="244"/>
      <c r="Z488" s="244"/>
      <c r="AA488" s="244"/>
      <c r="AB488" s="244"/>
      <c r="AC488" s="244"/>
      <c r="AD488" s="244"/>
      <c r="AE488" s="244"/>
      <c r="AF488" s="1350">
        <v>4</v>
      </c>
      <c r="AG488" s="1352" t="s">
        <v>1055</v>
      </c>
      <c r="AH488" s="1352" t="s">
        <v>1079</v>
      </c>
      <c r="AI488" s="1350">
        <v>4</v>
      </c>
      <c r="AJ488" s="1352" t="s">
        <v>1055</v>
      </c>
      <c r="AK488" s="1352" t="s">
        <v>1079</v>
      </c>
      <c r="AL488" s="772"/>
    </row>
    <row r="489" spans="1:38" ht="11.25" customHeight="1">
      <c r="A489" s="1030" t="s">
        <v>1019</v>
      </c>
      <c r="E489" s="557"/>
      <c r="F489" s="1339"/>
      <c r="G489" s="1340"/>
      <c r="H489" s="1335" t="s">
        <v>1132</v>
      </c>
      <c r="I489" s="1347"/>
      <c r="J489" s="1360"/>
      <c r="K489" s="1349"/>
      <c r="L489" s="1079"/>
      <c r="M489" s="1080"/>
      <c r="N489" s="1355"/>
      <c r="O489" s="1356">
        <v>1</v>
      </c>
      <c r="P489" s="1357" t="s">
        <v>19</v>
      </c>
      <c r="Q489" s="1308" t="s">
        <v>22</v>
      </c>
      <c r="R489" s="1308" t="s">
        <v>22</v>
      </c>
      <c r="S489" s="1308" t="s">
        <v>22</v>
      </c>
      <c r="T489" s="1308" t="s">
        <v>22</v>
      </c>
      <c r="U489" s="1308" t="s">
        <v>22</v>
      </c>
      <c r="V489" s="1308" t="s">
        <v>22</v>
      </c>
      <c r="W489" s="1308" t="s">
        <v>22</v>
      </c>
      <c r="X489" s="1308" t="s">
        <v>22</v>
      </c>
      <c r="Y489" s="1308"/>
      <c r="Z489" s="229"/>
      <c r="AA489" s="230"/>
      <c r="AB489" s="230"/>
      <c r="AC489" s="231"/>
      <c r="AD489" s="231"/>
      <c r="AE489" s="245"/>
      <c r="AF489" s="1350"/>
      <c r="AG489" s="1352"/>
      <c r="AH489" s="1352"/>
      <c r="AI489" s="1350"/>
      <c r="AJ489" s="1352"/>
      <c r="AK489" s="1352"/>
      <c r="AL489" s="772"/>
    </row>
    <row r="490" spans="1:38" ht="11.25" customHeight="1">
      <c r="A490" s="1030" t="s">
        <v>1019</v>
      </c>
      <c r="E490" s="557"/>
      <c r="F490" s="1339"/>
      <c r="G490" s="1340"/>
      <c r="H490" s="1335" t="s">
        <v>1132</v>
      </c>
      <c r="I490" s="1347"/>
      <c r="J490" s="1360"/>
      <c r="K490" s="1349"/>
      <c r="L490" s="1079"/>
      <c r="M490" s="1080"/>
      <c r="N490" s="1355"/>
      <c r="O490" s="1356"/>
      <c r="P490" s="1358"/>
      <c r="Q490" s="1308"/>
      <c r="R490" s="1308"/>
      <c r="S490" s="1361"/>
      <c r="T490" s="1308"/>
      <c r="U490" s="1308"/>
      <c r="V490" s="1308"/>
      <c r="W490" s="1308"/>
      <c r="X490" s="1308"/>
      <c r="Y490" s="1308"/>
      <c r="AA490" s="778">
        <v>1</v>
      </c>
      <c r="AB490" s="779" t="s">
        <v>1119</v>
      </c>
      <c r="AC490" s="237">
        <v>86.664575115711699</v>
      </c>
      <c r="AD490" s="779" t="str">
        <f>AB490</f>
        <v xml:space="preserve">  Прибыль направляемая на инвестиции</v>
      </c>
      <c r="AE490" s="237">
        <f>AC490</f>
        <v>86.664575115711699</v>
      </c>
      <c r="AF490" s="1350"/>
      <c r="AG490" s="1352"/>
      <c r="AH490" s="1352"/>
      <c r="AI490" s="1350"/>
      <c r="AJ490" s="1352"/>
      <c r="AK490" s="1352"/>
      <c r="AL490" s="772"/>
    </row>
    <row r="491" spans="1:38" ht="11.25" customHeight="1">
      <c r="A491" s="1030" t="s">
        <v>1019</v>
      </c>
      <c r="E491" s="557"/>
      <c r="F491" s="1340"/>
      <c r="G491" s="1340"/>
      <c r="H491" s="1340"/>
      <c r="I491" s="1340"/>
      <c r="J491" s="1340"/>
      <c r="K491" s="1340"/>
      <c r="L491" s="1340"/>
      <c r="M491" s="1340"/>
      <c r="N491" s="1340"/>
      <c r="O491" s="1340"/>
      <c r="P491" s="1340"/>
      <c r="Q491" s="1340"/>
      <c r="R491" s="1340"/>
      <c r="S491" s="1340"/>
      <c r="T491" s="1340"/>
      <c r="U491" s="1340"/>
      <c r="V491" s="1340"/>
      <c r="W491" s="1340"/>
      <c r="X491" s="1340"/>
      <c r="Y491" s="1340"/>
      <c r="Z491" s="181" t="s">
        <v>103</v>
      </c>
      <c r="AA491" s="780" t="s">
        <v>102</v>
      </c>
      <c r="AB491" s="779" t="s">
        <v>1120</v>
      </c>
      <c r="AC491" s="237">
        <v>37.335424884288301</v>
      </c>
      <c r="AD491" s="779" t="str">
        <f>AB491</f>
        <v xml:space="preserve">     Прочие амортизационные отчисления</v>
      </c>
      <c r="AE491" s="237">
        <f>AC491</f>
        <v>37.335424884288301</v>
      </c>
      <c r="AF491" s="1351"/>
      <c r="AG491" s="1353"/>
      <c r="AH491" s="1353"/>
      <c r="AI491" s="1351"/>
      <c r="AJ491" s="1353"/>
      <c r="AK491" s="1354"/>
      <c r="AL491" s="772"/>
    </row>
    <row r="492" spans="1:38" ht="11.25" customHeight="1">
      <c r="A492" s="1030" t="s">
        <v>1019</v>
      </c>
      <c r="E492" s="557"/>
      <c r="F492" s="1339"/>
      <c r="G492" s="1340"/>
      <c r="H492" s="1335" t="s">
        <v>1132</v>
      </c>
      <c r="I492" s="1347"/>
      <c r="J492" s="1360"/>
      <c r="K492" s="1349"/>
      <c r="L492" s="1079"/>
      <c r="M492" s="1080"/>
      <c r="N492" s="1355"/>
      <c r="O492" s="1356"/>
      <c r="P492" s="1359"/>
      <c r="Q492" s="1308"/>
      <c r="R492" s="1308"/>
      <c r="S492" s="1361"/>
      <c r="T492" s="1308"/>
      <c r="U492" s="1308"/>
      <c r="V492" s="1308"/>
      <c r="W492" s="1308"/>
      <c r="X492" s="1308"/>
      <c r="Y492" s="1308"/>
      <c r="Z492" s="229"/>
      <c r="AA492" s="230"/>
      <c r="AB492" s="44" t="s">
        <v>1059</v>
      </c>
      <c r="AC492" s="231"/>
      <c r="AD492" s="231"/>
      <c r="AE492" s="246"/>
      <c r="AF492" s="1350"/>
      <c r="AG492" s="1352"/>
      <c r="AH492" s="1352"/>
      <c r="AI492" s="1350"/>
      <c r="AJ492" s="1352"/>
      <c r="AK492" s="1352"/>
      <c r="AL492" s="772"/>
    </row>
    <row r="493" spans="1:38" ht="11.25" customHeight="1">
      <c r="A493" s="1030" t="s">
        <v>1019</v>
      </c>
      <c r="E493" s="557"/>
      <c r="F493" s="1339"/>
      <c r="G493" s="1340"/>
      <c r="H493" s="1335" t="s">
        <v>1132</v>
      </c>
      <c r="I493" s="1347"/>
      <c r="J493" s="1360"/>
      <c r="K493" s="1349"/>
      <c r="L493" s="1079"/>
      <c r="M493" s="1080"/>
      <c r="N493" s="229"/>
      <c r="O493" s="230"/>
      <c r="P493" s="44" t="s">
        <v>1060</v>
      </c>
      <c r="Q493" s="230"/>
      <c r="R493" s="230"/>
      <c r="S493" s="230"/>
      <c r="T493" s="230"/>
      <c r="U493" s="230"/>
      <c r="V493" s="230"/>
      <c r="W493" s="230"/>
      <c r="X493" s="230"/>
      <c r="Y493" s="230"/>
      <c r="Z493" s="230"/>
      <c r="AA493" s="230"/>
      <c r="AB493" s="230"/>
      <c r="AC493" s="230"/>
      <c r="AD493" s="230"/>
      <c r="AE493" s="247"/>
      <c r="AF493" s="1350"/>
      <c r="AG493" s="1352"/>
      <c r="AH493" s="1352"/>
      <c r="AI493" s="1350"/>
      <c r="AJ493" s="1352"/>
      <c r="AK493" s="1352"/>
      <c r="AL493" s="772"/>
    </row>
    <row r="494" spans="1:38" ht="11.25" customHeight="1">
      <c r="A494" s="1030" t="s">
        <v>1019</v>
      </c>
      <c r="B494" s="1030" t="s">
        <v>22</v>
      </c>
      <c r="E494" s="557"/>
      <c r="F494" s="1339"/>
      <c r="G494" s="1325" t="s">
        <v>103</v>
      </c>
      <c r="H494" s="1335" t="s">
        <v>1136</v>
      </c>
      <c r="I494" s="1347" t="s">
        <v>1111</v>
      </c>
      <c r="J494" s="1360" t="s">
        <v>22</v>
      </c>
      <c r="K494" s="1349" t="s">
        <v>1137</v>
      </c>
      <c r="L494" s="1079" t="s">
        <v>19</v>
      </c>
      <c r="M494" s="1080"/>
      <c r="N494" s="242"/>
      <c r="O494" s="243" t="s">
        <v>384</v>
      </c>
      <c r="P494" s="244"/>
      <c r="Q494" s="244"/>
      <c r="R494" s="244"/>
      <c r="S494" s="244"/>
      <c r="T494" s="244"/>
      <c r="U494" s="244"/>
      <c r="V494" s="244"/>
      <c r="W494" s="244"/>
      <c r="X494" s="244"/>
      <c r="Y494" s="244"/>
      <c r="Z494" s="244"/>
      <c r="AA494" s="244"/>
      <c r="AB494" s="244"/>
      <c r="AC494" s="244"/>
      <c r="AD494" s="244"/>
      <c r="AE494" s="244"/>
      <c r="AF494" s="1350">
        <v>4</v>
      </c>
      <c r="AG494" s="1352" t="s">
        <v>1055</v>
      </c>
      <c r="AH494" s="1352" t="s">
        <v>1079</v>
      </c>
      <c r="AI494" s="1350">
        <v>4</v>
      </c>
      <c r="AJ494" s="1352" t="s">
        <v>1055</v>
      </c>
      <c r="AK494" s="1352" t="s">
        <v>1079</v>
      </c>
      <c r="AL494" s="772"/>
    </row>
    <row r="495" spans="1:38" ht="11.25" customHeight="1">
      <c r="A495" s="1030" t="s">
        <v>1019</v>
      </c>
      <c r="E495" s="557"/>
      <c r="F495" s="1339"/>
      <c r="G495" s="1340"/>
      <c r="H495" s="1335" t="s">
        <v>1134</v>
      </c>
      <c r="I495" s="1347"/>
      <c r="J495" s="1360"/>
      <c r="K495" s="1349"/>
      <c r="L495" s="1079"/>
      <c r="M495" s="1080"/>
      <c r="N495" s="1355"/>
      <c r="O495" s="1356">
        <v>1</v>
      </c>
      <c r="P495" s="1357" t="s">
        <v>19</v>
      </c>
      <c r="Q495" s="1308" t="s">
        <v>22</v>
      </c>
      <c r="R495" s="1308" t="s">
        <v>22</v>
      </c>
      <c r="S495" s="1308" t="s">
        <v>22</v>
      </c>
      <c r="T495" s="1308" t="s">
        <v>22</v>
      </c>
      <c r="U495" s="1308" t="s">
        <v>22</v>
      </c>
      <c r="V495" s="1308" t="s">
        <v>22</v>
      </c>
      <c r="W495" s="1308" t="s">
        <v>22</v>
      </c>
      <c r="X495" s="1308" t="s">
        <v>22</v>
      </c>
      <c r="Y495" s="1308"/>
      <c r="Z495" s="229"/>
      <c r="AA495" s="230"/>
      <c r="AB495" s="230"/>
      <c r="AC495" s="231"/>
      <c r="AD495" s="231"/>
      <c r="AE495" s="245"/>
      <c r="AF495" s="1350"/>
      <c r="AG495" s="1352"/>
      <c r="AH495" s="1352"/>
      <c r="AI495" s="1350"/>
      <c r="AJ495" s="1352"/>
      <c r="AK495" s="1352"/>
      <c r="AL495" s="772"/>
    </row>
    <row r="496" spans="1:38" ht="11.25" customHeight="1">
      <c r="A496" s="1030" t="s">
        <v>1019</v>
      </c>
      <c r="E496" s="557"/>
      <c r="F496" s="1339"/>
      <c r="G496" s="1340"/>
      <c r="H496" s="1335" t="s">
        <v>1134</v>
      </c>
      <c r="I496" s="1347"/>
      <c r="J496" s="1360"/>
      <c r="K496" s="1349"/>
      <c r="L496" s="1079"/>
      <c r="M496" s="1080"/>
      <c r="N496" s="1355"/>
      <c r="O496" s="1356"/>
      <c r="P496" s="1358"/>
      <c r="Q496" s="1308"/>
      <c r="R496" s="1308"/>
      <c r="S496" s="1361"/>
      <c r="T496" s="1308"/>
      <c r="U496" s="1308"/>
      <c r="V496" s="1308"/>
      <c r="W496" s="1308"/>
      <c r="X496" s="1308"/>
      <c r="Y496" s="1308"/>
      <c r="AA496" s="778">
        <v>1</v>
      </c>
      <c r="AB496" s="779" t="s">
        <v>1119</v>
      </c>
      <c r="AC496" s="237">
        <v>76.879865022002306</v>
      </c>
      <c r="AD496" s="779" t="str">
        <f>AB496</f>
        <v xml:space="preserve">  Прибыль направляемая на инвестиции</v>
      </c>
      <c r="AE496" s="237">
        <f>AC496</f>
        <v>76.879865022002306</v>
      </c>
      <c r="AF496" s="1350"/>
      <c r="AG496" s="1352"/>
      <c r="AH496" s="1352"/>
      <c r="AI496" s="1350"/>
      <c r="AJ496" s="1352"/>
      <c r="AK496" s="1352"/>
      <c r="AL496" s="772"/>
    </row>
    <row r="497" spans="1:38" ht="11.25" customHeight="1">
      <c r="A497" s="1030" t="s">
        <v>1019</v>
      </c>
      <c r="E497" s="557"/>
      <c r="F497" s="1340"/>
      <c r="G497" s="1340"/>
      <c r="H497" s="1340"/>
      <c r="I497" s="1340"/>
      <c r="J497" s="1340"/>
      <c r="K497" s="1340"/>
      <c r="L497" s="1340"/>
      <c r="M497" s="1340"/>
      <c r="N497" s="1340"/>
      <c r="O497" s="1340"/>
      <c r="P497" s="1340"/>
      <c r="Q497" s="1340"/>
      <c r="R497" s="1340"/>
      <c r="S497" s="1340"/>
      <c r="T497" s="1340"/>
      <c r="U497" s="1340"/>
      <c r="V497" s="1340"/>
      <c r="W497" s="1340"/>
      <c r="X497" s="1340"/>
      <c r="Y497" s="1340"/>
      <c r="Z497" s="181" t="s">
        <v>103</v>
      </c>
      <c r="AA497" s="780" t="s">
        <v>102</v>
      </c>
      <c r="AB497" s="779" t="s">
        <v>1120</v>
      </c>
      <c r="AC497" s="237">
        <v>33.120134977997701</v>
      </c>
      <c r="AD497" s="779" t="str">
        <f>AB497</f>
        <v xml:space="preserve">     Прочие амортизационные отчисления</v>
      </c>
      <c r="AE497" s="237">
        <f>AC497</f>
        <v>33.120134977997701</v>
      </c>
      <c r="AF497" s="1351"/>
      <c r="AG497" s="1353"/>
      <c r="AH497" s="1353"/>
      <c r="AI497" s="1351"/>
      <c r="AJ497" s="1353"/>
      <c r="AK497" s="1354"/>
      <c r="AL497" s="772"/>
    </row>
    <row r="498" spans="1:38" ht="11.25" customHeight="1">
      <c r="A498" s="1030" t="s">
        <v>1019</v>
      </c>
      <c r="E498" s="557"/>
      <c r="F498" s="1339"/>
      <c r="G498" s="1340"/>
      <c r="H498" s="1335" t="s">
        <v>1134</v>
      </c>
      <c r="I498" s="1347"/>
      <c r="J498" s="1360"/>
      <c r="K498" s="1349"/>
      <c r="L498" s="1079"/>
      <c r="M498" s="1080"/>
      <c r="N498" s="1355"/>
      <c r="O498" s="1356"/>
      <c r="P498" s="1359"/>
      <c r="Q498" s="1308"/>
      <c r="R498" s="1308"/>
      <c r="S498" s="1361"/>
      <c r="T498" s="1308"/>
      <c r="U498" s="1308"/>
      <c r="V498" s="1308"/>
      <c r="W498" s="1308"/>
      <c r="X498" s="1308"/>
      <c r="Y498" s="1308"/>
      <c r="Z498" s="229"/>
      <c r="AA498" s="230"/>
      <c r="AB498" s="44" t="s">
        <v>1059</v>
      </c>
      <c r="AC498" s="231"/>
      <c r="AD498" s="231"/>
      <c r="AE498" s="246"/>
      <c r="AF498" s="1350"/>
      <c r="AG498" s="1352"/>
      <c r="AH498" s="1352"/>
      <c r="AI498" s="1350"/>
      <c r="AJ498" s="1352"/>
      <c r="AK498" s="1352"/>
      <c r="AL498" s="772"/>
    </row>
    <row r="499" spans="1:38" ht="11.25" customHeight="1">
      <c r="A499" s="1030" t="s">
        <v>1019</v>
      </c>
      <c r="E499" s="557"/>
      <c r="F499" s="1339"/>
      <c r="G499" s="1340"/>
      <c r="H499" s="1335" t="s">
        <v>1134</v>
      </c>
      <c r="I499" s="1347"/>
      <c r="J499" s="1360"/>
      <c r="K499" s="1349"/>
      <c r="L499" s="1079"/>
      <c r="M499" s="1080"/>
      <c r="N499" s="229"/>
      <c r="O499" s="230"/>
      <c r="P499" s="44" t="s">
        <v>1060</v>
      </c>
      <c r="Q499" s="230"/>
      <c r="R499" s="230"/>
      <c r="S499" s="230"/>
      <c r="T499" s="230"/>
      <c r="U499" s="230"/>
      <c r="V499" s="230"/>
      <c r="W499" s="230"/>
      <c r="X499" s="230"/>
      <c r="Y499" s="230"/>
      <c r="Z499" s="230"/>
      <c r="AA499" s="230"/>
      <c r="AB499" s="230"/>
      <c r="AC499" s="230"/>
      <c r="AD499" s="230"/>
      <c r="AE499" s="247"/>
      <c r="AF499" s="1350"/>
      <c r="AG499" s="1352"/>
      <c r="AH499" s="1352"/>
      <c r="AI499" s="1350"/>
      <c r="AJ499" s="1352"/>
      <c r="AK499" s="1352"/>
      <c r="AL499" s="772"/>
    </row>
    <row r="500" spans="1:38" ht="12" customHeight="1">
      <c r="A500" s="1030" t="s">
        <v>1019</v>
      </c>
      <c r="E500" s="557"/>
      <c r="F500" s="1341"/>
      <c r="G500" s="775"/>
      <c r="H500" s="775"/>
      <c r="I500" s="1337" t="s">
        <v>1070</v>
      </c>
      <c r="J500" s="1337"/>
      <c r="K500" s="1337"/>
      <c r="L500" s="776"/>
      <c r="M500" s="776"/>
      <c r="N500" s="777"/>
      <c r="O500" s="777"/>
      <c r="P500" s="777"/>
      <c r="Q500" s="777"/>
      <c r="R500" s="777"/>
      <c r="S500" s="777"/>
      <c r="T500" s="777"/>
      <c r="U500" s="777"/>
      <c r="V500" s="777"/>
      <c r="W500" s="777"/>
      <c r="X500" s="777"/>
      <c r="Y500" s="777"/>
      <c r="Z500" s="777"/>
      <c r="AA500" s="777"/>
      <c r="AB500" s="777"/>
      <c r="AC500" s="777"/>
      <c r="AD500" s="777"/>
      <c r="AE500" s="777"/>
      <c r="AF500" s="777"/>
      <c r="AG500" s="776"/>
      <c r="AH500" s="776"/>
      <c r="AI500" s="777"/>
      <c r="AJ500" s="776"/>
      <c r="AK500" s="777"/>
      <c r="AL500" s="772"/>
    </row>
    <row r="501" spans="1:38" ht="0.75" customHeight="1">
      <c r="A501" s="1030" t="s">
        <v>1019</v>
      </c>
      <c r="E501" s="557"/>
      <c r="F501" s="1338">
        <v>2022</v>
      </c>
      <c r="G501" s="1335"/>
      <c r="H501" s="1343" t="s">
        <v>384</v>
      </c>
      <c r="I501" s="1344"/>
      <c r="J501" s="1334"/>
      <c r="K501" s="1334"/>
      <c r="L501" s="1336"/>
      <c r="M501" s="1190"/>
      <c r="N501" s="214"/>
      <c r="O501" s="215"/>
      <c r="P501" s="214"/>
      <c r="Q501" s="214"/>
      <c r="R501" s="214"/>
      <c r="S501" s="214"/>
      <c r="T501" s="214"/>
      <c r="U501" s="214"/>
      <c r="V501" s="214"/>
      <c r="W501" s="214"/>
      <c r="X501" s="214"/>
      <c r="Y501" s="214"/>
      <c r="Z501" s="214"/>
      <c r="AA501" s="214"/>
      <c r="AB501" s="214"/>
      <c r="AC501" s="214"/>
      <c r="AD501" s="214"/>
      <c r="AE501" s="214"/>
      <c r="AF501" s="1342"/>
      <c r="AG501" s="1336"/>
      <c r="AH501" s="1336"/>
      <c r="AI501" s="1342"/>
      <c r="AJ501" s="1336"/>
      <c r="AK501" s="1336"/>
      <c r="AL501" s="772"/>
    </row>
    <row r="502" spans="1:38" ht="0.75" customHeight="1">
      <c r="A502" s="1030" t="s">
        <v>1019</v>
      </c>
      <c r="E502" s="557"/>
      <c r="F502" s="1338"/>
      <c r="G502" s="1335"/>
      <c r="H502" s="1343"/>
      <c r="I502" s="1344"/>
      <c r="J502" s="1334"/>
      <c r="K502" s="1334"/>
      <c r="L502" s="1336"/>
      <c r="M502" s="1190"/>
      <c r="N502" s="1345"/>
      <c r="O502" s="1346"/>
      <c r="P502" s="1331"/>
      <c r="Q502" s="1334"/>
      <c r="R502" s="1334"/>
      <c r="S502" s="1334"/>
      <c r="T502" s="1334"/>
      <c r="U502" s="1334"/>
      <c r="V502" s="1334"/>
      <c r="W502" s="1334"/>
      <c r="X502" s="1334"/>
      <c r="Y502" s="1334"/>
      <c r="Z502" s="216"/>
      <c r="AA502" s="217"/>
      <c r="AB502" s="217"/>
      <c r="AC502" s="218"/>
      <c r="AD502" s="218"/>
      <c r="AE502" s="219"/>
      <c r="AF502" s="1342"/>
      <c r="AG502" s="1336"/>
      <c r="AH502" s="1336"/>
      <c r="AI502" s="1342"/>
      <c r="AJ502" s="1336"/>
      <c r="AK502" s="1336"/>
      <c r="AL502" s="772"/>
    </row>
    <row r="503" spans="1:38" ht="0.75" customHeight="1">
      <c r="A503" s="1030" t="s">
        <v>1019</v>
      </c>
      <c r="E503" s="557"/>
      <c r="F503" s="1338"/>
      <c r="G503" s="1335"/>
      <c r="H503" s="1343"/>
      <c r="I503" s="1344"/>
      <c r="J503" s="1334"/>
      <c r="K503" s="1334"/>
      <c r="L503" s="1336"/>
      <c r="M503" s="1190"/>
      <c r="N503" s="1345"/>
      <c r="O503" s="1346"/>
      <c r="P503" s="1332"/>
      <c r="Q503" s="1334"/>
      <c r="R503" s="1334"/>
      <c r="S503" s="1334"/>
      <c r="T503" s="1334"/>
      <c r="U503" s="1334"/>
      <c r="V503" s="1334"/>
      <c r="W503" s="1334"/>
      <c r="X503" s="1334"/>
      <c r="Y503" s="1334"/>
      <c r="AA503" s="773"/>
      <c r="AB503" s="774"/>
      <c r="AC503" s="220"/>
      <c r="AD503" s="774"/>
      <c r="AE503" s="220"/>
      <c r="AF503" s="1342"/>
      <c r="AG503" s="1336"/>
      <c r="AH503" s="1336"/>
      <c r="AI503" s="1342"/>
      <c r="AJ503" s="1336"/>
      <c r="AK503" s="1336"/>
      <c r="AL503" s="772"/>
    </row>
    <row r="504" spans="1:38" ht="0.75" customHeight="1">
      <c r="A504" s="1030" t="s">
        <v>1019</v>
      </c>
      <c r="E504" s="557"/>
      <c r="F504" s="1338"/>
      <c r="G504" s="1335"/>
      <c r="H504" s="1343"/>
      <c r="I504" s="1344"/>
      <c r="J504" s="1334"/>
      <c r="K504" s="1334"/>
      <c r="L504" s="1336"/>
      <c r="M504" s="1190"/>
      <c r="N504" s="1345"/>
      <c r="O504" s="1346"/>
      <c r="P504" s="1333"/>
      <c r="Q504" s="1334"/>
      <c r="R504" s="1334"/>
      <c r="S504" s="1334"/>
      <c r="T504" s="1334"/>
      <c r="U504" s="1334"/>
      <c r="V504" s="1334"/>
      <c r="W504" s="1334"/>
      <c r="X504" s="1334"/>
      <c r="Y504" s="1334"/>
      <c r="Z504" s="216"/>
      <c r="AA504" s="217"/>
      <c r="AB504" s="221"/>
      <c r="AC504" s="218"/>
      <c r="AD504" s="218"/>
      <c r="AE504" s="222"/>
      <c r="AF504" s="1342"/>
      <c r="AG504" s="1336"/>
      <c r="AH504" s="1336"/>
      <c r="AI504" s="1342"/>
      <c r="AJ504" s="1336"/>
      <c r="AK504" s="1336"/>
      <c r="AL504" s="772"/>
    </row>
    <row r="505" spans="1:38" ht="0.75" customHeight="1">
      <c r="A505" s="1030" t="s">
        <v>1019</v>
      </c>
      <c r="E505" s="557"/>
      <c r="F505" s="1338"/>
      <c r="G505" s="1335"/>
      <c r="H505" s="1343"/>
      <c r="I505" s="1344"/>
      <c r="J505" s="1334"/>
      <c r="K505" s="1334"/>
      <c r="L505" s="1336"/>
      <c r="M505" s="1190"/>
      <c r="N505" s="217"/>
      <c r="O505" s="217"/>
      <c r="P505" s="221"/>
      <c r="Q505" s="217"/>
      <c r="R505" s="217"/>
      <c r="S505" s="217"/>
      <c r="T505" s="217"/>
      <c r="U505" s="217"/>
      <c r="V505" s="217"/>
      <c r="W505" s="217"/>
      <c r="X505" s="217"/>
      <c r="Y505" s="217"/>
      <c r="Z505" s="217"/>
      <c r="AA505" s="217"/>
      <c r="AB505" s="217"/>
      <c r="AC505" s="217"/>
      <c r="AD505" s="217"/>
      <c r="AE505" s="223"/>
      <c r="AF505" s="1342"/>
      <c r="AG505" s="1336"/>
      <c r="AH505" s="1336"/>
      <c r="AI505" s="1342"/>
      <c r="AJ505" s="1336"/>
      <c r="AK505" s="1336"/>
      <c r="AL505" s="772"/>
    </row>
    <row r="506" spans="1:38" ht="11.25" customHeight="1">
      <c r="A506" s="1030" t="s">
        <v>1019</v>
      </c>
      <c r="B506" s="1030" t="s">
        <v>22</v>
      </c>
      <c r="E506" s="557"/>
      <c r="F506" s="1339"/>
      <c r="G506" s="1325" t="s">
        <v>103</v>
      </c>
      <c r="H506" s="1335" t="s">
        <v>114</v>
      </c>
      <c r="I506" s="1347" t="s">
        <v>1071</v>
      </c>
      <c r="J506" s="1360" t="s">
        <v>22</v>
      </c>
      <c r="K506" s="1349" t="s">
        <v>1096</v>
      </c>
      <c r="L506" s="1079" t="s">
        <v>19</v>
      </c>
      <c r="M506" s="1080"/>
      <c r="N506" s="242"/>
      <c r="O506" s="243" t="s">
        <v>384</v>
      </c>
      <c r="P506" s="244"/>
      <c r="Q506" s="244"/>
      <c r="R506" s="244"/>
      <c r="S506" s="244"/>
      <c r="T506" s="244"/>
      <c r="U506" s="244"/>
      <c r="V506" s="244"/>
      <c r="W506" s="244"/>
      <c r="X506" s="244"/>
      <c r="Y506" s="244"/>
      <c r="Z506" s="244"/>
      <c r="AA506" s="244"/>
      <c r="AB506" s="244"/>
      <c r="AC506" s="244"/>
      <c r="AD506" s="244"/>
      <c r="AE506" s="244"/>
      <c r="AF506" s="1350">
        <v>1</v>
      </c>
      <c r="AG506" s="1352" t="s">
        <v>1055</v>
      </c>
      <c r="AH506" s="1352" t="s">
        <v>1097</v>
      </c>
      <c r="AI506" s="1350">
        <v>1</v>
      </c>
      <c r="AJ506" s="1352" t="s">
        <v>1055</v>
      </c>
      <c r="AK506" s="1352" t="s">
        <v>1097</v>
      </c>
      <c r="AL506" s="772"/>
    </row>
    <row r="507" spans="1:38" ht="11.25" customHeight="1">
      <c r="A507" s="1030" t="s">
        <v>1019</v>
      </c>
      <c r="E507" s="557"/>
      <c r="F507" s="1339"/>
      <c r="G507" s="1340"/>
      <c r="H507" s="1335" t="s">
        <v>384</v>
      </c>
      <c r="I507" s="1347"/>
      <c r="J507" s="1360"/>
      <c r="K507" s="1349"/>
      <c r="L507" s="1079"/>
      <c r="M507" s="1080"/>
      <c r="N507" s="1355"/>
      <c r="O507" s="1356">
        <v>1</v>
      </c>
      <c r="P507" s="1357" t="s">
        <v>19</v>
      </c>
      <c r="Q507" s="1308" t="s">
        <v>22</v>
      </c>
      <c r="R507" s="1308" t="s">
        <v>22</v>
      </c>
      <c r="S507" s="1308" t="s">
        <v>22</v>
      </c>
      <c r="T507" s="1308" t="s">
        <v>22</v>
      </c>
      <c r="U507" s="1308" t="s">
        <v>22</v>
      </c>
      <c r="V507" s="1308" t="s">
        <v>22</v>
      </c>
      <c r="W507" s="1308" t="s">
        <v>22</v>
      </c>
      <c r="X507" s="1308" t="s">
        <v>22</v>
      </c>
      <c r="Y507" s="1308"/>
      <c r="Z507" s="229"/>
      <c r="AA507" s="230"/>
      <c r="AB507" s="230"/>
      <c r="AC507" s="231"/>
      <c r="AD507" s="231"/>
      <c r="AE507" s="245"/>
      <c r="AF507" s="1350"/>
      <c r="AG507" s="1352"/>
      <c r="AH507" s="1352"/>
      <c r="AI507" s="1350"/>
      <c r="AJ507" s="1352"/>
      <c r="AK507" s="1352"/>
      <c r="AL507" s="772"/>
    </row>
    <row r="508" spans="1:38" ht="11.25" customHeight="1">
      <c r="A508" s="1030" t="s">
        <v>1019</v>
      </c>
      <c r="E508" s="557"/>
      <c r="F508" s="1339"/>
      <c r="G508" s="1340"/>
      <c r="H508" s="1335" t="s">
        <v>384</v>
      </c>
      <c r="I508" s="1347"/>
      <c r="J508" s="1360"/>
      <c r="K508" s="1349"/>
      <c r="L508" s="1079"/>
      <c r="M508" s="1080"/>
      <c r="N508" s="1355"/>
      <c r="O508" s="1356"/>
      <c r="P508" s="1358"/>
      <c r="Q508" s="1308"/>
      <c r="R508" s="1308"/>
      <c r="S508" s="1361"/>
      <c r="T508" s="1308"/>
      <c r="U508" s="1308"/>
      <c r="V508" s="1308"/>
      <c r="W508" s="1308"/>
      <c r="X508" s="1308"/>
      <c r="Y508" s="1308"/>
      <c r="AA508" s="778">
        <v>1</v>
      </c>
      <c r="AB508" s="779" t="s">
        <v>1119</v>
      </c>
      <c r="AC508" s="237">
        <v>4950.81223603323</v>
      </c>
      <c r="AD508" s="779" t="str">
        <f t="shared" ref="AD508:AE510" si="0">AB508</f>
        <v xml:space="preserve">  Прибыль направляемая на инвестиции</v>
      </c>
      <c r="AE508" s="237">
        <f t="shared" si="0"/>
        <v>4950.81223603323</v>
      </c>
      <c r="AF508" s="1350"/>
      <c r="AG508" s="1352"/>
      <c r="AH508" s="1352"/>
      <c r="AI508" s="1350"/>
      <c r="AJ508" s="1352"/>
      <c r="AK508" s="1352"/>
      <c r="AL508" s="772"/>
    </row>
    <row r="509" spans="1:38" ht="11.25" customHeight="1">
      <c r="A509" s="1030" t="s">
        <v>1019</v>
      </c>
      <c r="E509" s="557"/>
      <c r="F509" s="1340"/>
      <c r="G509" s="1340"/>
      <c r="H509" s="1340"/>
      <c r="I509" s="1340"/>
      <c r="J509" s="1340"/>
      <c r="K509" s="1340"/>
      <c r="L509" s="1340"/>
      <c r="M509" s="1340"/>
      <c r="N509" s="1340"/>
      <c r="O509" s="1340"/>
      <c r="P509" s="1340"/>
      <c r="Q509" s="1340"/>
      <c r="R509" s="1340"/>
      <c r="S509" s="1340"/>
      <c r="T509" s="1340"/>
      <c r="U509" s="1340"/>
      <c r="V509" s="1340"/>
      <c r="W509" s="1340"/>
      <c r="X509" s="1340"/>
      <c r="Y509" s="1340"/>
      <c r="Z509" s="181" t="s">
        <v>103</v>
      </c>
      <c r="AA509" s="780" t="s">
        <v>102</v>
      </c>
      <c r="AB509" s="779" t="s">
        <v>1120</v>
      </c>
      <c r="AC509" s="237">
        <v>1761.9524644968701</v>
      </c>
      <c r="AD509" s="779" t="str">
        <f t="shared" si="0"/>
        <v xml:space="preserve">     Прочие амортизационные отчисления</v>
      </c>
      <c r="AE509" s="237">
        <f t="shared" si="0"/>
        <v>1761.9524644968701</v>
      </c>
      <c r="AF509" s="1351"/>
      <c r="AG509" s="1353"/>
      <c r="AH509" s="1353"/>
      <c r="AI509" s="1351"/>
      <c r="AJ509" s="1353"/>
      <c r="AK509" s="1354"/>
      <c r="AL509" s="772"/>
    </row>
    <row r="510" spans="1:38" ht="11.25" customHeight="1">
      <c r="A510" s="1030" t="s">
        <v>1019</v>
      </c>
      <c r="E510" s="557"/>
      <c r="F510" s="1340"/>
      <c r="G510" s="1340"/>
      <c r="H510" s="1340"/>
      <c r="I510" s="1340"/>
      <c r="J510" s="1340"/>
      <c r="K510" s="1340"/>
      <c r="L510" s="1340"/>
      <c r="M510" s="1340"/>
      <c r="N510" s="1340"/>
      <c r="O510" s="1340"/>
      <c r="P510" s="1340"/>
      <c r="Q510" s="1340"/>
      <c r="R510" s="1340"/>
      <c r="S510" s="1340"/>
      <c r="T510" s="1340"/>
      <c r="U510" s="1340"/>
      <c r="V510" s="1340"/>
      <c r="W510" s="1340"/>
      <c r="X510" s="1340"/>
      <c r="Y510" s="1340"/>
      <c r="Z510" s="181" t="s">
        <v>103</v>
      </c>
      <c r="AA510" s="780" t="s">
        <v>89</v>
      </c>
      <c r="AB510" s="779" t="s">
        <v>1138</v>
      </c>
      <c r="AC510" s="237">
        <v>929.76011946989695</v>
      </c>
      <c r="AD510" s="779" t="str">
        <f t="shared" si="0"/>
        <v xml:space="preserve">  Прочие собственные средства</v>
      </c>
      <c r="AE510" s="237">
        <f t="shared" si="0"/>
        <v>929.76011946989695</v>
      </c>
      <c r="AF510" s="1351"/>
      <c r="AG510" s="1353"/>
      <c r="AH510" s="1353"/>
      <c r="AI510" s="1351"/>
      <c r="AJ510" s="1353"/>
      <c r="AK510" s="1354"/>
      <c r="AL510" s="772"/>
    </row>
    <row r="511" spans="1:38" ht="11.25" customHeight="1">
      <c r="A511" s="1030" t="s">
        <v>1019</v>
      </c>
      <c r="E511" s="557"/>
      <c r="F511" s="1339"/>
      <c r="G511" s="1340"/>
      <c r="H511" s="1335" t="s">
        <v>384</v>
      </c>
      <c r="I511" s="1347"/>
      <c r="J511" s="1360"/>
      <c r="K511" s="1349"/>
      <c r="L511" s="1079"/>
      <c r="M511" s="1080"/>
      <c r="N511" s="1355"/>
      <c r="O511" s="1356"/>
      <c r="P511" s="1359"/>
      <c r="Q511" s="1308"/>
      <c r="R511" s="1308"/>
      <c r="S511" s="1361"/>
      <c r="T511" s="1308"/>
      <c r="U511" s="1308"/>
      <c r="V511" s="1308"/>
      <c r="W511" s="1308"/>
      <c r="X511" s="1308"/>
      <c r="Y511" s="1308"/>
      <c r="Z511" s="229"/>
      <c r="AA511" s="230"/>
      <c r="AB511" s="44" t="s">
        <v>1059</v>
      </c>
      <c r="AC511" s="231"/>
      <c r="AD511" s="231"/>
      <c r="AE511" s="246"/>
      <c r="AF511" s="1350"/>
      <c r="AG511" s="1352"/>
      <c r="AH511" s="1352"/>
      <c r="AI511" s="1350"/>
      <c r="AJ511" s="1352"/>
      <c r="AK511" s="1352"/>
      <c r="AL511" s="772"/>
    </row>
    <row r="512" spans="1:38" ht="11.25" customHeight="1">
      <c r="A512" s="1030" t="s">
        <v>1019</v>
      </c>
      <c r="E512" s="557"/>
      <c r="F512" s="1339"/>
      <c r="G512" s="1340"/>
      <c r="H512" s="1335" t="s">
        <v>384</v>
      </c>
      <c r="I512" s="1347"/>
      <c r="J512" s="1360"/>
      <c r="K512" s="1349"/>
      <c r="L512" s="1079"/>
      <c r="M512" s="1080"/>
      <c r="N512" s="229"/>
      <c r="O512" s="230"/>
      <c r="P512" s="44" t="s">
        <v>1060</v>
      </c>
      <c r="Q512" s="230"/>
      <c r="R512" s="230"/>
      <c r="S512" s="230"/>
      <c r="T512" s="230"/>
      <c r="U512" s="230"/>
      <c r="V512" s="230"/>
      <c r="W512" s="230"/>
      <c r="X512" s="230"/>
      <c r="Y512" s="230"/>
      <c r="Z512" s="230"/>
      <c r="AA512" s="230"/>
      <c r="AB512" s="230"/>
      <c r="AC512" s="230"/>
      <c r="AD512" s="230"/>
      <c r="AE512" s="247"/>
      <c r="AF512" s="1350"/>
      <c r="AG512" s="1352"/>
      <c r="AH512" s="1352"/>
      <c r="AI512" s="1350"/>
      <c r="AJ512" s="1352"/>
      <c r="AK512" s="1352"/>
      <c r="AL512" s="772"/>
    </row>
    <row r="513" spans="1:38" ht="11.25" customHeight="1">
      <c r="A513" s="1030" t="s">
        <v>1019</v>
      </c>
      <c r="B513" s="1030" t="s">
        <v>22</v>
      </c>
      <c r="E513" s="557"/>
      <c r="F513" s="1339"/>
      <c r="G513" s="1325" t="s">
        <v>103</v>
      </c>
      <c r="H513" s="1335" t="s">
        <v>102</v>
      </c>
      <c r="I513" s="1347" t="s">
        <v>1071</v>
      </c>
      <c r="J513" s="1360" t="s">
        <v>22</v>
      </c>
      <c r="K513" s="1349" t="s">
        <v>1104</v>
      </c>
      <c r="L513" s="1079" t="s">
        <v>61</v>
      </c>
      <c r="M513" s="1364" t="s">
        <v>1018</v>
      </c>
      <c r="N513" s="242"/>
      <c r="O513" s="243" t="s">
        <v>384</v>
      </c>
      <c r="P513" s="244"/>
      <c r="Q513" s="244"/>
      <c r="R513" s="244"/>
      <c r="S513" s="244"/>
      <c r="T513" s="244"/>
      <c r="U513" s="244"/>
      <c r="V513" s="244"/>
      <c r="W513" s="244"/>
      <c r="X513" s="244"/>
      <c r="Y513" s="244"/>
      <c r="Z513" s="244"/>
      <c r="AA513" s="244"/>
      <c r="AB513" s="244"/>
      <c r="AC513" s="244"/>
      <c r="AD513" s="244"/>
      <c r="AE513" s="244"/>
      <c r="AF513" s="1350">
        <v>5</v>
      </c>
      <c r="AG513" s="1352" t="s">
        <v>1055</v>
      </c>
      <c r="AH513" s="1352" t="s">
        <v>1105</v>
      </c>
      <c r="AI513" s="1350">
        <v>5</v>
      </c>
      <c r="AJ513" s="1352" t="s">
        <v>1055</v>
      </c>
      <c r="AK513" s="1352" t="s">
        <v>1105</v>
      </c>
      <c r="AL513" s="772"/>
    </row>
    <row r="514" spans="1:38" ht="11.25" customHeight="1">
      <c r="A514" s="1030" t="s">
        <v>1019</v>
      </c>
      <c r="E514" s="557"/>
      <c r="F514" s="1339"/>
      <c r="G514" s="1340"/>
      <c r="H514" s="1335" t="s">
        <v>114</v>
      </c>
      <c r="I514" s="1347"/>
      <c r="J514" s="1360"/>
      <c r="K514" s="1349"/>
      <c r="L514" s="1079"/>
      <c r="M514" s="1364"/>
      <c r="N514" s="1355"/>
      <c r="O514" s="1356">
        <v>1</v>
      </c>
      <c r="P514" s="1357" t="s">
        <v>61</v>
      </c>
      <c r="Q514" s="1348" t="s">
        <v>1074</v>
      </c>
      <c r="R514" s="1362" t="s">
        <v>1075</v>
      </c>
      <c r="S514" s="1362" t="s">
        <v>99</v>
      </c>
      <c r="T514" s="1362" t="s">
        <v>99</v>
      </c>
      <c r="U514" s="1362" t="s">
        <v>100</v>
      </c>
      <c r="V514" s="1362" t="s">
        <v>1066</v>
      </c>
      <c r="W514" s="1362" t="s">
        <v>1067</v>
      </c>
      <c r="X514" s="1362" t="s">
        <v>1076</v>
      </c>
      <c r="Y514" s="1362" t="s">
        <v>1077</v>
      </c>
      <c r="Z514" s="229"/>
      <c r="AA514" s="230"/>
      <c r="AB514" s="230"/>
      <c r="AC514" s="231"/>
      <c r="AD514" s="231"/>
      <c r="AE514" s="245"/>
      <c r="AF514" s="1350"/>
      <c r="AG514" s="1352"/>
      <c r="AH514" s="1352"/>
      <c r="AI514" s="1350"/>
      <c r="AJ514" s="1352"/>
      <c r="AK514" s="1352"/>
      <c r="AL514" s="772"/>
    </row>
    <row r="515" spans="1:38" ht="11.25" customHeight="1">
      <c r="A515" s="1030" t="s">
        <v>1019</v>
      </c>
      <c r="E515" s="557"/>
      <c r="F515" s="1339"/>
      <c r="G515" s="1340"/>
      <c r="H515" s="1335" t="s">
        <v>114</v>
      </c>
      <c r="I515" s="1347"/>
      <c r="J515" s="1360"/>
      <c r="K515" s="1349"/>
      <c r="L515" s="1079"/>
      <c r="M515" s="1364"/>
      <c r="N515" s="1355"/>
      <c r="O515" s="1356"/>
      <c r="P515" s="1358"/>
      <c r="Q515" s="1348"/>
      <c r="R515" s="1308"/>
      <c r="S515" s="1361"/>
      <c r="T515" s="1308"/>
      <c r="U515" s="1308"/>
      <c r="V515" s="1308"/>
      <c r="W515" s="1308"/>
      <c r="X515" s="1308"/>
      <c r="Y515" s="1308"/>
      <c r="AA515" s="778">
        <v>1</v>
      </c>
      <c r="AB515" s="779" t="s">
        <v>1119</v>
      </c>
      <c r="AC515" s="237">
        <v>594.73893188859904</v>
      </c>
      <c r="AD515" s="779" t="str">
        <f t="shared" ref="AD515:AE517" si="1">AB515</f>
        <v xml:space="preserve">  Прибыль направляемая на инвестиции</v>
      </c>
      <c r="AE515" s="237">
        <f t="shared" si="1"/>
        <v>594.73893188859904</v>
      </c>
      <c r="AF515" s="1350"/>
      <c r="AG515" s="1352"/>
      <c r="AH515" s="1352"/>
      <c r="AI515" s="1350"/>
      <c r="AJ515" s="1352"/>
      <c r="AK515" s="1352"/>
      <c r="AL515" s="772"/>
    </row>
    <row r="516" spans="1:38" ht="11.25" customHeight="1">
      <c r="A516" s="1030" t="s">
        <v>1019</v>
      </c>
      <c r="E516" s="557"/>
      <c r="F516" s="1340"/>
      <c r="G516" s="1340"/>
      <c r="H516" s="1340"/>
      <c r="I516" s="1340"/>
      <c r="J516" s="1340"/>
      <c r="K516" s="1340"/>
      <c r="L516" s="1340"/>
      <c r="M516" s="1365"/>
      <c r="N516" s="1340"/>
      <c r="O516" s="1340"/>
      <c r="P516" s="1340"/>
      <c r="Q516" s="1365"/>
      <c r="R516" s="1340"/>
      <c r="S516" s="1340"/>
      <c r="T516" s="1340"/>
      <c r="U516" s="1340"/>
      <c r="V516" s="1340"/>
      <c r="W516" s="1340"/>
      <c r="X516" s="1340"/>
      <c r="Y516" s="1340"/>
      <c r="Z516" s="181" t="s">
        <v>103</v>
      </c>
      <c r="AA516" s="780" t="s">
        <v>102</v>
      </c>
      <c r="AB516" s="779" t="s">
        <v>1120</v>
      </c>
      <c r="AC516" s="237">
        <v>211.66258723093301</v>
      </c>
      <c r="AD516" s="779" t="str">
        <f t="shared" si="1"/>
        <v xml:space="preserve">     Прочие амортизационные отчисления</v>
      </c>
      <c r="AE516" s="237">
        <f t="shared" si="1"/>
        <v>211.66258723093301</v>
      </c>
      <c r="AF516" s="1351"/>
      <c r="AG516" s="1353"/>
      <c r="AH516" s="1353"/>
      <c r="AI516" s="1351"/>
      <c r="AJ516" s="1353"/>
      <c r="AK516" s="1354"/>
      <c r="AL516" s="772"/>
    </row>
    <row r="517" spans="1:38" ht="11.25" customHeight="1">
      <c r="A517" s="1030" t="s">
        <v>1019</v>
      </c>
      <c r="E517" s="557"/>
      <c r="F517" s="1340"/>
      <c r="G517" s="1340"/>
      <c r="H517" s="1340"/>
      <c r="I517" s="1340"/>
      <c r="J517" s="1340"/>
      <c r="K517" s="1340"/>
      <c r="L517" s="1340"/>
      <c r="M517" s="1365"/>
      <c r="N517" s="1340"/>
      <c r="O517" s="1340"/>
      <c r="P517" s="1340"/>
      <c r="Q517" s="1365"/>
      <c r="R517" s="1340"/>
      <c r="S517" s="1340"/>
      <c r="T517" s="1340"/>
      <c r="U517" s="1340"/>
      <c r="V517" s="1340"/>
      <c r="W517" s="1340"/>
      <c r="X517" s="1340"/>
      <c r="Y517" s="1340"/>
      <c r="Z517" s="181" t="s">
        <v>103</v>
      </c>
      <c r="AA517" s="780" t="s">
        <v>89</v>
      </c>
      <c r="AB517" s="779" t="s">
        <v>1138</v>
      </c>
      <c r="AC517" s="237">
        <v>111.69168088046899</v>
      </c>
      <c r="AD517" s="779" t="str">
        <f t="shared" si="1"/>
        <v xml:space="preserve">  Прочие собственные средства</v>
      </c>
      <c r="AE517" s="237">
        <f t="shared" si="1"/>
        <v>111.69168088046899</v>
      </c>
      <c r="AF517" s="1351"/>
      <c r="AG517" s="1353"/>
      <c r="AH517" s="1353"/>
      <c r="AI517" s="1351"/>
      <c r="AJ517" s="1353"/>
      <c r="AK517" s="1354"/>
      <c r="AL517" s="772"/>
    </row>
    <row r="518" spans="1:38" ht="11.25" customHeight="1">
      <c r="A518" s="1030" t="s">
        <v>1019</v>
      </c>
      <c r="E518" s="557"/>
      <c r="F518" s="1339"/>
      <c r="G518" s="1340"/>
      <c r="H518" s="1335" t="s">
        <v>114</v>
      </c>
      <c r="I518" s="1347"/>
      <c r="J518" s="1360"/>
      <c r="K518" s="1349"/>
      <c r="L518" s="1079"/>
      <c r="M518" s="1364"/>
      <c r="N518" s="1355"/>
      <c r="O518" s="1356"/>
      <c r="P518" s="1359"/>
      <c r="Q518" s="1348"/>
      <c r="R518" s="1308"/>
      <c r="S518" s="1361"/>
      <c r="T518" s="1308"/>
      <c r="U518" s="1308"/>
      <c r="V518" s="1308"/>
      <c r="W518" s="1308"/>
      <c r="X518" s="1308"/>
      <c r="Y518" s="1308"/>
      <c r="Z518" s="229"/>
      <c r="AA518" s="230"/>
      <c r="AB518" s="44" t="s">
        <v>1059</v>
      </c>
      <c r="AC518" s="231"/>
      <c r="AD518" s="231"/>
      <c r="AE518" s="246"/>
      <c r="AF518" s="1350"/>
      <c r="AG518" s="1352"/>
      <c r="AH518" s="1352"/>
      <c r="AI518" s="1350"/>
      <c r="AJ518" s="1352"/>
      <c r="AK518" s="1352"/>
      <c r="AL518" s="772"/>
    </row>
    <row r="519" spans="1:38" ht="11.25" customHeight="1">
      <c r="A519" s="1030" t="s">
        <v>1019</v>
      </c>
      <c r="E519" s="557"/>
      <c r="F519" s="1339"/>
      <c r="G519" s="1340"/>
      <c r="H519" s="1335" t="s">
        <v>114</v>
      </c>
      <c r="I519" s="1347"/>
      <c r="J519" s="1360"/>
      <c r="K519" s="1349"/>
      <c r="L519" s="1079"/>
      <c r="M519" s="1364"/>
      <c r="N519" s="229"/>
      <c r="O519" s="230"/>
      <c r="P519" s="44" t="s">
        <v>1060</v>
      </c>
      <c r="Q519" s="230"/>
      <c r="R519" s="230"/>
      <c r="S519" s="230"/>
      <c r="T519" s="230"/>
      <c r="U519" s="230"/>
      <c r="V519" s="230"/>
      <c r="W519" s="230"/>
      <c r="X519" s="230"/>
      <c r="Y519" s="230"/>
      <c r="Z519" s="230"/>
      <c r="AA519" s="230"/>
      <c r="AB519" s="230"/>
      <c r="AC519" s="230"/>
      <c r="AD519" s="230"/>
      <c r="AE519" s="247"/>
      <c r="AF519" s="1350"/>
      <c r="AG519" s="1352"/>
      <c r="AH519" s="1352"/>
      <c r="AI519" s="1350"/>
      <c r="AJ519" s="1352"/>
      <c r="AK519" s="1352"/>
      <c r="AL519" s="772"/>
    </row>
    <row r="520" spans="1:38" ht="11.25" customHeight="1">
      <c r="A520" s="1030" t="s">
        <v>1019</v>
      </c>
      <c r="B520" s="1030" t="s">
        <v>22</v>
      </c>
      <c r="E520" s="557"/>
      <c r="F520" s="1339"/>
      <c r="G520" s="1325" t="s">
        <v>103</v>
      </c>
      <c r="H520" s="1335" t="s">
        <v>89</v>
      </c>
      <c r="I520" s="1347" t="s">
        <v>1071</v>
      </c>
      <c r="J520" s="1360" t="s">
        <v>22</v>
      </c>
      <c r="K520" s="1349" t="s">
        <v>1139</v>
      </c>
      <c r="L520" s="1079" t="s">
        <v>61</v>
      </c>
      <c r="M520" s="1364" t="s">
        <v>1018</v>
      </c>
      <c r="N520" s="242"/>
      <c r="O520" s="243" t="s">
        <v>384</v>
      </c>
      <c r="P520" s="244"/>
      <c r="Q520" s="244"/>
      <c r="R520" s="244"/>
      <c r="S520" s="244"/>
      <c r="T520" s="244"/>
      <c r="U520" s="244"/>
      <c r="V520" s="244"/>
      <c r="W520" s="244"/>
      <c r="X520" s="244"/>
      <c r="Y520" s="244"/>
      <c r="Z520" s="244"/>
      <c r="AA520" s="244"/>
      <c r="AB520" s="244"/>
      <c r="AC520" s="244"/>
      <c r="AD520" s="244"/>
      <c r="AE520" s="244"/>
      <c r="AF520" s="1350">
        <v>3</v>
      </c>
      <c r="AG520" s="1352" t="s">
        <v>1055</v>
      </c>
      <c r="AH520" s="1352" t="s">
        <v>1079</v>
      </c>
      <c r="AI520" s="1350">
        <v>3</v>
      </c>
      <c r="AJ520" s="1352" t="s">
        <v>1055</v>
      </c>
      <c r="AK520" s="1352" t="s">
        <v>1079</v>
      </c>
      <c r="AL520" s="772"/>
    </row>
    <row r="521" spans="1:38" ht="11.25" customHeight="1">
      <c r="A521" s="1030" t="s">
        <v>1019</v>
      </c>
      <c r="E521" s="557"/>
      <c r="F521" s="1339"/>
      <c r="G521" s="1340"/>
      <c r="H521" s="1335" t="s">
        <v>102</v>
      </c>
      <c r="I521" s="1347"/>
      <c r="J521" s="1360"/>
      <c r="K521" s="1349"/>
      <c r="L521" s="1079"/>
      <c r="M521" s="1364"/>
      <c r="N521" s="1355"/>
      <c r="O521" s="1356">
        <v>1</v>
      </c>
      <c r="P521" s="1357" t="s">
        <v>61</v>
      </c>
      <c r="Q521" s="1348" t="s">
        <v>1074</v>
      </c>
      <c r="R521" s="1362" t="s">
        <v>1075</v>
      </c>
      <c r="S521" s="1362" t="s">
        <v>99</v>
      </c>
      <c r="T521" s="1362" t="s">
        <v>99</v>
      </c>
      <c r="U521" s="1362" t="s">
        <v>100</v>
      </c>
      <c r="V521" s="1362" t="s">
        <v>1066</v>
      </c>
      <c r="W521" s="1362" t="s">
        <v>1067</v>
      </c>
      <c r="X521" s="1362" t="s">
        <v>1076</v>
      </c>
      <c r="Y521" s="1362" t="s">
        <v>1077</v>
      </c>
      <c r="Z521" s="229"/>
      <c r="AA521" s="230"/>
      <c r="AB521" s="230"/>
      <c r="AC521" s="231"/>
      <c r="AD521" s="231"/>
      <c r="AE521" s="245"/>
      <c r="AF521" s="1350"/>
      <c r="AG521" s="1352"/>
      <c r="AH521" s="1352"/>
      <c r="AI521" s="1350"/>
      <c r="AJ521" s="1352"/>
      <c r="AK521" s="1352"/>
      <c r="AL521" s="772"/>
    </row>
    <row r="522" spans="1:38" ht="11.25" customHeight="1">
      <c r="A522" s="1030" t="s">
        <v>1019</v>
      </c>
      <c r="E522" s="557"/>
      <c r="F522" s="1339"/>
      <c r="G522" s="1340"/>
      <c r="H522" s="1335" t="s">
        <v>102</v>
      </c>
      <c r="I522" s="1347"/>
      <c r="J522" s="1360"/>
      <c r="K522" s="1349"/>
      <c r="L522" s="1079"/>
      <c r="M522" s="1364"/>
      <c r="N522" s="1355"/>
      <c r="O522" s="1356"/>
      <c r="P522" s="1358"/>
      <c r="Q522" s="1348"/>
      <c r="R522" s="1308"/>
      <c r="S522" s="1361"/>
      <c r="T522" s="1308"/>
      <c r="U522" s="1308"/>
      <c r="V522" s="1308"/>
      <c r="W522" s="1308"/>
      <c r="X522" s="1308"/>
      <c r="Y522" s="1308"/>
      <c r="AA522" s="778">
        <v>1</v>
      </c>
      <c r="AB522" s="779" t="s">
        <v>1119</v>
      </c>
      <c r="AC522" s="237">
        <v>34771.552653873601</v>
      </c>
      <c r="AD522" s="779" t="str">
        <f t="shared" ref="AD522:AE524" si="2">AB522</f>
        <v xml:space="preserve">  Прибыль направляемая на инвестиции</v>
      </c>
      <c r="AE522" s="237">
        <f t="shared" si="2"/>
        <v>34771.552653873601</v>
      </c>
      <c r="AF522" s="1350"/>
      <c r="AG522" s="1352"/>
      <c r="AH522" s="1352"/>
      <c r="AI522" s="1350"/>
      <c r="AJ522" s="1352"/>
      <c r="AK522" s="1352"/>
      <c r="AL522" s="772"/>
    </row>
    <row r="523" spans="1:38" ht="11.25" customHeight="1">
      <c r="A523" s="1030" t="s">
        <v>1019</v>
      </c>
      <c r="E523" s="557"/>
      <c r="F523" s="1340"/>
      <c r="G523" s="1340"/>
      <c r="H523" s="1340"/>
      <c r="I523" s="1340"/>
      <c r="J523" s="1340"/>
      <c r="K523" s="1340"/>
      <c r="L523" s="1340"/>
      <c r="M523" s="1365"/>
      <c r="N523" s="1340"/>
      <c r="O523" s="1340"/>
      <c r="P523" s="1340"/>
      <c r="Q523" s="1365"/>
      <c r="R523" s="1340"/>
      <c r="S523" s="1340"/>
      <c r="T523" s="1340"/>
      <c r="U523" s="1340"/>
      <c r="V523" s="1340"/>
      <c r="W523" s="1340"/>
      <c r="X523" s="1340"/>
      <c r="Y523" s="1340"/>
      <c r="Z523" s="181" t="s">
        <v>103</v>
      </c>
      <c r="AA523" s="780" t="s">
        <v>102</v>
      </c>
      <c r="AB523" s="779" t="s">
        <v>1120</v>
      </c>
      <c r="AC523" s="237">
        <v>12374.903343529701</v>
      </c>
      <c r="AD523" s="779" t="str">
        <f t="shared" si="2"/>
        <v xml:space="preserve">     Прочие амортизационные отчисления</v>
      </c>
      <c r="AE523" s="237">
        <f t="shared" si="2"/>
        <v>12374.903343529701</v>
      </c>
      <c r="AF523" s="1351"/>
      <c r="AG523" s="1353"/>
      <c r="AH523" s="1353"/>
      <c r="AI523" s="1351"/>
      <c r="AJ523" s="1353"/>
      <c r="AK523" s="1354"/>
      <c r="AL523" s="772"/>
    </row>
    <row r="524" spans="1:38" ht="11.25" customHeight="1">
      <c r="A524" s="1030" t="s">
        <v>1019</v>
      </c>
      <c r="E524" s="557"/>
      <c r="F524" s="1340"/>
      <c r="G524" s="1340"/>
      <c r="H524" s="1340"/>
      <c r="I524" s="1340"/>
      <c r="J524" s="1340"/>
      <c r="K524" s="1340"/>
      <c r="L524" s="1340"/>
      <c r="M524" s="1365"/>
      <c r="N524" s="1340"/>
      <c r="O524" s="1340"/>
      <c r="P524" s="1340"/>
      <c r="Q524" s="1365"/>
      <c r="R524" s="1340"/>
      <c r="S524" s="1340"/>
      <c r="T524" s="1340"/>
      <c r="U524" s="1340"/>
      <c r="V524" s="1340"/>
      <c r="W524" s="1340"/>
      <c r="X524" s="1340"/>
      <c r="Y524" s="1340"/>
      <c r="Z524" s="181" t="s">
        <v>103</v>
      </c>
      <c r="AA524" s="780" t="s">
        <v>89</v>
      </c>
      <c r="AB524" s="779" t="s">
        <v>1138</v>
      </c>
      <c r="AC524" s="237">
        <v>6530.0806025967604</v>
      </c>
      <c r="AD524" s="779" t="str">
        <f t="shared" si="2"/>
        <v xml:space="preserve">  Прочие собственные средства</v>
      </c>
      <c r="AE524" s="237">
        <f t="shared" si="2"/>
        <v>6530.0806025967604</v>
      </c>
      <c r="AF524" s="1351"/>
      <c r="AG524" s="1353"/>
      <c r="AH524" s="1353"/>
      <c r="AI524" s="1351"/>
      <c r="AJ524" s="1353"/>
      <c r="AK524" s="1354"/>
      <c r="AL524" s="772"/>
    </row>
    <row r="525" spans="1:38" ht="11.25" customHeight="1">
      <c r="A525" s="1030" t="s">
        <v>1019</v>
      </c>
      <c r="E525" s="557"/>
      <c r="F525" s="1339"/>
      <c r="G525" s="1340"/>
      <c r="H525" s="1335" t="s">
        <v>102</v>
      </c>
      <c r="I525" s="1347"/>
      <c r="J525" s="1360"/>
      <c r="K525" s="1349"/>
      <c r="L525" s="1079"/>
      <c r="M525" s="1364"/>
      <c r="N525" s="1355"/>
      <c r="O525" s="1356"/>
      <c r="P525" s="1359"/>
      <c r="Q525" s="1348"/>
      <c r="R525" s="1308"/>
      <c r="S525" s="1361"/>
      <c r="T525" s="1308"/>
      <c r="U525" s="1308"/>
      <c r="V525" s="1308"/>
      <c r="W525" s="1308"/>
      <c r="X525" s="1308"/>
      <c r="Y525" s="1308"/>
      <c r="Z525" s="229"/>
      <c r="AA525" s="230"/>
      <c r="AB525" s="44" t="s">
        <v>1059</v>
      </c>
      <c r="AC525" s="231"/>
      <c r="AD525" s="231"/>
      <c r="AE525" s="246"/>
      <c r="AF525" s="1350"/>
      <c r="AG525" s="1352"/>
      <c r="AH525" s="1352"/>
      <c r="AI525" s="1350"/>
      <c r="AJ525" s="1352"/>
      <c r="AK525" s="1352"/>
      <c r="AL525" s="772"/>
    </row>
    <row r="526" spans="1:38" ht="11.25" customHeight="1">
      <c r="A526" s="1030" t="s">
        <v>1019</v>
      </c>
      <c r="E526" s="557"/>
      <c r="F526" s="1339"/>
      <c r="G526" s="1340"/>
      <c r="H526" s="1335" t="s">
        <v>102</v>
      </c>
      <c r="I526" s="1347"/>
      <c r="J526" s="1360"/>
      <c r="K526" s="1349"/>
      <c r="L526" s="1079"/>
      <c r="M526" s="1364"/>
      <c r="N526" s="229"/>
      <c r="O526" s="230"/>
      <c r="P526" s="44" t="s">
        <v>1060</v>
      </c>
      <c r="Q526" s="230"/>
      <c r="R526" s="230"/>
      <c r="S526" s="230"/>
      <c r="T526" s="230"/>
      <c r="U526" s="230"/>
      <c r="V526" s="230"/>
      <c r="W526" s="230"/>
      <c r="X526" s="230"/>
      <c r="Y526" s="230"/>
      <c r="Z526" s="230"/>
      <c r="AA526" s="230"/>
      <c r="AB526" s="230"/>
      <c r="AC526" s="230"/>
      <c r="AD526" s="230"/>
      <c r="AE526" s="247"/>
      <c r="AF526" s="1350"/>
      <c r="AG526" s="1352"/>
      <c r="AH526" s="1352"/>
      <c r="AI526" s="1350"/>
      <c r="AJ526" s="1352"/>
      <c r="AK526" s="1352"/>
      <c r="AL526" s="772"/>
    </row>
    <row r="527" spans="1:38" ht="11.25" customHeight="1">
      <c r="A527" s="1030" t="s">
        <v>1019</v>
      </c>
      <c r="B527" s="1030" t="s">
        <v>22</v>
      </c>
      <c r="E527" s="557"/>
      <c r="F527" s="1339"/>
      <c r="G527" s="1325" t="s">
        <v>103</v>
      </c>
      <c r="H527" s="1335" t="s">
        <v>90</v>
      </c>
      <c r="I527" s="1347" t="s">
        <v>1071</v>
      </c>
      <c r="J527" s="1360" t="s">
        <v>22</v>
      </c>
      <c r="K527" s="1349" t="s">
        <v>1106</v>
      </c>
      <c r="L527" s="1079" t="s">
        <v>19</v>
      </c>
      <c r="M527" s="1080"/>
      <c r="N527" s="242"/>
      <c r="O527" s="243" t="s">
        <v>384</v>
      </c>
      <c r="P527" s="244"/>
      <c r="Q527" s="244"/>
      <c r="R527" s="244"/>
      <c r="S527" s="244"/>
      <c r="T527" s="244"/>
      <c r="U527" s="244"/>
      <c r="V527" s="244"/>
      <c r="W527" s="244"/>
      <c r="X527" s="244"/>
      <c r="Y527" s="244"/>
      <c r="Z527" s="244"/>
      <c r="AA527" s="244"/>
      <c r="AB527" s="244"/>
      <c r="AC527" s="244"/>
      <c r="AD527" s="244"/>
      <c r="AE527" s="244"/>
      <c r="AF527" s="1350">
        <v>2</v>
      </c>
      <c r="AG527" s="1352" t="s">
        <v>1055</v>
      </c>
      <c r="AH527" s="1352" t="s">
        <v>1107</v>
      </c>
      <c r="AI527" s="1350">
        <v>2</v>
      </c>
      <c r="AJ527" s="1352" t="s">
        <v>1055</v>
      </c>
      <c r="AK527" s="1352" t="s">
        <v>1107</v>
      </c>
      <c r="AL527" s="772"/>
    </row>
    <row r="528" spans="1:38" ht="11.25" customHeight="1">
      <c r="A528" s="1030" t="s">
        <v>1019</v>
      </c>
      <c r="E528" s="557"/>
      <c r="F528" s="1339"/>
      <c r="G528" s="1340"/>
      <c r="H528" s="1335" t="s">
        <v>89</v>
      </c>
      <c r="I528" s="1347"/>
      <c r="J528" s="1360"/>
      <c r="K528" s="1349"/>
      <c r="L528" s="1079"/>
      <c r="M528" s="1080"/>
      <c r="N528" s="1355"/>
      <c r="O528" s="1356">
        <v>1</v>
      </c>
      <c r="P528" s="1357" t="s">
        <v>61</v>
      </c>
      <c r="Q528" s="1348" t="s">
        <v>1108</v>
      </c>
      <c r="R528" s="1362" t="s">
        <v>1075</v>
      </c>
      <c r="S528" s="1362" t="s">
        <v>99</v>
      </c>
      <c r="T528" s="1362" t="s">
        <v>99</v>
      </c>
      <c r="U528" s="1362" t="s">
        <v>100</v>
      </c>
      <c r="V528" s="1362" t="s">
        <v>1066</v>
      </c>
      <c r="W528" s="1362" t="s">
        <v>1067</v>
      </c>
      <c r="X528" s="1362" t="s">
        <v>1109</v>
      </c>
      <c r="Y528" s="1362" t="s">
        <v>1013</v>
      </c>
      <c r="Z528" s="229"/>
      <c r="AA528" s="230"/>
      <c r="AB528" s="230"/>
      <c r="AC528" s="231"/>
      <c r="AD528" s="231"/>
      <c r="AE528" s="245"/>
      <c r="AF528" s="1350"/>
      <c r="AG528" s="1352"/>
      <c r="AH528" s="1352"/>
      <c r="AI528" s="1350"/>
      <c r="AJ528" s="1352"/>
      <c r="AK528" s="1352"/>
      <c r="AL528" s="772"/>
    </row>
    <row r="529" spans="1:38" ht="11.25" customHeight="1">
      <c r="A529" s="1030" t="s">
        <v>1019</v>
      </c>
      <c r="E529" s="557"/>
      <c r="F529" s="1339"/>
      <c r="G529" s="1340"/>
      <c r="H529" s="1335" t="s">
        <v>89</v>
      </c>
      <c r="I529" s="1347"/>
      <c r="J529" s="1360"/>
      <c r="K529" s="1349"/>
      <c r="L529" s="1079"/>
      <c r="M529" s="1080"/>
      <c r="N529" s="1355"/>
      <c r="O529" s="1356"/>
      <c r="P529" s="1358"/>
      <c r="Q529" s="1348"/>
      <c r="R529" s="1308"/>
      <c r="S529" s="1361"/>
      <c r="T529" s="1308"/>
      <c r="U529" s="1308"/>
      <c r="V529" s="1308"/>
      <c r="W529" s="1308"/>
      <c r="X529" s="1308"/>
      <c r="Y529" s="1308"/>
      <c r="AA529" s="778">
        <v>1</v>
      </c>
      <c r="AB529" s="779" t="s">
        <v>1119</v>
      </c>
      <c r="AC529" s="237">
        <v>60364.573904697099</v>
      </c>
      <c r="AD529" s="779" t="str">
        <f t="shared" ref="AD529:AE531" si="3">AB529</f>
        <v xml:space="preserve">  Прибыль направляемая на инвестиции</v>
      </c>
      <c r="AE529" s="237">
        <f t="shared" si="3"/>
        <v>60364.573904697099</v>
      </c>
      <c r="AF529" s="1350"/>
      <c r="AG529" s="1352"/>
      <c r="AH529" s="1352"/>
      <c r="AI529" s="1350"/>
      <c r="AJ529" s="1352"/>
      <c r="AK529" s="1352"/>
      <c r="AL529" s="772"/>
    </row>
    <row r="530" spans="1:38" ht="11.25" customHeight="1">
      <c r="A530" s="1030" t="s">
        <v>1019</v>
      </c>
      <c r="E530" s="557"/>
      <c r="F530" s="1340"/>
      <c r="G530" s="1340"/>
      <c r="H530" s="1340"/>
      <c r="I530" s="1340"/>
      <c r="J530" s="1340"/>
      <c r="K530" s="1340"/>
      <c r="L530" s="1340"/>
      <c r="M530" s="1340"/>
      <c r="N530" s="1340"/>
      <c r="O530" s="1340"/>
      <c r="P530" s="1340"/>
      <c r="Q530" s="1365"/>
      <c r="R530" s="1340"/>
      <c r="S530" s="1340"/>
      <c r="T530" s="1340"/>
      <c r="U530" s="1340"/>
      <c r="V530" s="1340"/>
      <c r="W530" s="1340"/>
      <c r="X530" s="1340"/>
      <c r="Y530" s="1340"/>
      <c r="Z530" s="181" t="s">
        <v>103</v>
      </c>
      <c r="AA530" s="780" t="s">
        <v>102</v>
      </c>
      <c r="AB530" s="779" t="s">
        <v>1120</v>
      </c>
      <c r="AC530" s="237">
        <v>21483.2445039167</v>
      </c>
      <c r="AD530" s="779" t="str">
        <f t="shared" si="3"/>
        <v xml:space="preserve">     Прочие амортизационные отчисления</v>
      </c>
      <c r="AE530" s="237">
        <f t="shared" si="3"/>
        <v>21483.2445039167</v>
      </c>
      <c r="AF530" s="1351"/>
      <c r="AG530" s="1353"/>
      <c r="AH530" s="1353"/>
      <c r="AI530" s="1351"/>
      <c r="AJ530" s="1353"/>
      <c r="AK530" s="1354"/>
      <c r="AL530" s="772"/>
    </row>
    <row r="531" spans="1:38" ht="11.25" customHeight="1">
      <c r="A531" s="1030" t="s">
        <v>1019</v>
      </c>
      <c r="E531" s="557"/>
      <c r="F531" s="1340"/>
      <c r="G531" s="1340"/>
      <c r="H531" s="1340"/>
      <c r="I531" s="1340"/>
      <c r="J531" s="1340"/>
      <c r="K531" s="1340"/>
      <c r="L531" s="1340"/>
      <c r="M531" s="1340"/>
      <c r="N531" s="1340"/>
      <c r="O531" s="1340"/>
      <c r="P531" s="1340"/>
      <c r="Q531" s="1365"/>
      <c r="R531" s="1340"/>
      <c r="S531" s="1340"/>
      <c r="T531" s="1340"/>
      <c r="U531" s="1340"/>
      <c r="V531" s="1340"/>
      <c r="W531" s="1340"/>
      <c r="X531" s="1340"/>
      <c r="Y531" s="1340"/>
      <c r="Z531" s="181" t="s">
        <v>103</v>
      </c>
      <c r="AA531" s="780" t="s">
        <v>89</v>
      </c>
      <c r="AB531" s="779" t="s">
        <v>1138</v>
      </c>
      <c r="AC531" s="237">
        <v>11336.437491386199</v>
      </c>
      <c r="AD531" s="779" t="str">
        <f t="shared" si="3"/>
        <v xml:space="preserve">  Прочие собственные средства</v>
      </c>
      <c r="AE531" s="237">
        <f t="shared" si="3"/>
        <v>11336.437491386199</v>
      </c>
      <c r="AF531" s="1351"/>
      <c r="AG531" s="1353"/>
      <c r="AH531" s="1353"/>
      <c r="AI531" s="1351"/>
      <c r="AJ531" s="1353"/>
      <c r="AK531" s="1354"/>
      <c r="AL531" s="772"/>
    </row>
    <row r="532" spans="1:38" ht="11.25" customHeight="1">
      <c r="A532" s="1030" t="s">
        <v>1019</v>
      </c>
      <c r="E532" s="557"/>
      <c r="F532" s="1339"/>
      <c r="G532" s="1340"/>
      <c r="H532" s="1335" t="s">
        <v>89</v>
      </c>
      <c r="I532" s="1347"/>
      <c r="J532" s="1360"/>
      <c r="K532" s="1349"/>
      <c r="L532" s="1079"/>
      <c r="M532" s="1080"/>
      <c r="N532" s="1355"/>
      <c r="O532" s="1356"/>
      <c r="P532" s="1359"/>
      <c r="Q532" s="1348"/>
      <c r="R532" s="1308"/>
      <c r="S532" s="1361"/>
      <c r="T532" s="1308"/>
      <c r="U532" s="1308"/>
      <c r="V532" s="1308"/>
      <c r="W532" s="1308"/>
      <c r="X532" s="1308"/>
      <c r="Y532" s="1308"/>
      <c r="Z532" s="229"/>
      <c r="AA532" s="230"/>
      <c r="AB532" s="44" t="s">
        <v>1059</v>
      </c>
      <c r="AC532" s="231"/>
      <c r="AD532" s="231"/>
      <c r="AE532" s="246"/>
      <c r="AF532" s="1350"/>
      <c r="AG532" s="1352"/>
      <c r="AH532" s="1352"/>
      <c r="AI532" s="1350"/>
      <c r="AJ532" s="1352"/>
      <c r="AK532" s="1352"/>
      <c r="AL532" s="772"/>
    </row>
    <row r="533" spans="1:38" ht="11.25" customHeight="1">
      <c r="A533" s="1030" t="s">
        <v>1019</v>
      </c>
      <c r="E533" s="557"/>
      <c r="F533" s="1339"/>
      <c r="G533" s="1340"/>
      <c r="H533" s="1335" t="s">
        <v>89</v>
      </c>
      <c r="I533" s="1347"/>
      <c r="J533" s="1360"/>
      <c r="K533" s="1349"/>
      <c r="L533" s="1079"/>
      <c r="M533" s="1080"/>
      <c r="N533" s="229"/>
      <c r="O533" s="230"/>
      <c r="P533" s="44" t="s">
        <v>1060</v>
      </c>
      <c r="Q533" s="230"/>
      <c r="R533" s="230"/>
      <c r="S533" s="230"/>
      <c r="T533" s="230"/>
      <c r="U533" s="230"/>
      <c r="V533" s="230"/>
      <c r="W533" s="230"/>
      <c r="X533" s="230"/>
      <c r="Y533" s="230"/>
      <c r="Z533" s="230"/>
      <c r="AA533" s="230"/>
      <c r="AB533" s="230"/>
      <c r="AC533" s="230"/>
      <c r="AD533" s="230"/>
      <c r="AE533" s="247"/>
      <c r="AF533" s="1350"/>
      <c r="AG533" s="1352"/>
      <c r="AH533" s="1352"/>
      <c r="AI533" s="1350"/>
      <c r="AJ533" s="1352"/>
      <c r="AK533" s="1352"/>
      <c r="AL533" s="772"/>
    </row>
    <row r="534" spans="1:38" ht="11.25" customHeight="1">
      <c r="A534" s="1030" t="s">
        <v>1019</v>
      </c>
      <c r="B534" s="1030" t="s">
        <v>1051</v>
      </c>
      <c r="E534" s="557"/>
      <c r="F534" s="1339"/>
      <c r="G534" s="1325" t="s">
        <v>103</v>
      </c>
      <c r="H534" s="1335" t="s">
        <v>115</v>
      </c>
      <c r="I534" s="1347" t="s">
        <v>1052</v>
      </c>
      <c r="J534" s="1363" t="s">
        <v>1093</v>
      </c>
      <c r="K534" s="1349" t="s">
        <v>1100</v>
      </c>
      <c r="L534" s="1079" t="s">
        <v>19</v>
      </c>
      <c r="M534" s="1080"/>
      <c r="N534" s="242"/>
      <c r="O534" s="243" t="s">
        <v>384</v>
      </c>
      <c r="P534" s="244"/>
      <c r="Q534" s="244"/>
      <c r="R534" s="244"/>
      <c r="S534" s="244"/>
      <c r="T534" s="244"/>
      <c r="U534" s="244"/>
      <c r="V534" s="244"/>
      <c r="W534" s="244"/>
      <c r="X534" s="244"/>
      <c r="Y534" s="244"/>
      <c r="Z534" s="244"/>
      <c r="AA534" s="244"/>
      <c r="AB534" s="244"/>
      <c r="AC534" s="244"/>
      <c r="AD534" s="244"/>
      <c r="AE534" s="244"/>
      <c r="AF534" s="1350">
        <v>7</v>
      </c>
      <c r="AG534" s="1352" t="s">
        <v>1055</v>
      </c>
      <c r="AH534" s="1352" t="s">
        <v>1101</v>
      </c>
      <c r="AI534" s="1350">
        <v>7</v>
      </c>
      <c r="AJ534" s="1352" t="s">
        <v>1055</v>
      </c>
      <c r="AK534" s="1352" t="s">
        <v>1101</v>
      </c>
      <c r="AL534" s="772"/>
    </row>
    <row r="535" spans="1:38" ht="11.25" customHeight="1">
      <c r="A535" s="1030" t="s">
        <v>1019</v>
      </c>
      <c r="E535" s="557"/>
      <c r="F535" s="1339"/>
      <c r="G535" s="1340"/>
      <c r="H535" s="1335" t="s">
        <v>90</v>
      </c>
      <c r="I535" s="1347"/>
      <c r="J535" s="1363"/>
      <c r="K535" s="1349"/>
      <c r="L535" s="1079"/>
      <c r="M535" s="1080"/>
      <c r="N535" s="1355"/>
      <c r="O535" s="1356">
        <v>1</v>
      </c>
      <c r="P535" s="1357" t="s">
        <v>19</v>
      </c>
      <c r="Q535" s="1308" t="s">
        <v>22</v>
      </c>
      <c r="R535" s="1308" t="s">
        <v>22</v>
      </c>
      <c r="S535" s="1308" t="s">
        <v>22</v>
      </c>
      <c r="T535" s="1308" t="s">
        <v>22</v>
      </c>
      <c r="U535" s="1308" t="s">
        <v>22</v>
      </c>
      <c r="V535" s="1308" t="s">
        <v>22</v>
      </c>
      <c r="W535" s="1308" t="s">
        <v>22</v>
      </c>
      <c r="X535" s="1308" t="s">
        <v>22</v>
      </c>
      <c r="Y535" s="1308"/>
      <c r="Z535" s="229"/>
      <c r="AA535" s="230"/>
      <c r="AB535" s="230"/>
      <c r="AC535" s="231"/>
      <c r="AD535" s="231"/>
      <c r="AE535" s="245"/>
      <c r="AF535" s="1350"/>
      <c r="AG535" s="1352"/>
      <c r="AH535" s="1352"/>
      <c r="AI535" s="1350"/>
      <c r="AJ535" s="1352"/>
      <c r="AK535" s="1352"/>
      <c r="AL535" s="772"/>
    </row>
    <row r="536" spans="1:38" ht="11.25" customHeight="1">
      <c r="A536" s="1030" t="s">
        <v>1019</v>
      </c>
      <c r="E536" s="557"/>
      <c r="F536" s="1339"/>
      <c r="G536" s="1340"/>
      <c r="H536" s="1335" t="s">
        <v>90</v>
      </c>
      <c r="I536" s="1347"/>
      <c r="J536" s="1363"/>
      <c r="K536" s="1349"/>
      <c r="L536" s="1079"/>
      <c r="M536" s="1080"/>
      <c r="N536" s="1355"/>
      <c r="O536" s="1356"/>
      <c r="P536" s="1358"/>
      <c r="Q536" s="1308"/>
      <c r="R536" s="1308"/>
      <c r="S536" s="1361"/>
      <c r="T536" s="1308"/>
      <c r="U536" s="1308"/>
      <c r="V536" s="1308"/>
      <c r="W536" s="1308"/>
      <c r="X536" s="1308"/>
      <c r="Y536" s="1308"/>
      <c r="AA536" s="778">
        <v>1</v>
      </c>
      <c r="AB536" s="779" t="s">
        <v>1119</v>
      </c>
      <c r="AC536" s="237">
        <v>2270.38653306587</v>
      </c>
      <c r="AD536" s="779" t="str">
        <f t="shared" ref="AD536:AE538" si="4">AB536</f>
        <v xml:space="preserve">  Прибыль направляемая на инвестиции</v>
      </c>
      <c r="AE536" s="237">
        <f t="shared" si="4"/>
        <v>2270.38653306587</v>
      </c>
      <c r="AF536" s="1350"/>
      <c r="AG536" s="1352"/>
      <c r="AH536" s="1352"/>
      <c r="AI536" s="1350"/>
      <c r="AJ536" s="1352"/>
      <c r="AK536" s="1352"/>
      <c r="AL536" s="772"/>
    </row>
    <row r="537" spans="1:38" ht="11.25" customHeight="1">
      <c r="A537" s="1030" t="s">
        <v>1019</v>
      </c>
      <c r="E537" s="557"/>
      <c r="F537" s="1340"/>
      <c r="G537" s="1340"/>
      <c r="H537" s="1340"/>
      <c r="I537" s="1340"/>
      <c r="J537" s="1340"/>
      <c r="K537" s="1340"/>
      <c r="L537" s="1340"/>
      <c r="M537" s="1340"/>
      <c r="N537" s="1340"/>
      <c r="O537" s="1340"/>
      <c r="P537" s="1340"/>
      <c r="Q537" s="1340"/>
      <c r="R537" s="1340"/>
      <c r="S537" s="1340"/>
      <c r="T537" s="1340"/>
      <c r="U537" s="1340"/>
      <c r="V537" s="1340"/>
      <c r="W537" s="1340"/>
      <c r="X537" s="1340"/>
      <c r="Y537" s="1340"/>
      <c r="Z537" s="181" t="s">
        <v>103</v>
      </c>
      <c r="AA537" s="780" t="s">
        <v>102</v>
      </c>
      <c r="AB537" s="779" t="s">
        <v>1120</v>
      </c>
      <c r="AC537" s="237">
        <v>808.01148510150404</v>
      </c>
      <c r="AD537" s="779" t="str">
        <f t="shared" si="4"/>
        <v xml:space="preserve">     Прочие амортизационные отчисления</v>
      </c>
      <c r="AE537" s="237">
        <f t="shared" si="4"/>
        <v>808.01148510150404</v>
      </c>
      <c r="AF537" s="1351"/>
      <c r="AG537" s="1353"/>
      <c r="AH537" s="1353"/>
      <c r="AI537" s="1351"/>
      <c r="AJ537" s="1353"/>
      <c r="AK537" s="1354"/>
      <c r="AL537" s="772"/>
    </row>
    <row r="538" spans="1:38" ht="11.25" customHeight="1">
      <c r="A538" s="1030" t="s">
        <v>1019</v>
      </c>
      <c r="E538" s="557"/>
      <c r="F538" s="1340"/>
      <c r="G538" s="1340"/>
      <c r="H538" s="1340"/>
      <c r="I538" s="1340"/>
      <c r="J538" s="1340"/>
      <c r="K538" s="1340"/>
      <c r="L538" s="1340"/>
      <c r="M538" s="1340"/>
      <c r="N538" s="1340"/>
      <c r="O538" s="1340"/>
      <c r="P538" s="1340"/>
      <c r="Q538" s="1340"/>
      <c r="R538" s="1340"/>
      <c r="S538" s="1340"/>
      <c r="T538" s="1340"/>
      <c r="U538" s="1340"/>
      <c r="V538" s="1340"/>
      <c r="W538" s="1340"/>
      <c r="X538" s="1340"/>
      <c r="Y538" s="1340"/>
      <c r="Z538" s="181" t="s">
        <v>103</v>
      </c>
      <c r="AA538" s="780" t="s">
        <v>89</v>
      </c>
      <c r="AB538" s="779" t="s">
        <v>1138</v>
      </c>
      <c r="AC538" s="237">
        <v>426.37748183265899</v>
      </c>
      <c r="AD538" s="779" t="str">
        <f t="shared" si="4"/>
        <v xml:space="preserve">  Прочие собственные средства</v>
      </c>
      <c r="AE538" s="237">
        <f t="shared" si="4"/>
        <v>426.37748183265899</v>
      </c>
      <c r="AF538" s="1351"/>
      <c r="AG538" s="1353"/>
      <c r="AH538" s="1353"/>
      <c r="AI538" s="1351"/>
      <c r="AJ538" s="1353"/>
      <c r="AK538" s="1354"/>
      <c r="AL538" s="772"/>
    </row>
    <row r="539" spans="1:38" ht="11.25" customHeight="1">
      <c r="A539" s="1030" t="s">
        <v>1019</v>
      </c>
      <c r="E539" s="557"/>
      <c r="F539" s="1339"/>
      <c r="G539" s="1340"/>
      <c r="H539" s="1335" t="s">
        <v>90</v>
      </c>
      <c r="I539" s="1347"/>
      <c r="J539" s="1363"/>
      <c r="K539" s="1349"/>
      <c r="L539" s="1079"/>
      <c r="M539" s="1080"/>
      <c r="N539" s="1355"/>
      <c r="O539" s="1356"/>
      <c r="P539" s="1359"/>
      <c r="Q539" s="1308"/>
      <c r="R539" s="1308"/>
      <c r="S539" s="1361"/>
      <c r="T539" s="1308"/>
      <c r="U539" s="1308"/>
      <c r="V539" s="1308"/>
      <c r="W539" s="1308"/>
      <c r="X539" s="1308"/>
      <c r="Y539" s="1308"/>
      <c r="Z539" s="229"/>
      <c r="AA539" s="230"/>
      <c r="AB539" s="44" t="s">
        <v>1059</v>
      </c>
      <c r="AC539" s="231"/>
      <c r="AD539" s="231"/>
      <c r="AE539" s="246"/>
      <c r="AF539" s="1350"/>
      <c r="AG539" s="1352"/>
      <c r="AH539" s="1352"/>
      <c r="AI539" s="1350"/>
      <c r="AJ539" s="1352"/>
      <c r="AK539" s="1352"/>
      <c r="AL539" s="772"/>
    </row>
    <row r="540" spans="1:38" ht="11.25" customHeight="1">
      <c r="A540" s="1030" t="s">
        <v>1019</v>
      </c>
      <c r="E540" s="557"/>
      <c r="F540" s="1339"/>
      <c r="G540" s="1340"/>
      <c r="H540" s="1335" t="s">
        <v>90</v>
      </c>
      <c r="I540" s="1347"/>
      <c r="J540" s="1363"/>
      <c r="K540" s="1349"/>
      <c r="L540" s="1079"/>
      <c r="M540" s="1080"/>
      <c r="N540" s="229"/>
      <c r="O540" s="230"/>
      <c r="P540" s="44" t="s">
        <v>1060</v>
      </c>
      <c r="Q540" s="230"/>
      <c r="R540" s="230"/>
      <c r="S540" s="230"/>
      <c r="T540" s="230"/>
      <c r="U540" s="230"/>
      <c r="V540" s="230"/>
      <c r="W540" s="230"/>
      <c r="X540" s="230"/>
      <c r="Y540" s="230"/>
      <c r="Z540" s="230"/>
      <c r="AA540" s="230"/>
      <c r="AB540" s="230"/>
      <c r="AC540" s="230"/>
      <c r="AD540" s="230"/>
      <c r="AE540" s="247"/>
      <c r="AF540" s="1350"/>
      <c r="AG540" s="1352"/>
      <c r="AH540" s="1352"/>
      <c r="AI540" s="1350"/>
      <c r="AJ540" s="1352"/>
      <c r="AK540" s="1352"/>
      <c r="AL540" s="772"/>
    </row>
    <row r="541" spans="1:38" ht="11.25" customHeight="1">
      <c r="A541" s="1030" t="s">
        <v>1019</v>
      </c>
      <c r="B541" s="1030" t="s">
        <v>1051</v>
      </c>
      <c r="E541" s="557"/>
      <c r="F541" s="1339"/>
      <c r="G541" s="1325" t="s">
        <v>103</v>
      </c>
      <c r="H541" s="1335" t="s">
        <v>91</v>
      </c>
      <c r="I541" s="1347" t="s">
        <v>1052</v>
      </c>
      <c r="J541" s="1363" t="s">
        <v>1053</v>
      </c>
      <c r="K541" s="1349" t="s">
        <v>1078</v>
      </c>
      <c r="L541" s="1079" t="s">
        <v>61</v>
      </c>
      <c r="M541" s="1364" t="s">
        <v>1018</v>
      </c>
      <c r="N541" s="242"/>
      <c r="O541" s="243" t="s">
        <v>384</v>
      </c>
      <c r="P541" s="244"/>
      <c r="Q541" s="244"/>
      <c r="R541" s="244"/>
      <c r="S541" s="244"/>
      <c r="T541" s="244"/>
      <c r="U541" s="244"/>
      <c r="V541" s="244"/>
      <c r="W541" s="244"/>
      <c r="X541" s="244"/>
      <c r="Y541" s="244"/>
      <c r="Z541" s="244"/>
      <c r="AA541" s="244"/>
      <c r="AB541" s="244"/>
      <c r="AC541" s="244"/>
      <c r="AD541" s="244"/>
      <c r="AE541" s="244"/>
      <c r="AF541" s="1350">
        <v>3</v>
      </c>
      <c r="AG541" s="1352" t="s">
        <v>1055</v>
      </c>
      <c r="AH541" s="1352" t="s">
        <v>1079</v>
      </c>
      <c r="AI541" s="1350">
        <v>3</v>
      </c>
      <c r="AJ541" s="1352" t="s">
        <v>1055</v>
      </c>
      <c r="AK541" s="1352" t="s">
        <v>1079</v>
      </c>
      <c r="AL541" s="772"/>
    </row>
    <row r="542" spans="1:38" ht="11.25" customHeight="1">
      <c r="A542" s="1030" t="s">
        <v>1019</v>
      </c>
      <c r="E542" s="557"/>
      <c r="F542" s="1339"/>
      <c r="G542" s="1340"/>
      <c r="H542" s="1335" t="s">
        <v>115</v>
      </c>
      <c r="I542" s="1347"/>
      <c r="J542" s="1363"/>
      <c r="K542" s="1349"/>
      <c r="L542" s="1079"/>
      <c r="M542" s="1364"/>
      <c r="N542" s="1355"/>
      <c r="O542" s="1356">
        <v>1</v>
      </c>
      <c r="P542" s="1357" t="s">
        <v>19</v>
      </c>
      <c r="Q542" s="1308" t="s">
        <v>22</v>
      </c>
      <c r="R542" s="1308" t="s">
        <v>22</v>
      </c>
      <c r="S542" s="1308" t="s">
        <v>22</v>
      </c>
      <c r="T542" s="1308" t="s">
        <v>22</v>
      </c>
      <c r="U542" s="1308" t="s">
        <v>22</v>
      </c>
      <c r="V542" s="1308" t="s">
        <v>22</v>
      </c>
      <c r="W542" s="1308" t="s">
        <v>22</v>
      </c>
      <c r="X542" s="1308" t="s">
        <v>22</v>
      </c>
      <c r="Y542" s="1308"/>
      <c r="Z542" s="229"/>
      <c r="AA542" s="230"/>
      <c r="AB542" s="230"/>
      <c r="AC542" s="231"/>
      <c r="AD542" s="231"/>
      <c r="AE542" s="245"/>
      <c r="AF542" s="1350"/>
      <c r="AG542" s="1352"/>
      <c r="AH542" s="1352"/>
      <c r="AI542" s="1350"/>
      <c r="AJ542" s="1352"/>
      <c r="AK542" s="1352"/>
      <c r="AL542" s="772"/>
    </row>
    <row r="543" spans="1:38" ht="11.25" customHeight="1">
      <c r="A543" s="1030" t="s">
        <v>1019</v>
      </c>
      <c r="E543" s="557"/>
      <c r="F543" s="1339"/>
      <c r="G543" s="1340"/>
      <c r="H543" s="1335" t="s">
        <v>115</v>
      </c>
      <c r="I543" s="1347"/>
      <c r="J543" s="1363"/>
      <c r="K543" s="1349"/>
      <c r="L543" s="1079"/>
      <c r="M543" s="1364"/>
      <c r="N543" s="1355"/>
      <c r="O543" s="1356"/>
      <c r="P543" s="1358"/>
      <c r="Q543" s="1308"/>
      <c r="R543" s="1308"/>
      <c r="S543" s="1361"/>
      <c r="T543" s="1308"/>
      <c r="U543" s="1308"/>
      <c r="V543" s="1308"/>
      <c r="W543" s="1308"/>
      <c r="X543" s="1308"/>
      <c r="Y543" s="1308"/>
      <c r="AA543" s="778">
        <v>1</v>
      </c>
      <c r="AB543" s="779" t="s">
        <v>1119</v>
      </c>
      <c r="AC543" s="237">
        <v>5054.29305502645</v>
      </c>
      <c r="AD543" s="779" t="str">
        <f t="shared" ref="AD543:AE545" si="5">AB543</f>
        <v xml:space="preserve">  Прибыль направляемая на инвестиции</v>
      </c>
      <c r="AE543" s="237">
        <f t="shared" si="5"/>
        <v>5054.29305502645</v>
      </c>
      <c r="AF543" s="1350"/>
      <c r="AG543" s="1352"/>
      <c r="AH543" s="1352"/>
      <c r="AI543" s="1350"/>
      <c r="AJ543" s="1352"/>
      <c r="AK543" s="1352"/>
      <c r="AL543" s="772"/>
    </row>
    <row r="544" spans="1:38" ht="11.25" customHeight="1">
      <c r="A544" s="1030" t="s">
        <v>1019</v>
      </c>
      <c r="E544" s="557"/>
      <c r="F544" s="1340"/>
      <c r="G544" s="1340"/>
      <c r="H544" s="1340"/>
      <c r="I544" s="1340"/>
      <c r="J544" s="1340"/>
      <c r="K544" s="1340"/>
      <c r="L544" s="1340"/>
      <c r="M544" s="1365"/>
      <c r="N544" s="1340"/>
      <c r="O544" s="1340"/>
      <c r="P544" s="1340"/>
      <c r="Q544" s="1340"/>
      <c r="R544" s="1340"/>
      <c r="S544" s="1340"/>
      <c r="T544" s="1340"/>
      <c r="U544" s="1340"/>
      <c r="V544" s="1340"/>
      <c r="W544" s="1340"/>
      <c r="X544" s="1340"/>
      <c r="Y544" s="1340"/>
      <c r="Z544" s="181" t="s">
        <v>103</v>
      </c>
      <c r="AA544" s="780" t="s">
        <v>102</v>
      </c>
      <c r="AB544" s="779" t="s">
        <v>1120</v>
      </c>
      <c r="AC544" s="237">
        <v>1798.7804182468101</v>
      </c>
      <c r="AD544" s="779" t="str">
        <f t="shared" si="5"/>
        <v xml:space="preserve">     Прочие амортизационные отчисления</v>
      </c>
      <c r="AE544" s="237">
        <f t="shared" si="5"/>
        <v>1798.7804182468101</v>
      </c>
      <c r="AF544" s="1351"/>
      <c r="AG544" s="1353"/>
      <c r="AH544" s="1353"/>
      <c r="AI544" s="1351"/>
      <c r="AJ544" s="1353"/>
      <c r="AK544" s="1354"/>
      <c r="AL544" s="772"/>
    </row>
    <row r="545" spans="1:38" ht="11.25" customHeight="1">
      <c r="A545" s="1030" t="s">
        <v>1019</v>
      </c>
      <c r="E545" s="557"/>
      <c r="F545" s="1340"/>
      <c r="G545" s="1340"/>
      <c r="H545" s="1340"/>
      <c r="I545" s="1340"/>
      <c r="J545" s="1340"/>
      <c r="K545" s="1340"/>
      <c r="L545" s="1340"/>
      <c r="M545" s="1365"/>
      <c r="N545" s="1340"/>
      <c r="O545" s="1340"/>
      <c r="P545" s="1340"/>
      <c r="Q545" s="1340"/>
      <c r="R545" s="1340"/>
      <c r="S545" s="1340"/>
      <c r="T545" s="1340"/>
      <c r="U545" s="1340"/>
      <c r="V545" s="1340"/>
      <c r="W545" s="1340"/>
      <c r="X545" s="1340"/>
      <c r="Y545" s="1340"/>
      <c r="Z545" s="181" t="s">
        <v>103</v>
      </c>
      <c r="AA545" s="780" t="s">
        <v>89</v>
      </c>
      <c r="AB545" s="779" t="s">
        <v>1138</v>
      </c>
      <c r="AC545" s="237">
        <v>949.193766726749</v>
      </c>
      <c r="AD545" s="779" t="str">
        <f t="shared" si="5"/>
        <v xml:space="preserve">  Прочие собственные средства</v>
      </c>
      <c r="AE545" s="237">
        <f t="shared" si="5"/>
        <v>949.193766726749</v>
      </c>
      <c r="AF545" s="1351"/>
      <c r="AG545" s="1353"/>
      <c r="AH545" s="1353"/>
      <c r="AI545" s="1351"/>
      <c r="AJ545" s="1353"/>
      <c r="AK545" s="1354"/>
      <c r="AL545" s="772"/>
    </row>
    <row r="546" spans="1:38" ht="11.25" customHeight="1">
      <c r="A546" s="1030" t="s">
        <v>1019</v>
      </c>
      <c r="E546" s="557"/>
      <c r="F546" s="1339"/>
      <c r="G546" s="1340"/>
      <c r="H546" s="1335" t="s">
        <v>115</v>
      </c>
      <c r="I546" s="1347"/>
      <c r="J546" s="1363"/>
      <c r="K546" s="1349"/>
      <c r="L546" s="1079"/>
      <c r="M546" s="1364"/>
      <c r="N546" s="1355"/>
      <c r="O546" s="1356"/>
      <c r="P546" s="1359"/>
      <c r="Q546" s="1308"/>
      <c r="R546" s="1308"/>
      <c r="S546" s="1361"/>
      <c r="T546" s="1308"/>
      <c r="U546" s="1308"/>
      <c r="V546" s="1308"/>
      <c r="W546" s="1308"/>
      <c r="X546" s="1308"/>
      <c r="Y546" s="1308"/>
      <c r="Z546" s="229"/>
      <c r="AA546" s="230"/>
      <c r="AB546" s="44" t="s">
        <v>1059</v>
      </c>
      <c r="AC546" s="231"/>
      <c r="AD546" s="231"/>
      <c r="AE546" s="246"/>
      <c r="AF546" s="1350"/>
      <c r="AG546" s="1352"/>
      <c r="AH546" s="1352"/>
      <c r="AI546" s="1350"/>
      <c r="AJ546" s="1352"/>
      <c r="AK546" s="1352"/>
      <c r="AL546" s="772"/>
    </row>
    <row r="547" spans="1:38" ht="11.25" customHeight="1">
      <c r="A547" s="1030" t="s">
        <v>1019</v>
      </c>
      <c r="E547" s="557"/>
      <c r="F547" s="1339"/>
      <c r="G547" s="1340"/>
      <c r="H547" s="1335" t="s">
        <v>115</v>
      </c>
      <c r="I547" s="1347"/>
      <c r="J547" s="1363"/>
      <c r="K547" s="1349"/>
      <c r="L547" s="1079"/>
      <c r="M547" s="1364"/>
      <c r="N547" s="229"/>
      <c r="O547" s="230"/>
      <c r="P547" s="44" t="s">
        <v>1060</v>
      </c>
      <c r="Q547" s="230"/>
      <c r="R547" s="230"/>
      <c r="S547" s="230"/>
      <c r="T547" s="230"/>
      <c r="U547" s="230"/>
      <c r="V547" s="230"/>
      <c r="W547" s="230"/>
      <c r="X547" s="230"/>
      <c r="Y547" s="230"/>
      <c r="Z547" s="230"/>
      <c r="AA547" s="230"/>
      <c r="AB547" s="230"/>
      <c r="AC547" s="230"/>
      <c r="AD547" s="230"/>
      <c r="AE547" s="247"/>
      <c r="AF547" s="1350"/>
      <c r="AG547" s="1352"/>
      <c r="AH547" s="1352"/>
      <c r="AI547" s="1350"/>
      <c r="AJ547" s="1352"/>
      <c r="AK547" s="1352"/>
      <c r="AL547" s="772"/>
    </row>
    <row r="548" spans="1:38" ht="11.25" customHeight="1">
      <c r="A548" s="1030" t="s">
        <v>1019</v>
      </c>
      <c r="B548" s="1030" t="s">
        <v>1051</v>
      </c>
      <c r="E548" s="557"/>
      <c r="F548" s="1339"/>
      <c r="G548" s="1325" t="s">
        <v>103</v>
      </c>
      <c r="H548" s="1335" t="s">
        <v>92</v>
      </c>
      <c r="I548" s="1347" t="s">
        <v>1052</v>
      </c>
      <c r="J548" s="1363" t="s">
        <v>1053</v>
      </c>
      <c r="K548" s="1349" t="s">
        <v>1102</v>
      </c>
      <c r="L548" s="1079" t="s">
        <v>61</v>
      </c>
      <c r="M548" s="1364" t="s">
        <v>1018</v>
      </c>
      <c r="N548" s="242"/>
      <c r="O548" s="243" t="s">
        <v>384</v>
      </c>
      <c r="P548" s="244"/>
      <c r="Q548" s="244"/>
      <c r="R548" s="244"/>
      <c r="S548" s="244"/>
      <c r="T548" s="244"/>
      <c r="U548" s="244"/>
      <c r="V548" s="244"/>
      <c r="W548" s="244"/>
      <c r="X548" s="244"/>
      <c r="Y548" s="244"/>
      <c r="Z548" s="244"/>
      <c r="AA548" s="244"/>
      <c r="AB548" s="244"/>
      <c r="AC548" s="244"/>
      <c r="AD548" s="244"/>
      <c r="AE548" s="244"/>
      <c r="AF548" s="1350">
        <v>6</v>
      </c>
      <c r="AG548" s="1352" t="s">
        <v>1055</v>
      </c>
      <c r="AH548" s="1352" t="s">
        <v>1103</v>
      </c>
      <c r="AI548" s="1350">
        <v>6</v>
      </c>
      <c r="AJ548" s="1352" t="s">
        <v>1055</v>
      </c>
      <c r="AK548" s="1352" t="s">
        <v>1103</v>
      </c>
      <c r="AL548" s="772"/>
    </row>
    <row r="549" spans="1:38" ht="11.25" customHeight="1">
      <c r="A549" s="1030" t="s">
        <v>1019</v>
      </c>
      <c r="E549" s="557"/>
      <c r="F549" s="1339"/>
      <c r="G549" s="1340"/>
      <c r="H549" s="1335" t="s">
        <v>91</v>
      </c>
      <c r="I549" s="1347"/>
      <c r="J549" s="1363"/>
      <c r="K549" s="1349"/>
      <c r="L549" s="1079"/>
      <c r="M549" s="1364"/>
      <c r="N549" s="1355"/>
      <c r="O549" s="1356">
        <v>1</v>
      </c>
      <c r="P549" s="1357" t="s">
        <v>19</v>
      </c>
      <c r="Q549" s="1308" t="s">
        <v>22</v>
      </c>
      <c r="R549" s="1308" t="s">
        <v>22</v>
      </c>
      <c r="S549" s="1308" t="s">
        <v>22</v>
      </c>
      <c r="T549" s="1308" t="s">
        <v>22</v>
      </c>
      <c r="U549" s="1308" t="s">
        <v>22</v>
      </c>
      <c r="V549" s="1308" t="s">
        <v>22</v>
      </c>
      <c r="W549" s="1308" t="s">
        <v>22</v>
      </c>
      <c r="X549" s="1308" t="s">
        <v>22</v>
      </c>
      <c r="Y549" s="1308"/>
      <c r="Z549" s="229"/>
      <c r="AA549" s="230"/>
      <c r="AB549" s="230"/>
      <c r="AC549" s="231"/>
      <c r="AD549" s="231"/>
      <c r="AE549" s="245"/>
      <c r="AF549" s="1350"/>
      <c r="AG549" s="1352"/>
      <c r="AH549" s="1352"/>
      <c r="AI549" s="1350"/>
      <c r="AJ549" s="1352"/>
      <c r="AK549" s="1352"/>
      <c r="AL549" s="772"/>
    </row>
    <row r="550" spans="1:38" ht="11.25" customHeight="1">
      <c r="A550" s="1030" t="s">
        <v>1019</v>
      </c>
      <c r="E550" s="557"/>
      <c r="F550" s="1339"/>
      <c r="G550" s="1340"/>
      <c r="H550" s="1335" t="s">
        <v>91</v>
      </c>
      <c r="I550" s="1347"/>
      <c r="J550" s="1363"/>
      <c r="K550" s="1349"/>
      <c r="L550" s="1079"/>
      <c r="M550" s="1364"/>
      <c r="N550" s="1355"/>
      <c r="O550" s="1356"/>
      <c r="P550" s="1358"/>
      <c r="Q550" s="1308"/>
      <c r="R550" s="1308"/>
      <c r="S550" s="1361"/>
      <c r="T550" s="1308"/>
      <c r="U550" s="1308"/>
      <c r="V550" s="1308"/>
      <c r="W550" s="1308"/>
      <c r="X550" s="1308"/>
      <c r="Y550" s="1308"/>
      <c r="AA550" s="778">
        <v>1</v>
      </c>
      <c r="AB550" s="779" t="s">
        <v>1119</v>
      </c>
      <c r="AC550" s="237">
        <v>10996.145890633799</v>
      </c>
      <c r="AD550" s="779" t="str">
        <f t="shared" ref="AD550:AE552" si="6">AB550</f>
        <v xml:space="preserve">  Прибыль направляемая на инвестиции</v>
      </c>
      <c r="AE550" s="237">
        <f t="shared" si="6"/>
        <v>10996.145890633799</v>
      </c>
      <c r="AF550" s="1350"/>
      <c r="AG550" s="1352"/>
      <c r="AH550" s="1352"/>
      <c r="AI550" s="1350"/>
      <c r="AJ550" s="1352"/>
      <c r="AK550" s="1352"/>
      <c r="AL550" s="772"/>
    </row>
    <row r="551" spans="1:38" ht="11.25" customHeight="1">
      <c r="A551" s="1030" t="s">
        <v>1019</v>
      </c>
      <c r="E551" s="557"/>
      <c r="F551" s="1340"/>
      <c r="G551" s="1340"/>
      <c r="H551" s="1340"/>
      <c r="I551" s="1340"/>
      <c r="J551" s="1340"/>
      <c r="K551" s="1340"/>
      <c r="L551" s="1340"/>
      <c r="M551" s="1365"/>
      <c r="N551" s="1340"/>
      <c r="O551" s="1340"/>
      <c r="P551" s="1340"/>
      <c r="Q551" s="1340"/>
      <c r="R551" s="1340"/>
      <c r="S551" s="1340"/>
      <c r="T551" s="1340"/>
      <c r="U551" s="1340"/>
      <c r="V551" s="1340"/>
      <c r="W551" s="1340"/>
      <c r="X551" s="1340"/>
      <c r="Y551" s="1340"/>
      <c r="Z551" s="181" t="s">
        <v>103</v>
      </c>
      <c r="AA551" s="780" t="s">
        <v>102</v>
      </c>
      <c r="AB551" s="779" t="s">
        <v>1120</v>
      </c>
      <c r="AC551" s="237">
        <v>3913.4359026899801</v>
      </c>
      <c r="AD551" s="779" t="str">
        <f t="shared" si="6"/>
        <v xml:space="preserve">     Прочие амортизационные отчисления</v>
      </c>
      <c r="AE551" s="237">
        <f t="shared" si="6"/>
        <v>3913.4359026899801</v>
      </c>
      <c r="AF551" s="1351"/>
      <c r="AG551" s="1353"/>
      <c r="AH551" s="1353"/>
      <c r="AI551" s="1351"/>
      <c r="AJ551" s="1353"/>
      <c r="AK551" s="1354"/>
      <c r="AL551" s="772"/>
    </row>
    <row r="552" spans="1:38" ht="11.25" customHeight="1">
      <c r="A552" s="1030" t="s">
        <v>1019</v>
      </c>
      <c r="E552" s="557"/>
      <c r="F552" s="1340"/>
      <c r="G552" s="1340"/>
      <c r="H552" s="1340"/>
      <c r="I552" s="1340"/>
      <c r="J552" s="1340"/>
      <c r="K552" s="1340"/>
      <c r="L552" s="1340"/>
      <c r="M552" s="1365"/>
      <c r="N552" s="1340"/>
      <c r="O552" s="1340"/>
      <c r="P552" s="1340"/>
      <c r="Q552" s="1340"/>
      <c r="R552" s="1340"/>
      <c r="S552" s="1340"/>
      <c r="T552" s="1340"/>
      <c r="U552" s="1340"/>
      <c r="V552" s="1340"/>
      <c r="W552" s="1340"/>
      <c r="X552" s="1340"/>
      <c r="Y552" s="1340"/>
      <c r="Z552" s="181" t="s">
        <v>103</v>
      </c>
      <c r="AA552" s="780" t="s">
        <v>89</v>
      </c>
      <c r="AB552" s="779" t="s">
        <v>1138</v>
      </c>
      <c r="AC552" s="237">
        <v>2065.0708266762599</v>
      </c>
      <c r="AD552" s="779" t="str">
        <f t="shared" si="6"/>
        <v xml:space="preserve">  Прочие собственные средства</v>
      </c>
      <c r="AE552" s="237">
        <f t="shared" si="6"/>
        <v>2065.0708266762599</v>
      </c>
      <c r="AF552" s="1351"/>
      <c r="AG552" s="1353"/>
      <c r="AH552" s="1353"/>
      <c r="AI552" s="1351"/>
      <c r="AJ552" s="1353"/>
      <c r="AK552" s="1354"/>
      <c r="AL552" s="772"/>
    </row>
    <row r="553" spans="1:38" ht="11.25" customHeight="1">
      <c r="A553" s="1030" t="s">
        <v>1019</v>
      </c>
      <c r="E553" s="557"/>
      <c r="F553" s="1339"/>
      <c r="G553" s="1340"/>
      <c r="H553" s="1335" t="s">
        <v>91</v>
      </c>
      <c r="I553" s="1347"/>
      <c r="J553" s="1363"/>
      <c r="K553" s="1349"/>
      <c r="L553" s="1079"/>
      <c r="M553" s="1364"/>
      <c r="N553" s="1355"/>
      <c r="O553" s="1356"/>
      <c r="P553" s="1359"/>
      <c r="Q553" s="1308"/>
      <c r="R553" s="1308"/>
      <c r="S553" s="1361"/>
      <c r="T553" s="1308"/>
      <c r="U553" s="1308"/>
      <c r="V553" s="1308"/>
      <c r="W553" s="1308"/>
      <c r="X553" s="1308"/>
      <c r="Y553" s="1308"/>
      <c r="Z553" s="229"/>
      <c r="AA553" s="230"/>
      <c r="AB553" s="44" t="s">
        <v>1059</v>
      </c>
      <c r="AC553" s="231"/>
      <c r="AD553" s="231"/>
      <c r="AE553" s="246"/>
      <c r="AF553" s="1350"/>
      <c r="AG553" s="1352"/>
      <c r="AH553" s="1352"/>
      <c r="AI553" s="1350"/>
      <c r="AJ553" s="1352"/>
      <c r="AK553" s="1352"/>
      <c r="AL553" s="772"/>
    </row>
    <row r="554" spans="1:38" ht="11.25" customHeight="1">
      <c r="A554" s="1030" t="s">
        <v>1019</v>
      </c>
      <c r="E554" s="557"/>
      <c r="F554" s="1339"/>
      <c r="G554" s="1340"/>
      <c r="H554" s="1335" t="s">
        <v>91</v>
      </c>
      <c r="I554" s="1347"/>
      <c r="J554" s="1363"/>
      <c r="K554" s="1349"/>
      <c r="L554" s="1079"/>
      <c r="M554" s="1364"/>
      <c r="N554" s="229"/>
      <c r="O554" s="230"/>
      <c r="P554" s="44" t="s">
        <v>1060</v>
      </c>
      <c r="Q554" s="230"/>
      <c r="R554" s="230"/>
      <c r="S554" s="230"/>
      <c r="T554" s="230"/>
      <c r="U554" s="230"/>
      <c r="V554" s="230"/>
      <c r="W554" s="230"/>
      <c r="X554" s="230"/>
      <c r="Y554" s="230"/>
      <c r="Z554" s="230"/>
      <c r="AA554" s="230"/>
      <c r="AB554" s="230"/>
      <c r="AC554" s="230"/>
      <c r="AD554" s="230"/>
      <c r="AE554" s="247"/>
      <c r="AF554" s="1350"/>
      <c r="AG554" s="1352"/>
      <c r="AH554" s="1352"/>
      <c r="AI554" s="1350"/>
      <c r="AJ554" s="1352"/>
      <c r="AK554" s="1352"/>
      <c r="AL554" s="772"/>
    </row>
    <row r="555" spans="1:38" ht="11.25" customHeight="1">
      <c r="A555" s="1030" t="s">
        <v>1019</v>
      </c>
      <c r="B555" s="1030" t="s">
        <v>1051</v>
      </c>
      <c r="E555" s="557"/>
      <c r="F555" s="1339"/>
      <c r="G555" s="1325" t="s">
        <v>103</v>
      </c>
      <c r="H555" s="1335" t="s">
        <v>116</v>
      </c>
      <c r="I555" s="1347" t="s">
        <v>1052</v>
      </c>
      <c r="J555" s="1363" t="s">
        <v>1053</v>
      </c>
      <c r="K555" s="1349" t="s">
        <v>1110</v>
      </c>
      <c r="L555" s="1079" t="s">
        <v>61</v>
      </c>
      <c r="M555" s="1364" t="s">
        <v>1018</v>
      </c>
      <c r="N555" s="242"/>
      <c r="O555" s="243" t="s">
        <v>384</v>
      </c>
      <c r="P555" s="244"/>
      <c r="Q555" s="244"/>
      <c r="R555" s="244"/>
      <c r="S555" s="244"/>
      <c r="T555" s="244"/>
      <c r="U555" s="244"/>
      <c r="V555" s="244"/>
      <c r="W555" s="244"/>
      <c r="X555" s="244"/>
      <c r="Y555" s="244"/>
      <c r="Z555" s="244"/>
      <c r="AA555" s="244"/>
      <c r="AB555" s="244"/>
      <c r="AC555" s="244"/>
      <c r="AD555" s="244"/>
      <c r="AE555" s="244"/>
      <c r="AF555" s="1350">
        <v>2</v>
      </c>
      <c r="AG555" s="1352" t="s">
        <v>1055</v>
      </c>
      <c r="AH555" s="1352" t="s">
        <v>1107</v>
      </c>
      <c r="AI555" s="1350">
        <v>2</v>
      </c>
      <c r="AJ555" s="1352" t="s">
        <v>1055</v>
      </c>
      <c r="AK555" s="1352" t="s">
        <v>1107</v>
      </c>
      <c r="AL555" s="772"/>
    </row>
    <row r="556" spans="1:38" ht="11.25" customHeight="1">
      <c r="A556" s="1030" t="s">
        <v>1019</v>
      </c>
      <c r="E556" s="557"/>
      <c r="F556" s="1339"/>
      <c r="G556" s="1340"/>
      <c r="H556" s="1335" t="s">
        <v>92</v>
      </c>
      <c r="I556" s="1347"/>
      <c r="J556" s="1363"/>
      <c r="K556" s="1349"/>
      <c r="L556" s="1079"/>
      <c r="M556" s="1364"/>
      <c r="N556" s="1355"/>
      <c r="O556" s="1356">
        <v>1</v>
      </c>
      <c r="P556" s="1357" t="s">
        <v>19</v>
      </c>
      <c r="Q556" s="1308" t="s">
        <v>22</v>
      </c>
      <c r="R556" s="1308" t="s">
        <v>22</v>
      </c>
      <c r="S556" s="1308" t="s">
        <v>22</v>
      </c>
      <c r="T556" s="1308" t="s">
        <v>22</v>
      </c>
      <c r="U556" s="1308" t="s">
        <v>22</v>
      </c>
      <c r="V556" s="1308" t="s">
        <v>22</v>
      </c>
      <c r="W556" s="1308" t="s">
        <v>22</v>
      </c>
      <c r="X556" s="1308" t="s">
        <v>22</v>
      </c>
      <c r="Y556" s="1308"/>
      <c r="Z556" s="229"/>
      <c r="AA556" s="230"/>
      <c r="AB556" s="230"/>
      <c r="AC556" s="231"/>
      <c r="AD556" s="231"/>
      <c r="AE556" s="245"/>
      <c r="AF556" s="1350"/>
      <c r="AG556" s="1352"/>
      <c r="AH556" s="1352"/>
      <c r="AI556" s="1350"/>
      <c r="AJ556" s="1352"/>
      <c r="AK556" s="1352"/>
      <c r="AL556" s="772"/>
    </row>
    <row r="557" spans="1:38" ht="11.25" customHeight="1">
      <c r="A557" s="1030" t="s">
        <v>1019</v>
      </c>
      <c r="E557" s="557"/>
      <c r="F557" s="1339"/>
      <c r="G557" s="1340"/>
      <c r="H557" s="1335" t="s">
        <v>92</v>
      </c>
      <c r="I557" s="1347"/>
      <c r="J557" s="1363"/>
      <c r="K557" s="1349"/>
      <c r="L557" s="1079"/>
      <c r="M557" s="1364"/>
      <c r="N557" s="1355"/>
      <c r="O557" s="1356"/>
      <c r="P557" s="1358"/>
      <c r="Q557" s="1308"/>
      <c r="R557" s="1308"/>
      <c r="S557" s="1361"/>
      <c r="T557" s="1308"/>
      <c r="U557" s="1308"/>
      <c r="V557" s="1308"/>
      <c r="W557" s="1308"/>
      <c r="X557" s="1308"/>
      <c r="Y557" s="1308"/>
      <c r="AA557" s="778">
        <v>1</v>
      </c>
      <c r="AB557" s="779" t="s">
        <v>1119</v>
      </c>
      <c r="AC557" s="237">
        <v>1374.6338828463399</v>
      </c>
      <c r="AD557" s="779" t="str">
        <f t="shared" ref="AD557:AE559" si="7">AB557</f>
        <v xml:space="preserve">  Прибыль направляемая на инвестиции</v>
      </c>
      <c r="AE557" s="237">
        <f t="shared" si="7"/>
        <v>1374.6338828463399</v>
      </c>
      <c r="AF557" s="1350"/>
      <c r="AG557" s="1352"/>
      <c r="AH557" s="1352"/>
      <c r="AI557" s="1350"/>
      <c r="AJ557" s="1352"/>
      <c r="AK557" s="1352"/>
      <c r="AL557" s="772"/>
    </row>
    <row r="558" spans="1:38" ht="11.25" customHeight="1">
      <c r="A558" s="1030" t="s">
        <v>1019</v>
      </c>
      <c r="E558" s="557"/>
      <c r="F558" s="1340"/>
      <c r="G558" s="1340"/>
      <c r="H558" s="1340"/>
      <c r="I558" s="1340"/>
      <c r="J558" s="1340"/>
      <c r="K558" s="1340"/>
      <c r="L558" s="1340"/>
      <c r="M558" s="1365"/>
      <c r="N558" s="1340"/>
      <c r="O558" s="1340"/>
      <c r="P558" s="1340"/>
      <c r="Q558" s="1340"/>
      <c r="R558" s="1340"/>
      <c r="S558" s="1340"/>
      <c r="T558" s="1340"/>
      <c r="U558" s="1340"/>
      <c r="V558" s="1340"/>
      <c r="W558" s="1340"/>
      <c r="X558" s="1340"/>
      <c r="Y558" s="1340"/>
      <c r="Z558" s="181" t="s">
        <v>103</v>
      </c>
      <c r="AA558" s="780" t="s">
        <v>102</v>
      </c>
      <c r="AB558" s="779" t="s">
        <v>1120</v>
      </c>
      <c r="AC558" s="237">
        <v>489.22064545971</v>
      </c>
      <c r="AD558" s="779" t="str">
        <f t="shared" si="7"/>
        <v xml:space="preserve">     Прочие амортизационные отчисления</v>
      </c>
      <c r="AE558" s="237">
        <f t="shared" si="7"/>
        <v>489.22064545971</v>
      </c>
      <c r="AF558" s="1351"/>
      <c r="AG558" s="1353"/>
      <c r="AH558" s="1353"/>
      <c r="AI558" s="1351"/>
      <c r="AJ558" s="1353"/>
      <c r="AK558" s="1354"/>
      <c r="AL558" s="772"/>
    </row>
    <row r="559" spans="1:38" ht="11.25" customHeight="1">
      <c r="A559" s="1030" t="s">
        <v>1019</v>
      </c>
      <c r="E559" s="557"/>
      <c r="F559" s="1340"/>
      <c r="G559" s="1340"/>
      <c r="H559" s="1340"/>
      <c r="I559" s="1340"/>
      <c r="J559" s="1340"/>
      <c r="K559" s="1340"/>
      <c r="L559" s="1340"/>
      <c r="M559" s="1365"/>
      <c r="N559" s="1340"/>
      <c r="O559" s="1340"/>
      <c r="P559" s="1340"/>
      <c r="Q559" s="1340"/>
      <c r="R559" s="1340"/>
      <c r="S559" s="1340"/>
      <c r="T559" s="1340"/>
      <c r="U559" s="1340"/>
      <c r="V559" s="1340"/>
      <c r="W559" s="1340"/>
      <c r="X559" s="1340"/>
      <c r="Y559" s="1340"/>
      <c r="Z559" s="181" t="s">
        <v>103</v>
      </c>
      <c r="AA559" s="780" t="s">
        <v>89</v>
      </c>
      <c r="AB559" s="779" t="s">
        <v>1138</v>
      </c>
      <c r="AC559" s="237">
        <v>258.15557169395299</v>
      </c>
      <c r="AD559" s="779" t="str">
        <f t="shared" si="7"/>
        <v xml:space="preserve">  Прочие собственные средства</v>
      </c>
      <c r="AE559" s="237">
        <f t="shared" si="7"/>
        <v>258.15557169395299</v>
      </c>
      <c r="AF559" s="1351"/>
      <c r="AG559" s="1353"/>
      <c r="AH559" s="1353"/>
      <c r="AI559" s="1351"/>
      <c r="AJ559" s="1353"/>
      <c r="AK559" s="1354"/>
      <c r="AL559" s="772"/>
    </row>
    <row r="560" spans="1:38" ht="11.25" customHeight="1">
      <c r="A560" s="1030" t="s">
        <v>1019</v>
      </c>
      <c r="E560" s="557"/>
      <c r="F560" s="1339"/>
      <c r="G560" s="1340"/>
      <c r="H560" s="1335" t="s">
        <v>92</v>
      </c>
      <c r="I560" s="1347"/>
      <c r="J560" s="1363"/>
      <c r="K560" s="1349"/>
      <c r="L560" s="1079"/>
      <c r="M560" s="1364"/>
      <c r="N560" s="1355"/>
      <c r="O560" s="1356"/>
      <c r="P560" s="1359"/>
      <c r="Q560" s="1308"/>
      <c r="R560" s="1308"/>
      <c r="S560" s="1361"/>
      <c r="T560" s="1308"/>
      <c r="U560" s="1308"/>
      <c r="V560" s="1308"/>
      <c r="W560" s="1308"/>
      <c r="X560" s="1308"/>
      <c r="Y560" s="1308"/>
      <c r="Z560" s="229"/>
      <c r="AA560" s="230"/>
      <c r="AB560" s="44" t="s">
        <v>1059</v>
      </c>
      <c r="AC560" s="231"/>
      <c r="AD560" s="231"/>
      <c r="AE560" s="246"/>
      <c r="AF560" s="1350"/>
      <c r="AG560" s="1352"/>
      <c r="AH560" s="1352"/>
      <c r="AI560" s="1350"/>
      <c r="AJ560" s="1352"/>
      <c r="AK560" s="1352"/>
      <c r="AL560" s="772"/>
    </row>
    <row r="561" spans="1:38" ht="11.25" customHeight="1">
      <c r="A561" s="1030" t="s">
        <v>1019</v>
      </c>
      <c r="E561" s="557"/>
      <c r="F561" s="1339"/>
      <c r="G561" s="1340"/>
      <c r="H561" s="1335" t="s">
        <v>92</v>
      </c>
      <c r="I561" s="1347"/>
      <c r="J561" s="1363"/>
      <c r="K561" s="1349"/>
      <c r="L561" s="1079"/>
      <c r="M561" s="1364"/>
      <c r="N561" s="229"/>
      <c r="O561" s="230"/>
      <c r="P561" s="44" t="s">
        <v>1060</v>
      </c>
      <c r="Q561" s="230"/>
      <c r="R561" s="230"/>
      <c r="S561" s="230"/>
      <c r="T561" s="230"/>
      <c r="U561" s="230"/>
      <c r="V561" s="230"/>
      <c r="W561" s="230"/>
      <c r="X561" s="230"/>
      <c r="Y561" s="230"/>
      <c r="Z561" s="230"/>
      <c r="AA561" s="230"/>
      <c r="AB561" s="230"/>
      <c r="AC561" s="230"/>
      <c r="AD561" s="230"/>
      <c r="AE561" s="247"/>
      <c r="AF561" s="1350"/>
      <c r="AG561" s="1352"/>
      <c r="AH561" s="1352"/>
      <c r="AI561" s="1350"/>
      <c r="AJ561" s="1352"/>
      <c r="AK561" s="1352"/>
      <c r="AL561" s="772"/>
    </row>
    <row r="562" spans="1:38" ht="11.25" customHeight="1">
      <c r="A562" s="1030" t="s">
        <v>1019</v>
      </c>
      <c r="B562" s="1030" t="s">
        <v>1051</v>
      </c>
      <c r="E562" s="557"/>
      <c r="F562" s="1339"/>
      <c r="G562" s="1325" t="s">
        <v>103</v>
      </c>
      <c r="H562" s="1335" t="s">
        <v>158</v>
      </c>
      <c r="I562" s="1347" t="s">
        <v>1052</v>
      </c>
      <c r="J562" s="1363" t="s">
        <v>1053</v>
      </c>
      <c r="K562" s="1349" t="s">
        <v>1114</v>
      </c>
      <c r="L562" s="1079" t="s">
        <v>61</v>
      </c>
      <c r="M562" s="1364" t="s">
        <v>1018</v>
      </c>
      <c r="N562" s="242"/>
      <c r="O562" s="243" t="s">
        <v>384</v>
      </c>
      <c r="P562" s="244"/>
      <c r="Q562" s="244"/>
      <c r="R562" s="244"/>
      <c r="S562" s="244"/>
      <c r="T562" s="244"/>
      <c r="U562" s="244"/>
      <c r="V562" s="244"/>
      <c r="W562" s="244"/>
      <c r="X562" s="244"/>
      <c r="Y562" s="244"/>
      <c r="Z562" s="244"/>
      <c r="AA562" s="244"/>
      <c r="AB562" s="244"/>
      <c r="AC562" s="244"/>
      <c r="AD562" s="244"/>
      <c r="AE562" s="244"/>
      <c r="AF562" s="1350">
        <v>3</v>
      </c>
      <c r="AG562" s="1352" t="s">
        <v>1055</v>
      </c>
      <c r="AH562" s="1352" t="s">
        <v>1079</v>
      </c>
      <c r="AI562" s="1350">
        <v>3</v>
      </c>
      <c r="AJ562" s="1352" t="s">
        <v>1055</v>
      </c>
      <c r="AK562" s="1352" t="s">
        <v>1079</v>
      </c>
      <c r="AL562" s="772"/>
    </row>
    <row r="563" spans="1:38" ht="11.25" customHeight="1">
      <c r="A563" s="1030" t="s">
        <v>1019</v>
      </c>
      <c r="E563" s="557"/>
      <c r="F563" s="1339"/>
      <c r="G563" s="1340"/>
      <c r="H563" s="1335" t="s">
        <v>116</v>
      </c>
      <c r="I563" s="1347"/>
      <c r="J563" s="1363"/>
      <c r="K563" s="1349"/>
      <c r="L563" s="1079"/>
      <c r="M563" s="1364"/>
      <c r="N563" s="1355"/>
      <c r="O563" s="1356">
        <v>1</v>
      </c>
      <c r="P563" s="1357" t="s">
        <v>19</v>
      </c>
      <c r="Q563" s="1308" t="s">
        <v>22</v>
      </c>
      <c r="R563" s="1308" t="s">
        <v>22</v>
      </c>
      <c r="S563" s="1308" t="s">
        <v>22</v>
      </c>
      <c r="T563" s="1308" t="s">
        <v>22</v>
      </c>
      <c r="U563" s="1308" t="s">
        <v>22</v>
      </c>
      <c r="V563" s="1308" t="s">
        <v>22</v>
      </c>
      <c r="W563" s="1308" t="s">
        <v>22</v>
      </c>
      <c r="X563" s="1308" t="s">
        <v>22</v>
      </c>
      <c r="Y563" s="1308"/>
      <c r="Z563" s="229"/>
      <c r="AA563" s="230"/>
      <c r="AB563" s="230"/>
      <c r="AC563" s="231"/>
      <c r="AD563" s="231"/>
      <c r="AE563" s="245"/>
      <c r="AF563" s="1350"/>
      <c r="AG563" s="1352"/>
      <c r="AH563" s="1352"/>
      <c r="AI563" s="1350"/>
      <c r="AJ563" s="1352"/>
      <c r="AK563" s="1352"/>
      <c r="AL563" s="772"/>
    </row>
    <row r="564" spans="1:38" ht="11.25" customHeight="1">
      <c r="A564" s="1030" t="s">
        <v>1019</v>
      </c>
      <c r="E564" s="557"/>
      <c r="F564" s="1339"/>
      <c r="G564" s="1340"/>
      <c r="H564" s="1335" t="s">
        <v>116</v>
      </c>
      <c r="I564" s="1347"/>
      <c r="J564" s="1363"/>
      <c r="K564" s="1349"/>
      <c r="L564" s="1079"/>
      <c r="M564" s="1364"/>
      <c r="N564" s="1355"/>
      <c r="O564" s="1356"/>
      <c r="P564" s="1358"/>
      <c r="Q564" s="1308"/>
      <c r="R564" s="1308"/>
      <c r="S564" s="1361"/>
      <c r="T564" s="1308"/>
      <c r="U564" s="1308"/>
      <c r="V564" s="1308"/>
      <c r="W564" s="1308"/>
      <c r="X564" s="1308"/>
      <c r="Y564" s="1308"/>
      <c r="AA564" s="778">
        <v>1</v>
      </c>
      <c r="AB564" s="779" t="s">
        <v>1119</v>
      </c>
      <c r="AC564" s="237">
        <v>1405.65282814591</v>
      </c>
      <c r="AD564" s="779" t="str">
        <f t="shared" ref="AD564:AE566" si="8">AB564</f>
        <v xml:space="preserve">  Прибыль направляемая на инвестиции</v>
      </c>
      <c r="AE564" s="237">
        <f t="shared" si="8"/>
        <v>1405.65282814591</v>
      </c>
      <c r="AF564" s="1350"/>
      <c r="AG564" s="1352"/>
      <c r="AH564" s="1352"/>
      <c r="AI564" s="1350"/>
      <c r="AJ564" s="1352"/>
      <c r="AK564" s="1352"/>
      <c r="AL564" s="772"/>
    </row>
    <row r="565" spans="1:38" ht="11.25" customHeight="1">
      <c r="A565" s="1030" t="s">
        <v>1019</v>
      </c>
      <c r="E565" s="557"/>
      <c r="F565" s="1340"/>
      <c r="G565" s="1340"/>
      <c r="H565" s="1340"/>
      <c r="I565" s="1340"/>
      <c r="J565" s="1340"/>
      <c r="K565" s="1340"/>
      <c r="L565" s="1340"/>
      <c r="M565" s="1365"/>
      <c r="N565" s="1340"/>
      <c r="O565" s="1340"/>
      <c r="P565" s="1340"/>
      <c r="Q565" s="1340"/>
      <c r="R565" s="1340"/>
      <c r="S565" s="1340"/>
      <c r="T565" s="1340"/>
      <c r="U565" s="1340"/>
      <c r="V565" s="1340"/>
      <c r="W565" s="1340"/>
      <c r="X565" s="1340"/>
      <c r="Y565" s="1340"/>
      <c r="Z565" s="181" t="s">
        <v>103</v>
      </c>
      <c r="AA565" s="780" t="s">
        <v>102</v>
      </c>
      <c r="AB565" s="779" t="s">
        <v>1120</v>
      </c>
      <c r="AC565" s="237">
        <v>500.26002738554502</v>
      </c>
      <c r="AD565" s="779" t="str">
        <f t="shared" si="8"/>
        <v xml:space="preserve">     Прочие амортизационные отчисления</v>
      </c>
      <c r="AE565" s="237">
        <f t="shared" si="8"/>
        <v>500.26002738554502</v>
      </c>
      <c r="AF565" s="1351"/>
      <c r="AG565" s="1353"/>
      <c r="AH565" s="1353"/>
      <c r="AI565" s="1351"/>
      <c r="AJ565" s="1353"/>
      <c r="AK565" s="1354"/>
      <c r="AL565" s="772"/>
    </row>
    <row r="566" spans="1:38" ht="11.25" customHeight="1">
      <c r="A566" s="1030" t="s">
        <v>1019</v>
      </c>
      <c r="E566" s="557"/>
      <c r="F566" s="1340"/>
      <c r="G566" s="1340"/>
      <c r="H566" s="1340"/>
      <c r="I566" s="1340"/>
      <c r="J566" s="1340"/>
      <c r="K566" s="1340"/>
      <c r="L566" s="1340"/>
      <c r="M566" s="1365"/>
      <c r="N566" s="1340"/>
      <c r="O566" s="1340"/>
      <c r="P566" s="1340"/>
      <c r="Q566" s="1340"/>
      <c r="R566" s="1340"/>
      <c r="S566" s="1340"/>
      <c r="T566" s="1340"/>
      <c r="U566" s="1340"/>
      <c r="V566" s="1340"/>
      <c r="W566" s="1340"/>
      <c r="X566" s="1340"/>
      <c r="Y566" s="1340"/>
      <c r="Z566" s="181" t="s">
        <v>103</v>
      </c>
      <c r="AA566" s="780" t="s">
        <v>89</v>
      </c>
      <c r="AB566" s="779" t="s">
        <v>1138</v>
      </c>
      <c r="AC566" s="237">
        <v>263.98091446854897</v>
      </c>
      <c r="AD566" s="779" t="str">
        <f t="shared" si="8"/>
        <v xml:space="preserve">  Прочие собственные средства</v>
      </c>
      <c r="AE566" s="237">
        <f t="shared" si="8"/>
        <v>263.98091446854897</v>
      </c>
      <c r="AF566" s="1351"/>
      <c r="AG566" s="1353"/>
      <c r="AH566" s="1353"/>
      <c r="AI566" s="1351"/>
      <c r="AJ566" s="1353"/>
      <c r="AK566" s="1354"/>
      <c r="AL566" s="772"/>
    </row>
    <row r="567" spans="1:38" ht="11.25" customHeight="1">
      <c r="A567" s="1030" t="s">
        <v>1019</v>
      </c>
      <c r="E567" s="557"/>
      <c r="F567" s="1339"/>
      <c r="G567" s="1340"/>
      <c r="H567" s="1335" t="s">
        <v>116</v>
      </c>
      <c r="I567" s="1347"/>
      <c r="J567" s="1363"/>
      <c r="K567" s="1349"/>
      <c r="L567" s="1079"/>
      <c r="M567" s="1364"/>
      <c r="N567" s="1355"/>
      <c r="O567" s="1356"/>
      <c r="P567" s="1359"/>
      <c r="Q567" s="1308"/>
      <c r="R567" s="1308"/>
      <c r="S567" s="1361"/>
      <c r="T567" s="1308"/>
      <c r="U567" s="1308"/>
      <c r="V567" s="1308"/>
      <c r="W567" s="1308"/>
      <c r="X567" s="1308"/>
      <c r="Y567" s="1308"/>
      <c r="Z567" s="229"/>
      <c r="AA567" s="230"/>
      <c r="AB567" s="44" t="s">
        <v>1059</v>
      </c>
      <c r="AC567" s="231"/>
      <c r="AD567" s="231"/>
      <c r="AE567" s="246"/>
      <c r="AF567" s="1350"/>
      <c r="AG567" s="1352"/>
      <c r="AH567" s="1352"/>
      <c r="AI567" s="1350"/>
      <c r="AJ567" s="1352"/>
      <c r="AK567" s="1352"/>
      <c r="AL567" s="772"/>
    </row>
    <row r="568" spans="1:38" ht="11.25" customHeight="1">
      <c r="A568" s="1030" t="s">
        <v>1019</v>
      </c>
      <c r="E568" s="557"/>
      <c r="F568" s="1339"/>
      <c r="G568" s="1340"/>
      <c r="H568" s="1335" t="s">
        <v>116</v>
      </c>
      <c r="I568" s="1347"/>
      <c r="J568" s="1363"/>
      <c r="K568" s="1349"/>
      <c r="L568" s="1079"/>
      <c r="M568" s="1364"/>
      <c r="N568" s="229"/>
      <c r="O568" s="230"/>
      <c r="P568" s="44" t="s">
        <v>1060</v>
      </c>
      <c r="Q568" s="230"/>
      <c r="R568" s="230"/>
      <c r="S568" s="230"/>
      <c r="T568" s="230"/>
      <c r="U568" s="230"/>
      <c r="V568" s="230"/>
      <c r="W568" s="230"/>
      <c r="X568" s="230"/>
      <c r="Y568" s="230"/>
      <c r="Z568" s="230"/>
      <c r="AA568" s="230"/>
      <c r="AB568" s="230"/>
      <c r="AC568" s="230"/>
      <c r="AD568" s="230"/>
      <c r="AE568" s="247"/>
      <c r="AF568" s="1350"/>
      <c r="AG568" s="1352"/>
      <c r="AH568" s="1352"/>
      <c r="AI568" s="1350"/>
      <c r="AJ568" s="1352"/>
      <c r="AK568" s="1352"/>
      <c r="AL568" s="772"/>
    </row>
    <row r="569" spans="1:38" ht="11.25" customHeight="1">
      <c r="A569" s="1030" t="s">
        <v>1019</v>
      </c>
      <c r="B569" s="1030" t="s">
        <v>1051</v>
      </c>
      <c r="E569" s="557"/>
      <c r="F569" s="1339"/>
      <c r="G569" s="1325" t="s">
        <v>103</v>
      </c>
      <c r="H569" s="1335" t="s">
        <v>159</v>
      </c>
      <c r="I569" s="1347" t="s">
        <v>1052</v>
      </c>
      <c r="J569" s="1363" t="s">
        <v>1053</v>
      </c>
      <c r="K569" s="1349" t="s">
        <v>1140</v>
      </c>
      <c r="L569" s="1079" t="s">
        <v>19</v>
      </c>
      <c r="M569" s="1080"/>
      <c r="N569" s="242"/>
      <c r="O569" s="243" t="s">
        <v>384</v>
      </c>
      <c r="P569" s="244"/>
      <c r="Q569" s="244"/>
      <c r="R569" s="244"/>
      <c r="S569" s="244"/>
      <c r="T569" s="244"/>
      <c r="U569" s="244"/>
      <c r="V569" s="244"/>
      <c r="W569" s="244"/>
      <c r="X569" s="244"/>
      <c r="Y569" s="244"/>
      <c r="Z569" s="244"/>
      <c r="AA569" s="244"/>
      <c r="AB569" s="244"/>
      <c r="AC569" s="244"/>
      <c r="AD569" s="244"/>
      <c r="AE569" s="244"/>
      <c r="AF569" s="1350">
        <v>9</v>
      </c>
      <c r="AG569" s="1352" t="s">
        <v>1055</v>
      </c>
      <c r="AH569" s="1352" t="s">
        <v>1095</v>
      </c>
      <c r="AI569" s="1350">
        <v>9</v>
      </c>
      <c r="AJ569" s="1352" t="s">
        <v>1055</v>
      </c>
      <c r="AK569" s="1352" t="s">
        <v>1095</v>
      </c>
      <c r="AL569" s="772"/>
    </row>
    <row r="570" spans="1:38" ht="11.25" customHeight="1">
      <c r="A570" s="1030" t="s">
        <v>1019</v>
      </c>
      <c r="E570" s="557"/>
      <c r="F570" s="1339"/>
      <c r="G570" s="1340"/>
      <c r="H570" s="1335" t="s">
        <v>158</v>
      </c>
      <c r="I570" s="1347"/>
      <c r="J570" s="1363"/>
      <c r="K570" s="1349"/>
      <c r="L570" s="1079"/>
      <c r="M570" s="1080"/>
      <c r="N570" s="1355"/>
      <c r="O570" s="1356">
        <v>1</v>
      </c>
      <c r="P570" s="1357" t="s">
        <v>19</v>
      </c>
      <c r="Q570" s="1308" t="s">
        <v>22</v>
      </c>
      <c r="R570" s="1308" t="s">
        <v>22</v>
      </c>
      <c r="S570" s="1308" t="s">
        <v>22</v>
      </c>
      <c r="T570" s="1308" t="s">
        <v>22</v>
      </c>
      <c r="U570" s="1308" t="s">
        <v>22</v>
      </c>
      <c r="V570" s="1308" t="s">
        <v>22</v>
      </c>
      <c r="W570" s="1308" t="s">
        <v>22</v>
      </c>
      <c r="X570" s="1308" t="s">
        <v>22</v>
      </c>
      <c r="Y570" s="1308"/>
      <c r="Z570" s="229"/>
      <c r="AA570" s="230"/>
      <c r="AB570" s="230"/>
      <c r="AC570" s="231"/>
      <c r="AD570" s="231"/>
      <c r="AE570" s="245"/>
      <c r="AF570" s="1350"/>
      <c r="AG570" s="1352"/>
      <c r="AH570" s="1352"/>
      <c r="AI570" s="1350"/>
      <c r="AJ570" s="1352"/>
      <c r="AK570" s="1352"/>
      <c r="AL570" s="772"/>
    </row>
    <row r="571" spans="1:38" ht="11.25" customHeight="1">
      <c r="A571" s="1030" t="s">
        <v>1019</v>
      </c>
      <c r="E571" s="557"/>
      <c r="F571" s="1339"/>
      <c r="G571" s="1340"/>
      <c r="H571" s="1335" t="s">
        <v>158</v>
      </c>
      <c r="I571" s="1347"/>
      <c r="J571" s="1363"/>
      <c r="K571" s="1349"/>
      <c r="L571" s="1079"/>
      <c r="M571" s="1080"/>
      <c r="N571" s="1355"/>
      <c r="O571" s="1356"/>
      <c r="P571" s="1358"/>
      <c r="Q571" s="1308"/>
      <c r="R571" s="1308"/>
      <c r="S571" s="1361"/>
      <c r="T571" s="1308"/>
      <c r="U571" s="1308"/>
      <c r="V571" s="1308"/>
      <c r="W571" s="1308"/>
      <c r="X571" s="1308"/>
      <c r="Y571" s="1308"/>
      <c r="AA571" s="778">
        <v>1</v>
      </c>
      <c r="AB571" s="779" t="s">
        <v>1119</v>
      </c>
      <c r="AC571" s="237">
        <v>668.39913469867099</v>
      </c>
      <c r="AD571" s="779" t="str">
        <f t="shared" ref="AD571:AE573" si="9">AB571</f>
        <v xml:space="preserve">  Прибыль направляемая на инвестиции</v>
      </c>
      <c r="AE571" s="237">
        <f t="shared" si="9"/>
        <v>668.39913469867099</v>
      </c>
      <c r="AF571" s="1350"/>
      <c r="AG571" s="1352"/>
      <c r="AH571" s="1352"/>
      <c r="AI571" s="1350"/>
      <c r="AJ571" s="1352"/>
      <c r="AK571" s="1352"/>
      <c r="AL571" s="772"/>
    </row>
    <row r="572" spans="1:38" ht="11.25" customHeight="1">
      <c r="A572" s="1030" t="s">
        <v>1019</v>
      </c>
      <c r="E572" s="557"/>
      <c r="F572" s="1340"/>
      <c r="G572" s="1340"/>
      <c r="H572" s="1340"/>
      <c r="I572" s="1340"/>
      <c r="J572" s="1340"/>
      <c r="K572" s="1340"/>
      <c r="L572" s="1340"/>
      <c r="M572" s="1340"/>
      <c r="N572" s="1340"/>
      <c r="O572" s="1340"/>
      <c r="P572" s="1340"/>
      <c r="Q572" s="1340"/>
      <c r="R572" s="1340"/>
      <c r="S572" s="1340"/>
      <c r="T572" s="1340"/>
      <c r="U572" s="1340"/>
      <c r="V572" s="1340"/>
      <c r="W572" s="1340"/>
      <c r="X572" s="1340"/>
      <c r="Y572" s="1340"/>
      <c r="Z572" s="181" t="s">
        <v>103</v>
      </c>
      <c r="AA572" s="780" t="s">
        <v>102</v>
      </c>
      <c r="AB572" s="779" t="s">
        <v>1120</v>
      </c>
      <c r="AC572" s="237">
        <v>237.877634315921</v>
      </c>
      <c r="AD572" s="779" t="str">
        <f t="shared" si="9"/>
        <v xml:space="preserve">     Прочие амортизационные отчисления</v>
      </c>
      <c r="AE572" s="237">
        <f t="shared" si="9"/>
        <v>237.877634315921</v>
      </c>
      <c r="AF572" s="1351"/>
      <c r="AG572" s="1353"/>
      <c r="AH572" s="1353"/>
      <c r="AI572" s="1351"/>
      <c r="AJ572" s="1353"/>
      <c r="AK572" s="1354"/>
      <c r="AL572" s="772"/>
    </row>
    <row r="573" spans="1:38" ht="11.25" customHeight="1">
      <c r="A573" s="1030" t="s">
        <v>1019</v>
      </c>
      <c r="E573" s="557"/>
      <c r="F573" s="1340"/>
      <c r="G573" s="1340"/>
      <c r="H573" s="1340"/>
      <c r="I573" s="1340"/>
      <c r="J573" s="1340"/>
      <c r="K573" s="1340"/>
      <c r="L573" s="1340"/>
      <c r="M573" s="1340"/>
      <c r="N573" s="1340"/>
      <c r="O573" s="1340"/>
      <c r="P573" s="1340"/>
      <c r="Q573" s="1340"/>
      <c r="R573" s="1340"/>
      <c r="S573" s="1340"/>
      <c r="T573" s="1340"/>
      <c r="U573" s="1340"/>
      <c r="V573" s="1340"/>
      <c r="W573" s="1340"/>
      <c r="X573" s="1340"/>
      <c r="Y573" s="1340"/>
      <c r="Z573" s="181" t="s">
        <v>103</v>
      </c>
      <c r="AA573" s="780" t="s">
        <v>89</v>
      </c>
      <c r="AB573" s="779" t="s">
        <v>1138</v>
      </c>
      <c r="AC573" s="237">
        <v>125.525030985409</v>
      </c>
      <c r="AD573" s="779" t="str">
        <f t="shared" si="9"/>
        <v xml:space="preserve">  Прочие собственные средства</v>
      </c>
      <c r="AE573" s="237">
        <f t="shared" si="9"/>
        <v>125.525030985409</v>
      </c>
      <c r="AF573" s="1351"/>
      <c r="AG573" s="1353"/>
      <c r="AH573" s="1353"/>
      <c r="AI573" s="1351"/>
      <c r="AJ573" s="1353"/>
      <c r="AK573" s="1354"/>
      <c r="AL573" s="772"/>
    </row>
    <row r="574" spans="1:38" ht="11.25" customHeight="1">
      <c r="A574" s="1030" t="s">
        <v>1019</v>
      </c>
      <c r="E574" s="557"/>
      <c r="F574" s="1339"/>
      <c r="G574" s="1340"/>
      <c r="H574" s="1335" t="s">
        <v>158</v>
      </c>
      <c r="I574" s="1347"/>
      <c r="J574" s="1363"/>
      <c r="K574" s="1349"/>
      <c r="L574" s="1079"/>
      <c r="M574" s="1080"/>
      <c r="N574" s="1355"/>
      <c r="O574" s="1356"/>
      <c r="P574" s="1359"/>
      <c r="Q574" s="1308"/>
      <c r="R574" s="1308"/>
      <c r="S574" s="1361"/>
      <c r="T574" s="1308"/>
      <c r="U574" s="1308"/>
      <c r="V574" s="1308"/>
      <c r="W574" s="1308"/>
      <c r="X574" s="1308"/>
      <c r="Y574" s="1308"/>
      <c r="Z574" s="229"/>
      <c r="AA574" s="230"/>
      <c r="AB574" s="44" t="s">
        <v>1059</v>
      </c>
      <c r="AC574" s="231"/>
      <c r="AD574" s="231"/>
      <c r="AE574" s="246"/>
      <c r="AF574" s="1350"/>
      <c r="AG574" s="1352"/>
      <c r="AH574" s="1352"/>
      <c r="AI574" s="1350"/>
      <c r="AJ574" s="1352"/>
      <c r="AK574" s="1352"/>
      <c r="AL574" s="772"/>
    </row>
    <row r="575" spans="1:38" ht="11.25" customHeight="1">
      <c r="A575" s="1030" t="s">
        <v>1019</v>
      </c>
      <c r="E575" s="557"/>
      <c r="F575" s="1339"/>
      <c r="G575" s="1340"/>
      <c r="H575" s="1335" t="s">
        <v>158</v>
      </c>
      <c r="I575" s="1347"/>
      <c r="J575" s="1363"/>
      <c r="K575" s="1349"/>
      <c r="L575" s="1079"/>
      <c r="M575" s="1080"/>
      <c r="N575" s="229"/>
      <c r="O575" s="230"/>
      <c r="P575" s="44" t="s">
        <v>1060</v>
      </c>
      <c r="Q575" s="230"/>
      <c r="R575" s="230"/>
      <c r="S575" s="230"/>
      <c r="T575" s="230"/>
      <c r="U575" s="230"/>
      <c r="V575" s="230"/>
      <c r="W575" s="230"/>
      <c r="X575" s="230"/>
      <c r="Y575" s="230"/>
      <c r="Z575" s="230"/>
      <c r="AA575" s="230"/>
      <c r="AB575" s="230"/>
      <c r="AC575" s="230"/>
      <c r="AD575" s="230"/>
      <c r="AE575" s="247"/>
      <c r="AF575" s="1350"/>
      <c r="AG575" s="1352"/>
      <c r="AH575" s="1352"/>
      <c r="AI575" s="1350"/>
      <c r="AJ575" s="1352"/>
      <c r="AK575" s="1352"/>
      <c r="AL575" s="772"/>
    </row>
    <row r="576" spans="1:38" ht="11.25" customHeight="1">
      <c r="A576" s="1030" t="s">
        <v>1019</v>
      </c>
      <c r="B576" s="1030" t="s">
        <v>1051</v>
      </c>
      <c r="E576" s="557"/>
      <c r="F576" s="1339"/>
      <c r="G576" s="1325" t="s">
        <v>103</v>
      </c>
      <c r="H576" s="1335" t="s">
        <v>160</v>
      </c>
      <c r="I576" s="1347" t="s">
        <v>1052</v>
      </c>
      <c r="J576" s="1363" t="s">
        <v>1053</v>
      </c>
      <c r="K576" s="1349" t="s">
        <v>1121</v>
      </c>
      <c r="L576" s="1079" t="s">
        <v>61</v>
      </c>
      <c r="M576" s="1364" t="s">
        <v>1018</v>
      </c>
      <c r="N576" s="242"/>
      <c r="O576" s="243" t="s">
        <v>384</v>
      </c>
      <c r="P576" s="244"/>
      <c r="Q576" s="244"/>
      <c r="R576" s="244"/>
      <c r="S576" s="244"/>
      <c r="T576" s="244"/>
      <c r="U576" s="244"/>
      <c r="V576" s="244"/>
      <c r="W576" s="244"/>
      <c r="X576" s="244"/>
      <c r="Y576" s="244"/>
      <c r="Z576" s="244"/>
      <c r="AA576" s="244"/>
      <c r="AB576" s="244"/>
      <c r="AC576" s="244"/>
      <c r="AD576" s="244"/>
      <c r="AE576" s="244"/>
      <c r="AF576" s="1350">
        <v>3</v>
      </c>
      <c r="AG576" s="1352" t="s">
        <v>1055</v>
      </c>
      <c r="AH576" s="1352" t="s">
        <v>1079</v>
      </c>
      <c r="AI576" s="1350">
        <v>3</v>
      </c>
      <c r="AJ576" s="1352" t="s">
        <v>1055</v>
      </c>
      <c r="AK576" s="1352" t="s">
        <v>1079</v>
      </c>
      <c r="AL576" s="772"/>
    </row>
    <row r="577" spans="1:38" ht="11.25" customHeight="1">
      <c r="A577" s="1030" t="s">
        <v>1019</v>
      </c>
      <c r="E577" s="557"/>
      <c r="F577" s="1339"/>
      <c r="G577" s="1340"/>
      <c r="H577" s="1335" t="s">
        <v>159</v>
      </c>
      <c r="I577" s="1347"/>
      <c r="J577" s="1363"/>
      <c r="K577" s="1349"/>
      <c r="L577" s="1079"/>
      <c r="M577" s="1364"/>
      <c r="N577" s="1355"/>
      <c r="O577" s="1356">
        <v>1</v>
      </c>
      <c r="P577" s="1357" t="s">
        <v>19</v>
      </c>
      <c r="Q577" s="1308" t="s">
        <v>22</v>
      </c>
      <c r="R577" s="1308" t="s">
        <v>22</v>
      </c>
      <c r="S577" s="1308" t="s">
        <v>22</v>
      </c>
      <c r="T577" s="1308" t="s">
        <v>22</v>
      </c>
      <c r="U577" s="1308" t="s">
        <v>22</v>
      </c>
      <c r="V577" s="1308" t="s">
        <v>22</v>
      </c>
      <c r="W577" s="1308" t="s">
        <v>22</v>
      </c>
      <c r="X577" s="1308" t="s">
        <v>22</v>
      </c>
      <c r="Y577" s="1308"/>
      <c r="Z577" s="229"/>
      <c r="AA577" s="230"/>
      <c r="AB577" s="230"/>
      <c r="AC577" s="231"/>
      <c r="AD577" s="231"/>
      <c r="AE577" s="245"/>
      <c r="AF577" s="1350"/>
      <c r="AG577" s="1352"/>
      <c r="AH577" s="1352"/>
      <c r="AI577" s="1350"/>
      <c r="AJ577" s="1352"/>
      <c r="AK577" s="1352"/>
      <c r="AL577" s="772"/>
    </row>
    <row r="578" spans="1:38" ht="11.25" customHeight="1">
      <c r="A578" s="1030" t="s">
        <v>1019</v>
      </c>
      <c r="E578" s="557"/>
      <c r="F578" s="1339"/>
      <c r="G578" s="1340"/>
      <c r="H578" s="1335" t="s">
        <v>159</v>
      </c>
      <c r="I578" s="1347"/>
      <c r="J578" s="1363"/>
      <c r="K578" s="1349"/>
      <c r="L578" s="1079"/>
      <c r="M578" s="1364"/>
      <c r="N578" s="1355"/>
      <c r="O578" s="1356"/>
      <c r="P578" s="1358"/>
      <c r="Q578" s="1308"/>
      <c r="R578" s="1308"/>
      <c r="S578" s="1361"/>
      <c r="T578" s="1308"/>
      <c r="U578" s="1308"/>
      <c r="V578" s="1308"/>
      <c r="W578" s="1308"/>
      <c r="X578" s="1308"/>
      <c r="Y578" s="1308"/>
      <c r="AA578" s="778">
        <v>1</v>
      </c>
      <c r="AB578" s="779" t="s">
        <v>1119</v>
      </c>
      <c r="AC578" s="237">
        <v>45.163478428244503</v>
      </c>
      <c r="AD578" s="779" t="str">
        <f t="shared" ref="AD578:AE580" si="10">AB578</f>
        <v xml:space="preserve">  Прибыль направляемая на инвестиции</v>
      </c>
      <c r="AE578" s="237">
        <f t="shared" si="10"/>
        <v>45.163478428244503</v>
      </c>
      <c r="AF578" s="1350"/>
      <c r="AG578" s="1352"/>
      <c r="AH578" s="1352"/>
      <c r="AI578" s="1350"/>
      <c r="AJ578" s="1352"/>
      <c r="AK578" s="1352"/>
      <c r="AL578" s="772"/>
    </row>
    <row r="579" spans="1:38" ht="11.25" customHeight="1">
      <c r="A579" s="1030" t="s">
        <v>1019</v>
      </c>
      <c r="E579" s="557"/>
      <c r="F579" s="1340"/>
      <c r="G579" s="1340"/>
      <c r="H579" s="1340"/>
      <c r="I579" s="1340"/>
      <c r="J579" s="1340"/>
      <c r="K579" s="1340"/>
      <c r="L579" s="1340"/>
      <c r="M579" s="1365"/>
      <c r="N579" s="1340"/>
      <c r="O579" s="1340"/>
      <c r="P579" s="1340"/>
      <c r="Q579" s="1340"/>
      <c r="R579" s="1340"/>
      <c r="S579" s="1340"/>
      <c r="T579" s="1340"/>
      <c r="U579" s="1340"/>
      <c r="V579" s="1340"/>
      <c r="W579" s="1340"/>
      <c r="X579" s="1340"/>
      <c r="Y579" s="1340"/>
      <c r="Z579" s="181" t="s">
        <v>103</v>
      </c>
      <c r="AA579" s="780" t="s">
        <v>102</v>
      </c>
      <c r="AB579" s="779" t="s">
        <v>1120</v>
      </c>
      <c r="AC579" s="237">
        <v>16.0733023851569</v>
      </c>
      <c r="AD579" s="779" t="str">
        <f t="shared" si="10"/>
        <v xml:space="preserve">     Прочие амортизационные отчисления</v>
      </c>
      <c r="AE579" s="237">
        <f t="shared" si="10"/>
        <v>16.0733023851569</v>
      </c>
      <c r="AF579" s="1351"/>
      <c r="AG579" s="1353"/>
      <c r="AH579" s="1353"/>
      <c r="AI579" s="1351"/>
      <c r="AJ579" s="1353"/>
      <c r="AK579" s="1354"/>
      <c r="AL579" s="772"/>
    </row>
    <row r="580" spans="1:38" ht="11.25" customHeight="1">
      <c r="A580" s="1030" t="s">
        <v>1019</v>
      </c>
      <c r="E580" s="557"/>
      <c r="F580" s="1340"/>
      <c r="G580" s="1340"/>
      <c r="H580" s="1340"/>
      <c r="I580" s="1340"/>
      <c r="J580" s="1340"/>
      <c r="K580" s="1340"/>
      <c r="L580" s="1340"/>
      <c r="M580" s="1365"/>
      <c r="N580" s="1340"/>
      <c r="O580" s="1340"/>
      <c r="P580" s="1340"/>
      <c r="Q580" s="1340"/>
      <c r="R580" s="1340"/>
      <c r="S580" s="1340"/>
      <c r="T580" s="1340"/>
      <c r="U580" s="1340"/>
      <c r="V580" s="1340"/>
      <c r="W580" s="1340"/>
      <c r="X580" s="1340"/>
      <c r="Y580" s="1340"/>
      <c r="Z580" s="181" t="s">
        <v>103</v>
      </c>
      <c r="AA580" s="780" t="s">
        <v>89</v>
      </c>
      <c r="AB580" s="779" t="s">
        <v>1138</v>
      </c>
      <c r="AC580" s="237">
        <v>8.4816791865986101</v>
      </c>
      <c r="AD580" s="779" t="str">
        <f t="shared" si="10"/>
        <v xml:space="preserve">  Прочие собственные средства</v>
      </c>
      <c r="AE580" s="237">
        <f t="shared" si="10"/>
        <v>8.4816791865986101</v>
      </c>
      <c r="AF580" s="1351"/>
      <c r="AG580" s="1353"/>
      <c r="AH580" s="1353"/>
      <c r="AI580" s="1351"/>
      <c r="AJ580" s="1353"/>
      <c r="AK580" s="1354"/>
      <c r="AL580" s="772"/>
    </row>
    <row r="581" spans="1:38" ht="11.25" customHeight="1">
      <c r="A581" s="1030" t="s">
        <v>1019</v>
      </c>
      <c r="E581" s="557"/>
      <c r="F581" s="1339"/>
      <c r="G581" s="1340"/>
      <c r="H581" s="1335" t="s">
        <v>159</v>
      </c>
      <c r="I581" s="1347"/>
      <c r="J581" s="1363"/>
      <c r="K581" s="1349"/>
      <c r="L581" s="1079"/>
      <c r="M581" s="1364"/>
      <c r="N581" s="1355"/>
      <c r="O581" s="1356"/>
      <c r="P581" s="1359"/>
      <c r="Q581" s="1308"/>
      <c r="R581" s="1308"/>
      <c r="S581" s="1361"/>
      <c r="T581" s="1308"/>
      <c r="U581" s="1308"/>
      <c r="V581" s="1308"/>
      <c r="W581" s="1308"/>
      <c r="X581" s="1308"/>
      <c r="Y581" s="1308"/>
      <c r="Z581" s="229"/>
      <c r="AA581" s="230"/>
      <c r="AB581" s="44" t="s">
        <v>1059</v>
      </c>
      <c r="AC581" s="231"/>
      <c r="AD581" s="231"/>
      <c r="AE581" s="246"/>
      <c r="AF581" s="1350"/>
      <c r="AG581" s="1352"/>
      <c r="AH581" s="1352"/>
      <c r="AI581" s="1350"/>
      <c r="AJ581" s="1352"/>
      <c r="AK581" s="1352"/>
      <c r="AL581" s="772"/>
    </row>
    <row r="582" spans="1:38" ht="11.25" customHeight="1">
      <c r="A582" s="1030" t="s">
        <v>1019</v>
      </c>
      <c r="E582" s="557"/>
      <c r="F582" s="1339"/>
      <c r="G582" s="1340"/>
      <c r="H582" s="1335" t="s">
        <v>159</v>
      </c>
      <c r="I582" s="1347"/>
      <c r="J582" s="1363"/>
      <c r="K582" s="1349"/>
      <c r="L582" s="1079"/>
      <c r="M582" s="1364"/>
      <c r="N582" s="229"/>
      <c r="O582" s="230"/>
      <c r="P582" s="44" t="s">
        <v>1060</v>
      </c>
      <c r="Q582" s="230"/>
      <c r="R582" s="230"/>
      <c r="S582" s="230"/>
      <c r="T582" s="230"/>
      <c r="U582" s="230"/>
      <c r="V582" s="230"/>
      <c r="W582" s="230"/>
      <c r="X582" s="230"/>
      <c r="Y582" s="230"/>
      <c r="Z582" s="230"/>
      <c r="AA582" s="230"/>
      <c r="AB582" s="230"/>
      <c r="AC582" s="230"/>
      <c r="AD582" s="230"/>
      <c r="AE582" s="247"/>
      <c r="AF582" s="1350"/>
      <c r="AG582" s="1352"/>
      <c r="AH582" s="1352"/>
      <c r="AI582" s="1350"/>
      <c r="AJ582" s="1352"/>
      <c r="AK582" s="1352"/>
      <c r="AL582" s="772"/>
    </row>
    <row r="583" spans="1:38" ht="11.25" customHeight="1">
      <c r="A583" s="1030" t="s">
        <v>1019</v>
      </c>
      <c r="B583" s="1030" t="s">
        <v>1051</v>
      </c>
      <c r="E583" s="557"/>
      <c r="F583" s="1339"/>
      <c r="G583" s="1325" t="s">
        <v>103</v>
      </c>
      <c r="H583" s="1335" t="s">
        <v>161</v>
      </c>
      <c r="I583" s="1347" t="s">
        <v>1052</v>
      </c>
      <c r="J583" s="1363" t="s">
        <v>1053</v>
      </c>
      <c r="K583" s="1349" t="s">
        <v>1122</v>
      </c>
      <c r="L583" s="1079" t="s">
        <v>61</v>
      </c>
      <c r="M583" s="1364" t="s">
        <v>1018</v>
      </c>
      <c r="N583" s="242"/>
      <c r="O583" s="243" t="s">
        <v>384</v>
      </c>
      <c r="P583" s="244"/>
      <c r="Q583" s="244"/>
      <c r="R583" s="244"/>
      <c r="S583" s="244"/>
      <c r="T583" s="244"/>
      <c r="U583" s="244"/>
      <c r="V583" s="244"/>
      <c r="W583" s="244"/>
      <c r="X583" s="244"/>
      <c r="Y583" s="244"/>
      <c r="Z583" s="244"/>
      <c r="AA583" s="244"/>
      <c r="AB583" s="244"/>
      <c r="AC583" s="244"/>
      <c r="AD583" s="244"/>
      <c r="AE583" s="244"/>
      <c r="AF583" s="1350">
        <v>2</v>
      </c>
      <c r="AG583" s="1352" t="s">
        <v>1055</v>
      </c>
      <c r="AH583" s="1352" t="s">
        <v>1107</v>
      </c>
      <c r="AI583" s="1350">
        <v>2</v>
      </c>
      <c r="AJ583" s="1352" t="s">
        <v>1055</v>
      </c>
      <c r="AK583" s="1352" t="s">
        <v>1107</v>
      </c>
      <c r="AL583" s="772"/>
    </row>
    <row r="584" spans="1:38" ht="11.25" customHeight="1">
      <c r="A584" s="1030" t="s">
        <v>1019</v>
      </c>
      <c r="E584" s="557"/>
      <c r="F584" s="1339"/>
      <c r="G584" s="1340"/>
      <c r="H584" s="1335" t="s">
        <v>160</v>
      </c>
      <c r="I584" s="1347"/>
      <c r="J584" s="1363"/>
      <c r="K584" s="1349"/>
      <c r="L584" s="1079"/>
      <c r="M584" s="1364"/>
      <c r="N584" s="1355"/>
      <c r="O584" s="1356">
        <v>1</v>
      </c>
      <c r="P584" s="1357" t="s">
        <v>19</v>
      </c>
      <c r="Q584" s="1308" t="s">
        <v>22</v>
      </c>
      <c r="R584" s="1308" t="s">
        <v>22</v>
      </c>
      <c r="S584" s="1308" t="s">
        <v>22</v>
      </c>
      <c r="T584" s="1308" t="s">
        <v>22</v>
      </c>
      <c r="U584" s="1308" t="s">
        <v>22</v>
      </c>
      <c r="V584" s="1308" t="s">
        <v>22</v>
      </c>
      <c r="W584" s="1308" t="s">
        <v>22</v>
      </c>
      <c r="X584" s="1308" t="s">
        <v>22</v>
      </c>
      <c r="Y584" s="1308"/>
      <c r="Z584" s="229"/>
      <c r="AA584" s="230"/>
      <c r="AB584" s="230"/>
      <c r="AC584" s="231"/>
      <c r="AD584" s="231"/>
      <c r="AE584" s="245"/>
      <c r="AF584" s="1350"/>
      <c r="AG584" s="1352"/>
      <c r="AH584" s="1352"/>
      <c r="AI584" s="1350"/>
      <c r="AJ584" s="1352"/>
      <c r="AK584" s="1352"/>
      <c r="AL584" s="772"/>
    </row>
    <row r="585" spans="1:38" ht="11.25" customHeight="1">
      <c r="A585" s="1030" t="s">
        <v>1019</v>
      </c>
      <c r="E585" s="557"/>
      <c r="F585" s="1339"/>
      <c r="G585" s="1340"/>
      <c r="H585" s="1335" t="s">
        <v>160</v>
      </c>
      <c r="I585" s="1347"/>
      <c r="J585" s="1363"/>
      <c r="K585" s="1349"/>
      <c r="L585" s="1079"/>
      <c r="M585" s="1364"/>
      <c r="N585" s="1355"/>
      <c r="O585" s="1356"/>
      <c r="P585" s="1358"/>
      <c r="Q585" s="1308"/>
      <c r="R585" s="1308"/>
      <c r="S585" s="1361"/>
      <c r="T585" s="1308"/>
      <c r="U585" s="1308"/>
      <c r="V585" s="1308"/>
      <c r="W585" s="1308"/>
      <c r="X585" s="1308"/>
      <c r="Y585" s="1308"/>
      <c r="AA585" s="778">
        <v>1</v>
      </c>
      <c r="AB585" s="779" t="s">
        <v>1119</v>
      </c>
      <c r="AC585" s="237">
        <v>13445.1922014183</v>
      </c>
      <c r="AD585" s="779" t="str">
        <f t="shared" ref="AD585:AE587" si="11">AB585</f>
        <v xml:space="preserve">  Прибыль направляемая на инвестиции</v>
      </c>
      <c r="AE585" s="237">
        <f t="shared" si="11"/>
        <v>13445.1922014183</v>
      </c>
      <c r="AF585" s="1350"/>
      <c r="AG585" s="1352"/>
      <c r="AH585" s="1352"/>
      <c r="AI585" s="1350"/>
      <c r="AJ585" s="1352"/>
      <c r="AK585" s="1352"/>
      <c r="AL585" s="772"/>
    </row>
    <row r="586" spans="1:38" ht="11.25" customHeight="1">
      <c r="A586" s="1030" t="s">
        <v>1019</v>
      </c>
      <c r="E586" s="557"/>
      <c r="F586" s="1340"/>
      <c r="G586" s="1340"/>
      <c r="H586" s="1340"/>
      <c r="I586" s="1340"/>
      <c r="J586" s="1340"/>
      <c r="K586" s="1340"/>
      <c r="L586" s="1340"/>
      <c r="M586" s="1365"/>
      <c r="N586" s="1340"/>
      <c r="O586" s="1340"/>
      <c r="P586" s="1340"/>
      <c r="Q586" s="1340"/>
      <c r="R586" s="1340"/>
      <c r="S586" s="1340"/>
      <c r="T586" s="1340"/>
      <c r="U586" s="1340"/>
      <c r="V586" s="1340"/>
      <c r="W586" s="1340"/>
      <c r="X586" s="1340"/>
      <c r="Y586" s="1340"/>
      <c r="Z586" s="181" t="s">
        <v>103</v>
      </c>
      <c r="AA586" s="780" t="s">
        <v>102</v>
      </c>
      <c r="AB586" s="779" t="s">
        <v>1120</v>
      </c>
      <c r="AC586" s="237">
        <v>4785.03090109195</v>
      </c>
      <c r="AD586" s="779" t="str">
        <f t="shared" si="11"/>
        <v xml:space="preserve">     Прочие амортизационные отчисления</v>
      </c>
      <c r="AE586" s="237">
        <f t="shared" si="11"/>
        <v>4785.03090109195</v>
      </c>
      <c r="AF586" s="1351"/>
      <c r="AG586" s="1353"/>
      <c r="AH586" s="1353"/>
      <c r="AI586" s="1351"/>
      <c r="AJ586" s="1353"/>
      <c r="AK586" s="1354"/>
      <c r="AL586" s="772"/>
    </row>
    <row r="587" spans="1:38" ht="11.25" customHeight="1">
      <c r="A587" s="1030" t="s">
        <v>1019</v>
      </c>
      <c r="E587" s="557"/>
      <c r="F587" s="1340"/>
      <c r="G587" s="1340"/>
      <c r="H587" s="1340"/>
      <c r="I587" s="1340"/>
      <c r="J587" s="1340"/>
      <c r="K587" s="1340"/>
      <c r="L587" s="1340"/>
      <c r="M587" s="1365"/>
      <c r="N587" s="1340"/>
      <c r="O587" s="1340"/>
      <c r="P587" s="1340"/>
      <c r="Q587" s="1340"/>
      <c r="R587" s="1340"/>
      <c r="S587" s="1340"/>
      <c r="T587" s="1340"/>
      <c r="U587" s="1340"/>
      <c r="V587" s="1340"/>
      <c r="W587" s="1340"/>
      <c r="X587" s="1340"/>
      <c r="Y587" s="1340"/>
      <c r="Z587" s="181" t="s">
        <v>103</v>
      </c>
      <c r="AA587" s="780" t="s">
        <v>89</v>
      </c>
      <c r="AB587" s="779" t="s">
        <v>1138</v>
      </c>
      <c r="AC587" s="237">
        <v>2525.0005274897098</v>
      </c>
      <c r="AD587" s="779" t="str">
        <f t="shared" si="11"/>
        <v xml:space="preserve">  Прочие собственные средства</v>
      </c>
      <c r="AE587" s="237">
        <f t="shared" si="11"/>
        <v>2525.0005274897098</v>
      </c>
      <c r="AF587" s="1351"/>
      <c r="AG587" s="1353"/>
      <c r="AH587" s="1353"/>
      <c r="AI587" s="1351"/>
      <c r="AJ587" s="1353"/>
      <c r="AK587" s="1354"/>
      <c r="AL587" s="772"/>
    </row>
    <row r="588" spans="1:38" ht="11.25" customHeight="1">
      <c r="A588" s="1030" t="s">
        <v>1019</v>
      </c>
      <c r="E588" s="557"/>
      <c r="F588" s="1339"/>
      <c r="G588" s="1340"/>
      <c r="H588" s="1335" t="s">
        <v>160</v>
      </c>
      <c r="I588" s="1347"/>
      <c r="J588" s="1363"/>
      <c r="K588" s="1349"/>
      <c r="L588" s="1079"/>
      <c r="M588" s="1364"/>
      <c r="N588" s="1355"/>
      <c r="O588" s="1356"/>
      <c r="P588" s="1359"/>
      <c r="Q588" s="1308"/>
      <c r="R588" s="1308"/>
      <c r="S588" s="1361"/>
      <c r="T588" s="1308"/>
      <c r="U588" s="1308"/>
      <c r="V588" s="1308"/>
      <c r="W588" s="1308"/>
      <c r="X588" s="1308"/>
      <c r="Y588" s="1308"/>
      <c r="Z588" s="229"/>
      <c r="AA588" s="230"/>
      <c r="AB588" s="44" t="s">
        <v>1059</v>
      </c>
      <c r="AC588" s="231"/>
      <c r="AD588" s="231"/>
      <c r="AE588" s="246"/>
      <c r="AF588" s="1350"/>
      <c r="AG588" s="1352"/>
      <c r="AH588" s="1352"/>
      <c r="AI588" s="1350"/>
      <c r="AJ588" s="1352"/>
      <c r="AK588" s="1352"/>
      <c r="AL588" s="772"/>
    </row>
    <row r="589" spans="1:38" ht="11.25" customHeight="1">
      <c r="A589" s="1030" t="s">
        <v>1019</v>
      </c>
      <c r="E589" s="557"/>
      <c r="F589" s="1339"/>
      <c r="G589" s="1340"/>
      <c r="H589" s="1335" t="s">
        <v>160</v>
      </c>
      <c r="I589" s="1347"/>
      <c r="J589" s="1363"/>
      <c r="K589" s="1349"/>
      <c r="L589" s="1079"/>
      <c r="M589" s="1364"/>
      <c r="N589" s="229"/>
      <c r="O589" s="230"/>
      <c r="P589" s="44" t="s">
        <v>1060</v>
      </c>
      <c r="Q589" s="230"/>
      <c r="R589" s="230"/>
      <c r="S589" s="230"/>
      <c r="T589" s="230"/>
      <c r="U589" s="230"/>
      <c r="V589" s="230"/>
      <c r="W589" s="230"/>
      <c r="X589" s="230"/>
      <c r="Y589" s="230"/>
      <c r="Z589" s="230"/>
      <c r="AA589" s="230"/>
      <c r="AB589" s="230"/>
      <c r="AC589" s="230"/>
      <c r="AD589" s="230"/>
      <c r="AE589" s="247"/>
      <c r="AF589" s="1350"/>
      <c r="AG589" s="1352"/>
      <c r="AH589" s="1352"/>
      <c r="AI589" s="1350"/>
      <c r="AJ589" s="1352"/>
      <c r="AK589" s="1352"/>
      <c r="AL589" s="772"/>
    </row>
    <row r="590" spans="1:38" ht="11.25" customHeight="1">
      <c r="A590" s="1030" t="s">
        <v>1019</v>
      </c>
      <c r="B590" s="1030" t="s">
        <v>1051</v>
      </c>
      <c r="E590" s="557"/>
      <c r="F590" s="1339"/>
      <c r="G590" s="1325" t="s">
        <v>103</v>
      </c>
      <c r="H590" s="1335" t="s">
        <v>162</v>
      </c>
      <c r="I590" s="1347" t="s">
        <v>1052</v>
      </c>
      <c r="J590" s="1363" t="s">
        <v>1053</v>
      </c>
      <c r="K590" s="1349" t="s">
        <v>1123</v>
      </c>
      <c r="L590" s="1079" t="s">
        <v>61</v>
      </c>
      <c r="M590" s="1364" t="s">
        <v>1018</v>
      </c>
      <c r="N590" s="242"/>
      <c r="O590" s="243" t="s">
        <v>384</v>
      </c>
      <c r="P590" s="244"/>
      <c r="Q590" s="244"/>
      <c r="R590" s="244"/>
      <c r="S590" s="244"/>
      <c r="T590" s="244"/>
      <c r="U590" s="244"/>
      <c r="V590" s="244"/>
      <c r="W590" s="244"/>
      <c r="X590" s="244"/>
      <c r="Y590" s="244"/>
      <c r="Z590" s="244"/>
      <c r="AA590" s="244"/>
      <c r="AB590" s="244"/>
      <c r="AC590" s="244"/>
      <c r="AD590" s="244"/>
      <c r="AE590" s="244"/>
      <c r="AF590" s="1350">
        <v>3</v>
      </c>
      <c r="AG590" s="1352" t="s">
        <v>1055</v>
      </c>
      <c r="AH590" s="1352" t="s">
        <v>1079</v>
      </c>
      <c r="AI590" s="1350">
        <v>3</v>
      </c>
      <c r="AJ590" s="1352" t="s">
        <v>1055</v>
      </c>
      <c r="AK590" s="1352" t="s">
        <v>1079</v>
      </c>
      <c r="AL590" s="772"/>
    </row>
    <row r="591" spans="1:38" ht="11.25" customHeight="1">
      <c r="A591" s="1030" t="s">
        <v>1019</v>
      </c>
      <c r="E591" s="557"/>
      <c r="F591" s="1339"/>
      <c r="G591" s="1340"/>
      <c r="H591" s="1335" t="s">
        <v>161</v>
      </c>
      <c r="I591" s="1347"/>
      <c r="J591" s="1363"/>
      <c r="K591" s="1349"/>
      <c r="L591" s="1079"/>
      <c r="M591" s="1364"/>
      <c r="N591" s="1355"/>
      <c r="O591" s="1356">
        <v>1</v>
      </c>
      <c r="P591" s="1357" t="s">
        <v>19</v>
      </c>
      <c r="Q591" s="1308" t="s">
        <v>22</v>
      </c>
      <c r="R591" s="1308" t="s">
        <v>22</v>
      </c>
      <c r="S591" s="1308" t="s">
        <v>22</v>
      </c>
      <c r="T591" s="1308" t="s">
        <v>22</v>
      </c>
      <c r="U591" s="1308" t="s">
        <v>22</v>
      </c>
      <c r="V591" s="1308" t="s">
        <v>22</v>
      </c>
      <c r="W591" s="1308" t="s">
        <v>22</v>
      </c>
      <c r="X591" s="1308" t="s">
        <v>22</v>
      </c>
      <c r="Y591" s="1308"/>
      <c r="Z591" s="229"/>
      <c r="AA591" s="230"/>
      <c r="AB591" s="230"/>
      <c r="AC591" s="231"/>
      <c r="AD591" s="231"/>
      <c r="AE591" s="245"/>
      <c r="AF591" s="1350"/>
      <c r="AG591" s="1352"/>
      <c r="AH591" s="1352"/>
      <c r="AI591" s="1350"/>
      <c r="AJ591" s="1352"/>
      <c r="AK591" s="1352"/>
      <c r="AL591" s="772"/>
    </row>
    <row r="592" spans="1:38" ht="11.25" customHeight="1">
      <c r="A592" s="1030" t="s">
        <v>1019</v>
      </c>
      <c r="E592" s="557"/>
      <c r="F592" s="1339"/>
      <c r="G592" s="1340"/>
      <c r="H592" s="1335" t="s">
        <v>161</v>
      </c>
      <c r="I592" s="1347"/>
      <c r="J592" s="1363"/>
      <c r="K592" s="1349"/>
      <c r="L592" s="1079"/>
      <c r="M592" s="1364"/>
      <c r="N592" s="1355"/>
      <c r="O592" s="1356"/>
      <c r="P592" s="1358"/>
      <c r="Q592" s="1308"/>
      <c r="R592" s="1308"/>
      <c r="S592" s="1361"/>
      <c r="T592" s="1308"/>
      <c r="U592" s="1308"/>
      <c r="V592" s="1308"/>
      <c r="W592" s="1308"/>
      <c r="X592" s="1308"/>
      <c r="Y592" s="1308"/>
      <c r="AA592" s="778">
        <v>1</v>
      </c>
      <c r="AB592" s="779" t="s">
        <v>1119</v>
      </c>
      <c r="AC592" s="237">
        <v>1381.5723629302699</v>
      </c>
      <c r="AD592" s="779" t="str">
        <f t="shared" ref="AD592:AE594" si="12">AB592</f>
        <v xml:space="preserve">  Прибыль направляемая на инвестиции</v>
      </c>
      <c r="AE592" s="237">
        <f t="shared" si="12"/>
        <v>1381.5723629302699</v>
      </c>
      <c r="AF592" s="1350"/>
      <c r="AG592" s="1352"/>
      <c r="AH592" s="1352"/>
      <c r="AI592" s="1350"/>
      <c r="AJ592" s="1352"/>
      <c r="AK592" s="1352"/>
      <c r="AL592" s="772"/>
    </row>
    <row r="593" spans="1:38" ht="11.25" customHeight="1">
      <c r="A593" s="1030" t="s">
        <v>1019</v>
      </c>
      <c r="E593" s="557"/>
      <c r="F593" s="1340"/>
      <c r="G593" s="1340"/>
      <c r="H593" s="1340"/>
      <c r="I593" s="1340"/>
      <c r="J593" s="1340"/>
      <c r="K593" s="1340"/>
      <c r="L593" s="1340"/>
      <c r="M593" s="1365"/>
      <c r="N593" s="1340"/>
      <c r="O593" s="1340"/>
      <c r="P593" s="1340"/>
      <c r="Q593" s="1340"/>
      <c r="R593" s="1340"/>
      <c r="S593" s="1340"/>
      <c r="T593" s="1340"/>
      <c r="U593" s="1340"/>
      <c r="V593" s="1340"/>
      <c r="W593" s="1340"/>
      <c r="X593" s="1340"/>
      <c r="Y593" s="1340"/>
      <c r="Z593" s="181" t="s">
        <v>103</v>
      </c>
      <c r="AA593" s="780" t="s">
        <v>102</v>
      </c>
      <c r="AB593" s="779" t="s">
        <v>1120</v>
      </c>
      <c r="AC593" s="237">
        <v>491.68999220543702</v>
      </c>
      <c r="AD593" s="779" t="str">
        <f t="shared" si="12"/>
        <v xml:space="preserve">     Прочие амортизационные отчисления</v>
      </c>
      <c r="AE593" s="237">
        <f t="shared" si="12"/>
        <v>491.68999220543702</v>
      </c>
      <c r="AF593" s="1351"/>
      <c r="AG593" s="1353"/>
      <c r="AH593" s="1353"/>
      <c r="AI593" s="1351"/>
      <c r="AJ593" s="1353"/>
      <c r="AK593" s="1354"/>
      <c r="AL593" s="772"/>
    </row>
    <row r="594" spans="1:38" ht="11.25" customHeight="1">
      <c r="A594" s="1030" t="s">
        <v>1019</v>
      </c>
      <c r="E594" s="557"/>
      <c r="F594" s="1340"/>
      <c r="G594" s="1340"/>
      <c r="H594" s="1340"/>
      <c r="I594" s="1340"/>
      <c r="J594" s="1340"/>
      <c r="K594" s="1340"/>
      <c r="L594" s="1340"/>
      <c r="M594" s="1365"/>
      <c r="N594" s="1340"/>
      <c r="O594" s="1340"/>
      <c r="P594" s="1340"/>
      <c r="Q594" s="1340"/>
      <c r="R594" s="1340"/>
      <c r="S594" s="1340"/>
      <c r="T594" s="1340"/>
      <c r="U594" s="1340"/>
      <c r="V594" s="1340"/>
      <c r="W594" s="1340"/>
      <c r="X594" s="1340"/>
      <c r="Y594" s="1340"/>
      <c r="Z594" s="181" t="s">
        <v>103</v>
      </c>
      <c r="AA594" s="780" t="s">
        <v>89</v>
      </c>
      <c r="AB594" s="779" t="s">
        <v>1138</v>
      </c>
      <c r="AC594" s="237">
        <v>259.45861486428998</v>
      </c>
      <c r="AD594" s="779" t="str">
        <f t="shared" si="12"/>
        <v xml:space="preserve">  Прочие собственные средства</v>
      </c>
      <c r="AE594" s="237">
        <f t="shared" si="12"/>
        <v>259.45861486428998</v>
      </c>
      <c r="AF594" s="1351"/>
      <c r="AG594" s="1353"/>
      <c r="AH594" s="1353"/>
      <c r="AI594" s="1351"/>
      <c r="AJ594" s="1353"/>
      <c r="AK594" s="1354"/>
      <c r="AL594" s="772"/>
    </row>
    <row r="595" spans="1:38" ht="11.25" customHeight="1">
      <c r="A595" s="1030" t="s">
        <v>1019</v>
      </c>
      <c r="E595" s="557"/>
      <c r="F595" s="1339"/>
      <c r="G595" s="1340"/>
      <c r="H595" s="1335" t="s">
        <v>161</v>
      </c>
      <c r="I595" s="1347"/>
      <c r="J595" s="1363"/>
      <c r="K595" s="1349"/>
      <c r="L595" s="1079"/>
      <c r="M595" s="1364"/>
      <c r="N595" s="1355"/>
      <c r="O595" s="1356"/>
      <c r="P595" s="1359"/>
      <c r="Q595" s="1308"/>
      <c r="R595" s="1308"/>
      <c r="S595" s="1361"/>
      <c r="T595" s="1308"/>
      <c r="U595" s="1308"/>
      <c r="V595" s="1308"/>
      <c r="W595" s="1308"/>
      <c r="X595" s="1308"/>
      <c r="Y595" s="1308"/>
      <c r="Z595" s="229"/>
      <c r="AA595" s="230"/>
      <c r="AB595" s="44" t="s">
        <v>1059</v>
      </c>
      <c r="AC595" s="231"/>
      <c r="AD595" s="231"/>
      <c r="AE595" s="246"/>
      <c r="AF595" s="1350"/>
      <c r="AG595" s="1352"/>
      <c r="AH595" s="1352"/>
      <c r="AI595" s="1350"/>
      <c r="AJ595" s="1352"/>
      <c r="AK595" s="1352"/>
      <c r="AL595" s="772"/>
    </row>
    <row r="596" spans="1:38" ht="11.25" customHeight="1">
      <c r="A596" s="1030" t="s">
        <v>1019</v>
      </c>
      <c r="E596" s="557"/>
      <c r="F596" s="1339"/>
      <c r="G596" s="1340"/>
      <c r="H596" s="1335" t="s">
        <v>161</v>
      </c>
      <c r="I596" s="1347"/>
      <c r="J596" s="1363"/>
      <c r="K596" s="1349"/>
      <c r="L596" s="1079"/>
      <c r="M596" s="1364"/>
      <c r="N596" s="229"/>
      <c r="O596" s="230"/>
      <c r="P596" s="44" t="s">
        <v>1060</v>
      </c>
      <c r="Q596" s="230"/>
      <c r="R596" s="230"/>
      <c r="S596" s="230"/>
      <c r="T596" s="230"/>
      <c r="U596" s="230"/>
      <c r="V596" s="230"/>
      <c r="W596" s="230"/>
      <c r="X596" s="230"/>
      <c r="Y596" s="230"/>
      <c r="Z596" s="230"/>
      <c r="AA596" s="230"/>
      <c r="AB596" s="230"/>
      <c r="AC596" s="230"/>
      <c r="AD596" s="230"/>
      <c r="AE596" s="247"/>
      <c r="AF596" s="1350"/>
      <c r="AG596" s="1352"/>
      <c r="AH596" s="1352"/>
      <c r="AI596" s="1350"/>
      <c r="AJ596" s="1352"/>
      <c r="AK596" s="1352"/>
      <c r="AL596" s="772"/>
    </row>
    <row r="597" spans="1:38" ht="11.25" customHeight="1">
      <c r="A597" s="1030" t="s">
        <v>1019</v>
      </c>
      <c r="B597" s="1030" t="s">
        <v>1051</v>
      </c>
      <c r="E597" s="557"/>
      <c r="F597" s="1339"/>
      <c r="G597" s="1325" t="s">
        <v>103</v>
      </c>
      <c r="H597" s="1335" t="s">
        <v>163</v>
      </c>
      <c r="I597" s="1347" t="s">
        <v>1052</v>
      </c>
      <c r="J597" s="1363" t="s">
        <v>1053</v>
      </c>
      <c r="K597" s="1349" t="s">
        <v>1124</v>
      </c>
      <c r="L597" s="1079" t="s">
        <v>61</v>
      </c>
      <c r="M597" s="1364" t="s">
        <v>1018</v>
      </c>
      <c r="N597" s="242"/>
      <c r="O597" s="243" t="s">
        <v>384</v>
      </c>
      <c r="P597" s="244"/>
      <c r="Q597" s="244"/>
      <c r="R597" s="244"/>
      <c r="S597" s="244"/>
      <c r="T597" s="244"/>
      <c r="U597" s="244"/>
      <c r="V597" s="244"/>
      <c r="W597" s="244"/>
      <c r="X597" s="244"/>
      <c r="Y597" s="244"/>
      <c r="Z597" s="244"/>
      <c r="AA597" s="244"/>
      <c r="AB597" s="244"/>
      <c r="AC597" s="244"/>
      <c r="AD597" s="244"/>
      <c r="AE597" s="244"/>
      <c r="AF597" s="1350">
        <v>3</v>
      </c>
      <c r="AG597" s="1352" t="s">
        <v>1055</v>
      </c>
      <c r="AH597" s="1352" t="s">
        <v>1079</v>
      </c>
      <c r="AI597" s="1350">
        <v>3</v>
      </c>
      <c r="AJ597" s="1352" t="s">
        <v>1055</v>
      </c>
      <c r="AK597" s="1352" t="s">
        <v>1079</v>
      </c>
      <c r="AL597" s="772"/>
    </row>
    <row r="598" spans="1:38" ht="11.25" customHeight="1">
      <c r="A598" s="1030" t="s">
        <v>1019</v>
      </c>
      <c r="E598" s="557"/>
      <c r="F598" s="1339"/>
      <c r="G598" s="1340"/>
      <c r="H598" s="1335" t="s">
        <v>162</v>
      </c>
      <c r="I598" s="1347"/>
      <c r="J598" s="1363"/>
      <c r="K598" s="1349"/>
      <c r="L598" s="1079"/>
      <c r="M598" s="1364"/>
      <c r="N598" s="1355"/>
      <c r="O598" s="1356">
        <v>1</v>
      </c>
      <c r="P598" s="1357" t="s">
        <v>19</v>
      </c>
      <c r="Q598" s="1308" t="s">
        <v>22</v>
      </c>
      <c r="R598" s="1308" t="s">
        <v>22</v>
      </c>
      <c r="S598" s="1308" t="s">
        <v>22</v>
      </c>
      <c r="T598" s="1308" t="s">
        <v>22</v>
      </c>
      <c r="U598" s="1308" t="s">
        <v>22</v>
      </c>
      <c r="V598" s="1308" t="s">
        <v>22</v>
      </c>
      <c r="W598" s="1308" t="s">
        <v>22</v>
      </c>
      <c r="X598" s="1308" t="s">
        <v>22</v>
      </c>
      <c r="Y598" s="1308"/>
      <c r="Z598" s="229"/>
      <c r="AA598" s="230"/>
      <c r="AB598" s="230"/>
      <c r="AC598" s="231"/>
      <c r="AD598" s="231"/>
      <c r="AE598" s="245"/>
      <c r="AF598" s="1350"/>
      <c r="AG598" s="1352"/>
      <c r="AH598" s="1352"/>
      <c r="AI598" s="1350"/>
      <c r="AJ598" s="1352"/>
      <c r="AK598" s="1352"/>
      <c r="AL598" s="772"/>
    </row>
    <row r="599" spans="1:38" ht="11.25" customHeight="1">
      <c r="A599" s="1030" t="s">
        <v>1019</v>
      </c>
      <c r="E599" s="557"/>
      <c r="F599" s="1339"/>
      <c r="G599" s="1340"/>
      <c r="H599" s="1335" t="s">
        <v>162</v>
      </c>
      <c r="I599" s="1347"/>
      <c r="J599" s="1363"/>
      <c r="K599" s="1349"/>
      <c r="L599" s="1079"/>
      <c r="M599" s="1364"/>
      <c r="N599" s="1355"/>
      <c r="O599" s="1356"/>
      <c r="P599" s="1358"/>
      <c r="Q599" s="1308"/>
      <c r="R599" s="1308"/>
      <c r="S599" s="1361"/>
      <c r="T599" s="1308"/>
      <c r="U599" s="1308"/>
      <c r="V599" s="1308"/>
      <c r="W599" s="1308"/>
      <c r="X599" s="1308"/>
      <c r="Y599" s="1308"/>
      <c r="AA599" s="778">
        <v>1</v>
      </c>
      <c r="AB599" s="779" t="s">
        <v>1119</v>
      </c>
      <c r="AC599" s="237">
        <v>1601.2716657992</v>
      </c>
      <c r="AD599" s="779" t="str">
        <f t="shared" ref="AD599:AE601" si="13">AB599</f>
        <v xml:space="preserve">  Прибыль направляемая на инвестиции</v>
      </c>
      <c r="AE599" s="237">
        <f t="shared" si="13"/>
        <v>1601.2716657992</v>
      </c>
      <c r="AF599" s="1350"/>
      <c r="AG599" s="1352"/>
      <c r="AH599" s="1352"/>
      <c r="AI599" s="1350"/>
      <c r="AJ599" s="1352"/>
      <c r="AK599" s="1352"/>
      <c r="AL599" s="772"/>
    </row>
    <row r="600" spans="1:38" ht="11.25" customHeight="1">
      <c r="A600" s="1030" t="s">
        <v>1019</v>
      </c>
      <c r="E600" s="557"/>
      <c r="F600" s="1340"/>
      <c r="G600" s="1340"/>
      <c r="H600" s="1340"/>
      <c r="I600" s="1340"/>
      <c r="J600" s="1340"/>
      <c r="K600" s="1340"/>
      <c r="L600" s="1340"/>
      <c r="M600" s="1365"/>
      <c r="N600" s="1340"/>
      <c r="O600" s="1340"/>
      <c r="P600" s="1340"/>
      <c r="Q600" s="1340"/>
      <c r="R600" s="1340"/>
      <c r="S600" s="1340"/>
      <c r="T600" s="1340"/>
      <c r="U600" s="1340"/>
      <c r="V600" s="1340"/>
      <c r="W600" s="1340"/>
      <c r="X600" s="1340"/>
      <c r="Y600" s="1340"/>
      <c r="Z600" s="181" t="s">
        <v>103</v>
      </c>
      <c r="AA600" s="780" t="s">
        <v>102</v>
      </c>
      <c r="AB600" s="779" t="s">
        <v>1120</v>
      </c>
      <c r="AC600" s="237">
        <v>569.87912758018297</v>
      </c>
      <c r="AD600" s="779" t="str">
        <f t="shared" si="13"/>
        <v xml:space="preserve">     Прочие амортизационные отчисления</v>
      </c>
      <c r="AE600" s="237">
        <f t="shared" si="13"/>
        <v>569.87912758018297</v>
      </c>
      <c r="AF600" s="1351"/>
      <c r="AG600" s="1353"/>
      <c r="AH600" s="1353"/>
      <c r="AI600" s="1351"/>
      <c r="AJ600" s="1353"/>
      <c r="AK600" s="1354"/>
      <c r="AL600" s="772"/>
    </row>
    <row r="601" spans="1:38" ht="11.25" customHeight="1">
      <c r="A601" s="1030" t="s">
        <v>1019</v>
      </c>
      <c r="E601" s="557"/>
      <c r="F601" s="1340"/>
      <c r="G601" s="1340"/>
      <c r="H601" s="1340"/>
      <c r="I601" s="1340"/>
      <c r="J601" s="1340"/>
      <c r="K601" s="1340"/>
      <c r="L601" s="1340"/>
      <c r="M601" s="1365"/>
      <c r="N601" s="1340"/>
      <c r="O601" s="1340"/>
      <c r="P601" s="1340"/>
      <c r="Q601" s="1340"/>
      <c r="R601" s="1340"/>
      <c r="S601" s="1340"/>
      <c r="T601" s="1340"/>
      <c r="U601" s="1340"/>
      <c r="V601" s="1340"/>
      <c r="W601" s="1340"/>
      <c r="X601" s="1340"/>
      <c r="Y601" s="1340"/>
      <c r="Z601" s="181" t="s">
        <v>103</v>
      </c>
      <c r="AA601" s="780" t="s">
        <v>89</v>
      </c>
      <c r="AB601" s="779" t="s">
        <v>1138</v>
      </c>
      <c r="AC601" s="237">
        <v>300.71803662061501</v>
      </c>
      <c r="AD601" s="779" t="str">
        <f t="shared" si="13"/>
        <v xml:space="preserve">  Прочие собственные средства</v>
      </c>
      <c r="AE601" s="237">
        <f t="shared" si="13"/>
        <v>300.71803662061501</v>
      </c>
      <c r="AF601" s="1351"/>
      <c r="AG601" s="1353"/>
      <c r="AH601" s="1353"/>
      <c r="AI601" s="1351"/>
      <c r="AJ601" s="1353"/>
      <c r="AK601" s="1354"/>
      <c r="AL601" s="772"/>
    </row>
    <row r="602" spans="1:38" ht="11.25" customHeight="1">
      <c r="A602" s="1030" t="s">
        <v>1019</v>
      </c>
      <c r="E602" s="557"/>
      <c r="F602" s="1339"/>
      <c r="G602" s="1340"/>
      <c r="H602" s="1335" t="s">
        <v>162</v>
      </c>
      <c r="I602" s="1347"/>
      <c r="J602" s="1363"/>
      <c r="K602" s="1349"/>
      <c r="L602" s="1079"/>
      <c r="M602" s="1364"/>
      <c r="N602" s="1355"/>
      <c r="O602" s="1356"/>
      <c r="P602" s="1359"/>
      <c r="Q602" s="1308"/>
      <c r="R602" s="1308"/>
      <c r="S602" s="1361"/>
      <c r="T602" s="1308"/>
      <c r="U602" s="1308"/>
      <c r="V602" s="1308"/>
      <c r="W602" s="1308"/>
      <c r="X602" s="1308"/>
      <c r="Y602" s="1308"/>
      <c r="Z602" s="229"/>
      <c r="AA602" s="230"/>
      <c r="AB602" s="44" t="s">
        <v>1059</v>
      </c>
      <c r="AC602" s="231"/>
      <c r="AD602" s="231"/>
      <c r="AE602" s="246"/>
      <c r="AF602" s="1350"/>
      <c r="AG602" s="1352"/>
      <c r="AH602" s="1352"/>
      <c r="AI602" s="1350"/>
      <c r="AJ602" s="1352"/>
      <c r="AK602" s="1352"/>
      <c r="AL602" s="772"/>
    </row>
    <row r="603" spans="1:38" ht="11.25" customHeight="1">
      <c r="A603" s="1030" t="s">
        <v>1019</v>
      </c>
      <c r="E603" s="557"/>
      <c r="F603" s="1339"/>
      <c r="G603" s="1340"/>
      <c r="H603" s="1335" t="s">
        <v>162</v>
      </c>
      <c r="I603" s="1347"/>
      <c r="J603" s="1363"/>
      <c r="K603" s="1349"/>
      <c r="L603" s="1079"/>
      <c r="M603" s="1364"/>
      <c r="N603" s="229"/>
      <c r="O603" s="230"/>
      <c r="P603" s="44" t="s">
        <v>1060</v>
      </c>
      <c r="Q603" s="230"/>
      <c r="R603" s="230"/>
      <c r="S603" s="230"/>
      <c r="T603" s="230"/>
      <c r="U603" s="230"/>
      <c r="V603" s="230"/>
      <c r="W603" s="230"/>
      <c r="X603" s="230"/>
      <c r="Y603" s="230"/>
      <c r="Z603" s="230"/>
      <c r="AA603" s="230"/>
      <c r="AB603" s="230"/>
      <c r="AC603" s="230"/>
      <c r="AD603" s="230"/>
      <c r="AE603" s="247"/>
      <c r="AF603" s="1350"/>
      <c r="AG603" s="1352"/>
      <c r="AH603" s="1352"/>
      <c r="AI603" s="1350"/>
      <c r="AJ603" s="1352"/>
      <c r="AK603" s="1352"/>
      <c r="AL603" s="772"/>
    </row>
    <row r="604" spans="1:38" ht="11.25" customHeight="1">
      <c r="A604" s="1030" t="s">
        <v>1019</v>
      </c>
      <c r="B604" s="1030" t="s">
        <v>1051</v>
      </c>
      <c r="E604" s="557"/>
      <c r="F604" s="1339"/>
      <c r="G604" s="1325" t="s">
        <v>103</v>
      </c>
      <c r="H604" s="1335" t="s">
        <v>1127</v>
      </c>
      <c r="I604" s="1347" t="s">
        <v>1052</v>
      </c>
      <c r="J604" s="1363" t="s">
        <v>1053</v>
      </c>
      <c r="K604" s="1349" t="s">
        <v>1125</v>
      </c>
      <c r="L604" s="1079" t="s">
        <v>61</v>
      </c>
      <c r="M604" s="1364" t="s">
        <v>1018</v>
      </c>
      <c r="N604" s="242"/>
      <c r="O604" s="243" t="s">
        <v>384</v>
      </c>
      <c r="P604" s="244"/>
      <c r="Q604" s="244"/>
      <c r="R604" s="244"/>
      <c r="S604" s="244"/>
      <c r="T604" s="244"/>
      <c r="U604" s="244"/>
      <c r="V604" s="244"/>
      <c r="W604" s="244"/>
      <c r="X604" s="244"/>
      <c r="Y604" s="244"/>
      <c r="Z604" s="244"/>
      <c r="AA604" s="244"/>
      <c r="AB604" s="244"/>
      <c r="AC604" s="244"/>
      <c r="AD604" s="244"/>
      <c r="AE604" s="244"/>
      <c r="AF604" s="1350">
        <v>2</v>
      </c>
      <c r="AG604" s="1352" t="s">
        <v>1055</v>
      </c>
      <c r="AH604" s="1352" t="s">
        <v>1107</v>
      </c>
      <c r="AI604" s="1350">
        <v>2</v>
      </c>
      <c r="AJ604" s="1352" t="s">
        <v>1055</v>
      </c>
      <c r="AK604" s="1352" t="s">
        <v>1107</v>
      </c>
      <c r="AL604" s="772"/>
    </row>
    <row r="605" spans="1:38" ht="11.25" customHeight="1">
      <c r="A605" s="1030" t="s">
        <v>1019</v>
      </c>
      <c r="E605" s="557"/>
      <c r="F605" s="1339"/>
      <c r="G605" s="1340"/>
      <c r="H605" s="1335" t="s">
        <v>163</v>
      </c>
      <c r="I605" s="1347"/>
      <c r="J605" s="1363"/>
      <c r="K605" s="1349"/>
      <c r="L605" s="1079"/>
      <c r="M605" s="1364"/>
      <c r="N605" s="1355"/>
      <c r="O605" s="1356">
        <v>1</v>
      </c>
      <c r="P605" s="1357" t="s">
        <v>19</v>
      </c>
      <c r="Q605" s="1308" t="s">
        <v>22</v>
      </c>
      <c r="R605" s="1308" t="s">
        <v>22</v>
      </c>
      <c r="S605" s="1308" t="s">
        <v>22</v>
      </c>
      <c r="T605" s="1308" t="s">
        <v>22</v>
      </c>
      <c r="U605" s="1308" t="s">
        <v>22</v>
      </c>
      <c r="V605" s="1308" t="s">
        <v>22</v>
      </c>
      <c r="W605" s="1308" t="s">
        <v>22</v>
      </c>
      <c r="X605" s="1308" t="s">
        <v>22</v>
      </c>
      <c r="Y605" s="1308"/>
      <c r="Z605" s="229"/>
      <c r="AA605" s="230"/>
      <c r="AB605" s="230"/>
      <c r="AC605" s="231"/>
      <c r="AD605" s="231"/>
      <c r="AE605" s="245"/>
      <c r="AF605" s="1350"/>
      <c r="AG605" s="1352"/>
      <c r="AH605" s="1352"/>
      <c r="AI605" s="1350"/>
      <c r="AJ605" s="1352"/>
      <c r="AK605" s="1352"/>
      <c r="AL605" s="772"/>
    </row>
    <row r="606" spans="1:38" ht="11.25" customHeight="1">
      <c r="A606" s="1030" t="s">
        <v>1019</v>
      </c>
      <c r="E606" s="557"/>
      <c r="F606" s="1339"/>
      <c r="G606" s="1340"/>
      <c r="H606" s="1335" t="s">
        <v>163</v>
      </c>
      <c r="I606" s="1347"/>
      <c r="J606" s="1363"/>
      <c r="K606" s="1349"/>
      <c r="L606" s="1079"/>
      <c r="M606" s="1364"/>
      <c r="N606" s="1355"/>
      <c r="O606" s="1356"/>
      <c r="P606" s="1358"/>
      <c r="Q606" s="1308"/>
      <c r="R606" s="1308"/>
      <c r="S606" s="1361"/>
      <c r="T606" s="1308"/>
      <c r="U606" s="1308"/>
      <c r="V606" s="1308"/>
      <c r="W606" s="1308"/>
      <c r="X606" s="1308"/>
      <c r="Y606" s="1308"/>
      <c r="AA606" s="778">
        <v>1</v>
      </c>
      <c r="AB606" s="779" t="s">
        <v>1119</v>
      </c>
      <c r="AC606" s="237">
        <v>948.37991460179001</v>
      </c>
      <c r="AD606" s="779" t="str">
        <f t="shared" ref="AD606:AE608" si="14">AB606</f>
        <v xml:space="preserve">  Прибыль направляемая на инвестиции</v>
      </c>
      <c r="AE606" s="237">
        <f t="shared" si="14"/>
        <v>948.37991460179001</v>
      </c>
      <c r="AF606" s="1350"/>
      <c r="AG606" s="1352"/>
      <c r="AH606" s="1352"/>
      <c r="AI606" s="1350"/>
      <c r="AJ606" s="1352"/>
      <c r="AK606" s="1352"/>
      <c r="AL606" s="772"/>
    </row>
    <row r="607" spans="1:38" ht="11.25" customHeight="1">
      <c r="A607" s="1030" t="s">
        <v>1019</v>
      </c>
      <c r="E607" s="557"/>
      <c r="F607" s="1340"/>
      <c r="G607" s="1340"/>
      <c r="H607" s="1340"/>
      <c r="I607" s="1340"/>
      <c r="J607" s="1340"/>
      <c r="K607" s="1340"/>
      <c r="L607" s="1340"/>
      <c r="M607" s="1365"/>
      <c r="N607" s="1340"/>
      <c r="O607" s="1340"/>
      <c r="P607" s="1340"/>
      <c r="Q607" s="1340"/>
      <c r="R607" s="1340"/>
      <c r="S607" s="1340"/>
      <c r="T607" s="1340"/>
      <c r="U607" s="1340"/>
      <c r="V607" s="1340"/>
      <c r="W607" s="1340"/>
      <c r="X607" s="1340"/>
      <c r="Y607" s="1340"/>
      <c r="Z607" s="181" t="s">
        <v>103</v>
      </c>
      <c r="AA607" s="780" t="s">
        <v>102</v>
      </c>
      <c r="AB607" s="779" t="s">
        <v>1120</v>
      </c>
      <c r="AC607" s="237">
        <v>337.52044071677898</v>
      </c>
      <c r="AD607" s="779" t="str">
        <f t="shared" si="14"/>
        <v xml:space="preserve">     Прочие амортизационные отчисления</v>
      </c>
      <c r="AE607" s="237">
        <f t="shared" si="14"/>
        <v>337.52044071677898</v>
      </c>
      <c r="AF607" s="1351"/>
      <c r="AG607" s="1353"/>
      <c r="AH607" s="1353"/>
      <c r="AI607" s="1351"/>
      <c r="AJ607" s="1353"/>
      <c r="AK607" s="1354"/>
      <c r="AL607" s="772"/>
    </row>
    <row r="608" spans="1:38" ht="11.25" customHeight="1">
      <c r="A608" s="1030" t="s">
        <v>1019</v>
      </c>
      <c r="E608" s="557"/>
      <c r="F608" s="1340"/>
      <c r="G608" s="1340"/>
      <c r="H608" s="1340"/>
      <c r="I608" s="1340"/>
      <c r="J608" s="1340"/>
      <c r="K608" s="1340"/>
      <c r="L608" s="1340"/>
      <c r="M608" s="1365"/>
      <c r="N608" s="1340"/>
      <c r="O608" s="1340"/>
      <c r="P608" s="1340"/>
      <c r="Q608" s="1340"/>
      <c r="R608" s="1340"/>
      <c r="S608" s="1340"/>
      <c r="T608" s="1340"/>
      <c r="U608" s="1340"/>
      <c r="V608" s="1340"/>
      <c r="W608" s="1340"/>
      <c r="X608" s="1340"/>
      <c r="Y608" s="1340"/>
      <c r="Z608" s="181" t="s">
        <v>103</v>
      </c>
      <c r="AA608" s="780" t="s">
        <v>89</v>
      </c>
      <c r="AB608" s="779" t="s">
        <v>1138</v>
      </c>
      <c r="AC608" s="237">
        <v>178.10528468143099</v>
      </c>
      <c r="AD608" s="779" t="str">
        <f t="shared" si="14"/>
        <v xml:space="preserve">  Прочие собственные средства</v>
      </c>
      <c r="AE608" s="237">
        <f t="shared" si="14"/>
        <v>178.10528468143099</v>
      </c>
      <c r="AF608" s="1351"/>
      <c r="AG608" s="1353"/>
      <c r="AH608" s="1353"/>
      <c r="AI608" s="1351"/>
      <c r="AJ608" s="1353"/>
      <c r="AK608" s="1354"/>
      <c r="AL608" s="772"/>
    </row>
    <row r="609" spans="1:38" ht="11.25" customHeight="1">
      <c r="A609" s="1030" t="s">
        <v>1019</v>
      </c>
      <c r="E609" s="557"/>
      <c r="F609" s="1339"/>
      <c r="G609" s="1340"/>
      <c r="H609" s="1335" t="s">
        <v>163</v>
      </c>
      <c r="I609" s="1347"/>
      <c r="J609" s="1363"/>
      <c r="K609" s="1349"/>
      <c r="L609" s="1079"/>
      <c r="M609" s="1364"/>
      <c r="N609" s="1355"/>
      <c r="O609" s="1356"/>
      <c r="P609" s="1359"/>
      <c r="Q609" s="1308"/>
      <c r="R609" s="1308"/>
      <c r="S609" s="1361"/>
      <c r="T609" s="1308"/>
      <c r="U609" s="1308"/>
      <c r="V609" s="1308"/>
      <c r="W609" s="1308"/>
      <c r="X609" s="1308"/>
      <c r="Y609" s="1308"/>
      <c r="Z609" s="229"/>
      <c r="AA609" s="230"/>
      <c r="AB609" s="44" t="s">
        <v>1059</v>
      </c>
      <c r="AC609" s="231"/>
      <c r="AD609" s="231"/>
      <c r="AE609" s="246"/>
      <c r="AF609" s="1350"/>
      <c r="AG609" s="1352"/>
      <c r="AH609" s="1352"/>
      <c r="AI609" s="1350"/>
      <c r="AJ609" s="1352"/>
      <c r="AK609" s="1352"/>
      <c r="AL609" s="772"/>
    </row>
    <row r="610" spans="1:38" ht="11.25" customHeight="1">
      <c r="A610" s="1030" t="s">
        <v>1019</v>
      </c>
      <c r="E610" s="557"/>
      <c r="F610" s="1339"/>
      <c r="G610" s="1340"/>
      <c r="H610" s="1335" t="s">
        <v>163</v>
      </c>
      <c r="I610" s="1347"/>
      <c r="J610" s="1363"/>
      <c r="K610" s="1349"/>
      <c r="L610" s="1079"/>
      <c r="M610" s="1364"/>
      <c r="N610" s="229"/>
      <c r="O610" s="230"/>
      <c r="P610" s="44" t="s">
        <v>1060</v>
      </c>
      <c r="Q610" s="230"/>
      <c r="R610" s="230"/>
      <c r="S610" s="230"/>
      <c r="T610" s="230"/>
      <c r="U610" s="230"/>
      <c r="V610" s="230"/>
      <c r="W610" s="230"/>
      <c r="X610" s="230"/>
      <c r="Y610" s="230"/>
      <c r="Z610" s="230"/>
      <c r="AA610" s="230"/>
      <c r="AB610" s="230"/>
      <c r="AC610" s="230"/>
      <c r="AD610" s="230"/>
      <c r="AE610" s="247"/>
      <c r="AF610" s="1350"/>
      <c r="AG610" s="1352"/>
      <c r="AH610" s="1352"/>
      <c r="AI610" s="1350"/>
      <c r="AJ610" s="1352"/>
      <c r="AK610" s="1352"/>
      <c r="AL610" s="772"/>
    </row>
    <row r="611" spans="1:38" ht="11.25" customHeight="1">
      <c r="A611" s="1030" t="s">
        <v>1019</v>
      </c>
      <c r="B611" s="1030" t="s">
        <v>1051</v>
      </c>
      <c r="E611" s="557"/>
      <c r="F611" s="1339"/>
      <c r="G611" s="1325" t="s">
        <v>103</v>
      </c>
      <c r="H611" s="1335" t="s">
        <v>1129</v>
      </c>
      <c r="I611" s="1347" t="s">
        <v>1052</v>
      </c>
      <c r="J611" s="1363" t="s">
        <v>1053</v>
      </c>
      <c r="K611" s="1349" t="s">
        <v>1126</v>
      </c>
      <c r="L611" s="1079" t="s">
        <v>61</v>
      </c>
      <c r="M611" s="1364" t="s">
        <v>1018</v>
      </c>
      <c r="N611" s="242"/>
      <c r="O611" s="243" t="s">
        <v>384</v>
      </c>
      <c r="P611" s="244"/>
      <c r="Q611" s="244"/>
      <c r="R611" s="244"/>
      <c r="S611" s="244"/>
      <c r="T611" s="244"/>
      <c r="U611" s="244"/>
      <c r="V611" s="244"/>
      <c r="W611" s="244"/>
      <c r="X611" s="244"/>
      <c r="Y611" s="244"/>
      <c r="Z611" s="244"/>
      <c r="AA611" s="244"/>
      <c r="AB611" s="244"/>
      <c r="AC611" s="244"/>
      <c r="AD611" s="244"/>
      <c r="AE611" s="244"/>
      <c r="AF611" s="1350">
        <v>3</v>
      </c>
      <c r="AG611" s="1352" t="s">
        <v>1055</v>
      </c>
      <c r="AH611" s="1352" t="s">
        <v>1079</v>
      </c>
      <c r="AI611" s="1350">
        <v>3</v>
      </c>
      <c r="AJ611" s="1352" t="s">
        <v>1055</v>
      </c>
      <c r="AK611" s="1352" t="s">
        <v>1079</v>
      </c>
      <c r="AL611" s="772"/>
    </row>
    <row r="612" spans="1:38" ht="11.25" customHeight="1">
      <c r="A612" s="1030" t="s">
        <v>1019</v>
      </c>
      <c r="E612" s="557"/>
      <c r="F612" s="1339"/>
      <c r="G612" s="1340"/>
      <c r="H612" s="1335" t="s">
        <v>1127</v>
      </c>
      <c r="I612" s="1347"/>
      <c r="J612" s="1363"/>
      <c r="K612" s="1349"/>
      <c r="L612" s="1079"/>
      <c r="M612" s="1364"/>
      <c r="N612" s="1355"/>
      <c r="O612" s="1356">
        <v>1</v>
      </c>
      <c r="P612" s="1357" t="s">
        <v>19</v>
      </c>
      <c r="Q612" s="1308" t="s">
        <v>22</v>
      </c>
      <c r="R612" s="1308" t="s">
        <v>22</v>
      </c>
      <c r="S612" s="1308" t="s">
        <v>22</v>
      </c>
      <c r="T612" s="1308" t="s">
        <v>22</v>
      </c>
      <c r="U612" s="1308" t="s">
        <v>22</v>
      </c>
      <c r="V612" s="1308" t="s">
        <v>22</v>
      </c>
      <c r="W612" s="1308" t="s">
        <v>22</v>
      </c>
      <c r="X612" s="1308" t="s">
        <v>22</v>
      </c>
      <c r="Y612" s="1308"/>
      <c r="Z612" s="229"/>
      <c r="AA612" s="230"/>
      <c r="AB612" s="230"/>
      <c r="AC612" s="231"/>
      <c r="AD612" s="231"/>
      <c r="AE612" s="245"/>
      <c r="AF612" s="1350"/>
      <c r="AG612" s="1352"/>
      <c r="AH612" s="1352"/>
      <c r="AI612" s="1350"/>
      <c r="AJ612" s="1352"/>
      <c r="AK612" s="1352"/>
      <c r="AL612" s="772"/>
    </row>
    <row r="613" spans="1:38" ht="11.25" customHeight="1">
      <c r="A613" s="1030" t="s">
        <v>1019</v>
      </c>
      <c r="E613" s="557"/>
      <c r="F613" s="1339"/>
      <c r="G613" s="1340"/>
      <c r="H613" s="1335" t="s">
        <v>1127</v>
      </c>
      <c r="I613" s="1347"/>
      <c r="J613" s="1363"/>
      <c r="K613" s="1349"/>
      <c r="L613" s="1079"/>
      <c r="M613" s="1364"/>
      <c r="N613" s="1355"/>
      <c r="O613" s="1356"/>
      <c r="P613" s="1358"/>
      <c r="Q613" s="1308"/>
      <c r="R613" s="1308"/>
      <c r="S613" s="1361"/>
      <c r="T613" s="1308"/>
      <c r="U613" s="1308"/>
      <c r="V613" s="1308"/>
      <c r="W613" s="1308"/>
      <c r="X613" s="1308"/>
      <c r="Y613" s="1308"/>
      <c r="AA613" s="778">
        <v>1</v>
      </c>
      <c r="AB613" s="779" t="s">
        <v>1119</v>
      </c>
      <c r="AC613" s="237">
        <v>1288.4753246881501</v>
      </c>
      <c r="AD613" s="779" t="str">
        <f t="shared" ref="AD613:AE615" si="15">AB613</f>
        <v xml:space="preserve">  Прибыль направляемая на инвестиции</v>
      </c>
      <c r="AE613" s="237">
        <f t="shared" si="15"/>
        <v>1288.4753246881501</v>
      </c>
      <c r="AF613" s="1350"/>
      <c r="AG613" s="1352"/>
      <c r="AH613" s="1352"/>
      <c r="AI613" s="1350"/>
      <c r="AJ613" s="1352"/>
      <c r="AK613" s="1352"/>
      <c r="AL613" s="772"/>
    </row>
    <row r="614" spans="1:38" ht="11.25" customHeight="1">
      <c r="A614" s="1030" t="s">
        <v>1019</v>
      </c>
      <c r="E614" s="557"/>
      <c r="F614" s="1340"/>
      <c r="G614" s="1340"/>
      <c r="H614" s="1340"/>
      <c r="I614" s="1340"/>
      <c r="J614" s="1340"/>
      <c r="K614" s="1340"/>
      <c r="L614" s="1340"/>
      <c r="M614" s="1365"/>
      <c r="N614" s="1340"/>
      <c r="O614" s="1340"/>
      <c r="P614" s="1340"/>
      <c r="Q614" s="1340"/>
      <c r="R614" s="1340"/>
      <c r="S614" s="1340"/>
      <c r="T614" s="1340"/>
      <c r="U614" s="1340"/>
      <c r="V614" s="1340"/>
      <c r="W614" s="1340"/>
      <c r="X614" s="1340"/>
      <c r="Y614" s="1340"/>
      <c r="Z614" s="181" t="s">
        <v>103</v>
      </c>
      <c r="AA614" s="780" t="s">
        <v>102</v>
      </c>
      <c r="AB614" s="779" t="s">
        <v>1120</v>
      </c>
      <c r="AC614" s="237">
        <v>458.5575387518</v>
      </c>
      <c r="AD614" s="779" t="str">
        <f t="shared" si="15"/>
        <v xml:space="preserve">     Прочие амортизационные отчисления</v>
      </c>
      <c r="AE614" s="237">
        <f t="shared" si="15"/>
        <v>458.5575387518</v>
      </c>
      <c r="AF614" s="1351"/>
      <c r="AG614" s="1353"/>
      <c r="AH614" s="1353"/>
      <c r="AI614" s="1351"/>
      <c r="AJ614" s="1353"/>
      <c r="AK614" s="1354"/>
      <c r="AL614" s="772"/>
    </row>
    <row r="615" spans="1:38" ht="11.25" customHeight="1">
      <c r="A615" s="1030" t="s">
        <v>1019</v>
      </c>
      <c r="E615" s="557"/>
      <c r="F615" s="1340"/>
      <c r="G615" s="1340"/>
      <c r="H615" s="1340"/>
      <c r="I615" s="1340"/>
      <c r="J615" s="1340"/>
      <c r="K615" s="1340"/>
      <c r="L615" s="1340"/>
      <c r="M615" s="1365"/>
      <c r="N615" s="1340"/>
      <c r="O615" s="1340"/>
      <c r="P615" s="1340"/>
      <c r="Q615" s="1340"/>
      <c r="R615" s="1340"/>
      <c r="S615" s="1340"/>
      <c r="T615" s="1340"/>
      <c r="U615" s="1340"/>
      <c r="V615" s="1340"/>
      <c r="W615" s="1340"/>
      <c r="X615" s="1340"/>
      <c r="Y615" s="1340"/>
      <c r="Z615" s="181" t="s">
        <v>103</v>
      </c>
      <c r="AA615" s="780" t="s">
        <v>89</v>
      </c>
      <c r="AB615" s="779" t="s">
        <v>1138</v>
      </c>
      <c r="AC615" s="237">
        <v>241.97503656004699</v>
      </c>
      <c r="AD615" s="779" t="str">
        <f t="shared" si="15"/>
        <v xml:space="preserve">  Прочие собственные средства</v>
      </c>
      <c r="AE615" s="237">
        <f t="shared" si="15"/>
        <v>241.97503656004699</v>
      </c>
      <c r="AF615" s="1351"/>
      <c r="AG615" s="1353"/>
      <c r="AH615" s="1353"/>
      <c r="AI615" s="1351"/>
      <c r="AJ615" s="1353"/>
      <c r="AK615" s="1354"/>
      <c r="AL615" s="772"/>
    </row>
    <row r="616" spans="1:38" ht="11.25" customHeight="1">
      <c r="A616" s="1030" t="s">
        <v>1019</v>
      </c>
      <c r="E616" s="557"/>
      <c r="F616" s="1339"/>
      <c r="G616" s="1340"/>
      <c r="H616" s="1335" t="s">
        <v>1127</v>
      </c>
      <c r="I616" s="1347"/>
      <c r="J616" s="1363"/>
      <c r="K616" s="1349"/>
      <c r="L616" s="1079"/>
      <c r="M616" s="1364"/>
      <c r="N616" s="1355"/>
      <c r="O616" s="1356"/>
      <c r="P616" s="1359"/>
      <c r="Q616" s="1308"/>
      <c r="R616" s="1308"/>
      <c r="S616" s="1361"/>
      <c r="T616" s="1308"/>
      <c r="U616" s="1308"/>
      <c r="V616" s="1308"/>
      <c r="W616" s="1308"/>
      <c r="X616" s="1308"/>
      <c r="Y616" s="1308"/>
      <c r="Z616" s="229"/>
      <c r="AA616" s="230"/>
      <c r="AB616" s="44" t="s">
        <v>1059</v>
      </c>
      <c r="AC616" s="231"/>
      <c r="AD616" s="231"/>
      <c r="AE616" s="246"/>
      <c r="AF616" s="1350"/>
      <c r="AG616" s="1352"/>
      <c r="AH616" s="1352"/>
      <c r="AI616" s="1350"/>
      <c r="AJ616" s="1352"/>
      <c r="AK616" s="1352"/>
      <c r="AL616" s="772"/>
    </row>
    <row r="617" spans="1:38" ht="11.25" customHeight="1">
      <c r="A617" s="1030" t="s">
        <v>1019</v>
      </c>
      <c r="E617" s="557"/>
      <c r="F617" s="1339"/>
      <c r="G617" s="1340"/>
      <c r="H617" s="1335" t="s">
        <v>1127</v>
      </c>
      <c r="I617" s="1347"/>
      <c r="J617" s="1363"/>
      <c r="K617" s="1349"/>
      <c r="L617" s="1079"/>
      <c r="M617" s="1364"/>
      <c r="N617" s="229"/>
      <c r="O617" s="230"/>
      <c r="P617" s="44" t="s">
        <v>1060</v>
      </c>
      <c r="Q617" s="230"/>
      <c r="R617" s="230"/>
      <c r="S617" s="230"/>
      <c r="T617" s="230"/>
      <c r="U617" s="230"/>
      <c r="V617" s="230"/>
      <c r="W617" s="230"/>
      <c r="X617" s="230"/>
      <c r="Y617" s="230"/>
      <c r="Z617" s="230"/>
      <c r="AA617" s="230"/>
      <c r="AB617" s="230"/>
      <c r="AC617" s="230"/>
      <c r="AD617" s="230"/>
      <c r="AE617" s="247"/>
      <c r="AF617" s="1350"/>
      <c r="AG617" s="1352"/>
      <c r="AH617" s="1352"/>
      <c r="AI617" s="1350"/>
      <c r="AJ617" s="1352"/>
      <c r="AK617" s="1352"/>
      <c r="AL617" s="772"/>
    </row>
    <row r="618" spans="1:38" ht="11.25" customHeight="1">
      <c r="A618" s="1030" t="s">
        <v>1019</v>
      </c>
      <c r="B618" s="1030" t="s">
        <v>1051</v>
      </c>
      <c r="E618" s="557"/>
      <c r="F618" s="1339"/>
      <c r="G618" s="1325" t="s">
        <v>103</v>
      </c>
      <c r="H618" s="1335" t="s">
        <v>1131</v>
      </c>
      <c r="I618" s="1347" t="s">
        <v>1052</v>
      </c>
      <c r="J618" s="1363" t="s">
        <v>1053</v>
      </c>
      <c r="K618" s="1349" t="s">
        <v>1128</v>
      </c>
      <c r="L618" s="1079" t="s">
        <v>61</v>
      </c>
      <c r="M618" s="1364" t="s">
        <v>1018</v>
      </c>
      <c r="N618" s="242"/>
      <c r="O618" s="243" t="s">
        <v>384</v>
      </c>
      <c r="P618" s="244"/>
      <c r="Q618" s="244"/>
      <c r="R618" s="244"/>
      <c r="S618" s="244"/>
      <c r="T618" s="244"/>
      <c r="U618" s="244"/>
      <c r="V618" s="244"/>
      <c r="W618" s="244"/>
      <c r="X618" s="244"/>
      <c r="Y618" s="244"/>
      <c r="Z618" s="244"/>
      <c r="AA618" s="244"/>
      <c r="AB618" s="244"/>
      <c r="AC618" s="244"/>
      <c r="AD618" s="244"/>
      <c r="AE618" s="244"/>
      <c r="AF618" s="1350">
        <v>3</v>
      </c>
      <c r="AG618" s="1352" t="s">
        <v>1055</v>
      </c>
      <c r="AH618" s="1352" t="s">
        <v>1079</v>
      </c>
      <c r="AI618" s="1350">
        <v>3</v>
      </c>
      <c r="AJ618" s="1352" t="s">
        <v>1055</v>
      </c>
      <c r="AK618" s="1352" t="s">
        <v>1079</v>
      </c>
      <c r="AL618" s="772"/>
    </row>
    <row r="619" spans="1:38" ht="11.25" customHeight="1">
      <c r="A619" s="1030" t="s">
        <v>1019</v>
      </c>
      <c r="E619" s="557"/>
      <c r="F619" s="1339"/>
      <c r="G619" s="1340"/>
      <c r="H619" s="1335" t="s">
        <v>1129</v>
      </c>
      <c r="I619" s="1347"/>
      <c r="J619" s="1363"/>
      <c r="K619" s="1349"/>
      <c r="L619" s="1079"/>
      <c r="M619" s="1364"/>
      <c r="N619" s="1355"/>
      <c r="O619" s="1356">
        <v>1</v>
      </c>
      <c r="P619" s="1357" t="s">
        <v>19</v>
      </c>
      <c r="Q619" s="1308" t="s">
        <v>22</v>
      </c>
      <c r="R619" s="1308" t="s">
        <v>22</v>
      </c>
      <c r="S619" s="1308" t="s">
        <v>22</v>
      </c>
      <c r="T619" s="1308" t="s">
        <v>22</v>
      </c>
      <c r="U619" s="1308" t="s">
        <v>22</v>
      </c>
      <c r="V619" s="1308" t="s">
        <v>22</v>
      </c>
      <c r="W619" s="1308" t="s">
        <v>22</v>
      </c>
      <c r="X619" s="1308" t="s">
        <v>22</v>
      </c>
      <c r="Y619" s="1308"/>
      <c r="Z619" s="229"/>
      <c r="AA619" s="230"/>
      <c r="AB619" s="230"/>
      <c r="AC619" s="231"/>
      <c r="AD619" s="231"/>
      <c r="AE619" s="245"/>
      <c r="AF619" s="1350"/>
      <c r="AG619" s="1352"/>
      <c r="AH619" s="1352"/>
      <c r="AI619" s="1350"/>
      <c r="AJ619" s="1352"/>
      <c r="AK619" s="1352"/>
      <c r="AL619" s="772"/>
    </row>
    <row r="620" spans="1:38" ht="11.25" customHeight="1">
      <c r="A620" s="1030" t="s">
        <v>1019</v>
      </c>
      <c r="E620" s="557"/>
      <c r="F620" s="1339"/>
      <c r="G620" s="1340"/>
      <c r="H620" s="1335" t="s">
        <v>1129</v>
      </c>
      <c r="I620" s="1347"/>
      <c r="J620" s="1363"/>
      <c r="K620" s="1349"/>
      <c r="L620" s="1079"/>
      <c r="M620" s="1364"/>
      <c r="N620" s="1355"/>
      <c r="O620" s="1356"/>
      <c r="P620" s="1358"/>
      <c r="Q620" s="1308"/>
      <c r="R620" s="1308"/>
      <c r="S620" s="1361"/>
      <c r="T620" s="1308"/>
      <c r="U620" s="1308"/>
      <c r="V620" s="1308"/>
      <c r="W620" s="1308"/>
      <c r="X620" s="1308"/>
      <c r="Y620" s="1308"/>
      <c r="AA620" s="778">
        <v>1</v>
      </c>
      <c r="AB620" s="779" t="s">
        <v>1119</v>
      </c>
      <c r="AC620" s="237">
        <v>508.92470427534801</v>
      </c>
      <c r="AD620" s="779" t="str">
        <f t="shared" ref="AD620:AE622" si="16">AB620</f>
        <v xml:space="preserve">  Прибыль направляемая на инвестиции</v>
      </c>
      <c r="AE620" s="237">
        <f t="shared" si="16"/>
        <v>508.92470427534801</v>
      </c>
      <c r="AF620" s="1350"/>
      <c r="AG620" s="1352"/>
      <c r="AH620" s="1352"/>
      <c r="AI620" s="1350"/>
      <c r="AJ620" s="1352"/>
      <c r="AK620" s="1352"/>
      <c r="AL620" s="772"/>
    </row>
    <row r="621" spans="1:38" ht="11.25" customHeight="1">
      <c r="A621" s="1030" t="s">
        <v>1019</v>
      </c>
      <c r="E621" s="557"/>
      <c r="F621" s="1340"/>
      <c r="G621" s="1340"/>
      <c r="H621" s="1340"/>
      <c r="I621" s="1340"/>
      <c r="J621" s="1340"/>
      <c r="K621" s="1340"/>
      <c r="L621" s="1340"/>
      <c r="M621" s="1365"/>
      <c r="N621" s="1340"/>
      <c r="O621" s="1340"/>
      <c r="P621" s="1340"/>
      <c r="Q621" s="1340"/>
      <c r="R621" s="1340"/>
      <c r="S621" s="1340"/>
      <c r="T621" s="1340"/>
      <c r="U621" s="1340"/>
      <c r="V621" s="1340"/>
      <c r="W621" s="1340"/>
      <c r="X621" s="1340"/>
      <c r="Y621" s="1340"/>
      <c r="Z621" s="181" t="s">
        <v>103</v>
      </c>
      <c r="AA621" s="780" t="s">
        <v>102</v>
      </c>
      <c r="AB621" s="779" t="s">
        <v>1120</v>
      </c>
      <c r="AC621" s="237">
        <v>181.122024869955</v>
      </c>
      <c r="AD621" s="779" t="str">
        <f t="shared" si="16"/>
        <v xml:space="preserve">     Прочие амортизационные отчисления</v>
      </c>
      <c r="AE621" s="237">
        <f t="shared" si="16"/>
        <v>181.122024869955</v>
      </c>
      <c r="AF621" s="1351"/>
      <c r="AG621" s="1353"/>
      <c r="AH621" s="1353"/>
      <c r="AI621" s="1351"/>
      <c r="AJ621" s="1353"/>
      <c r="AK621" s="1354"/>
      <c r="AL621" s="772"/>
    </row>
    <row r="622" spans="1:38" ht="11.25" customHeight="1">
      <c r="A622" s="1030" t="s">
        <v>1019</v>
      </c>
      <c r="E622" s="557"/>
      <c r="F622" s="1340"/>
      <c r="G622" s="1340"/>
      <c r="H622" s="1340"/>
      <c r="I622" s="1340"/>
      <c r="J622" s="1340"/>
      <c r="K622" s="1340"/>
      <c r="L622" s="1340"/>
      <c r="M622" s="1365"/>
      <c r="N622" s="1340"/>
      <c r="O622" s="1340"/>
      <c r="P622" s="1340"/>
      <c r="Q622" s="1340"/>
      <c r="R622" s="1340"/>
      <c r="S622" s="1340"/>
      <c r="T622" s="1340"/>
      <c r="U622" s="1340"/>
      <c r="V622" s="1340"/>
      <c r="W622" s="1340"/>
      <c r="X622" s="1340"/>
      <c r="Y622" s="1340"/>
      <c r="Z622" s="181" t="s">
        <v>103</v>
      </c>
      <c r="AA622" s="780" t="s">
        <v>89</v>
      </c>
      <c r="AB622" s="779" t="s">
        <v>1138</v>
      </c>
      <c r="AC622" s="237">
        <v>95.575810854696599</v>
      </c>
      <c r="AD622" s="779" t="str">
        <f t="shared" si="16"/>
        <v xml:space="preserve">  Прочие собственные средства</v>
      </c>
      <c r="AE622" s="237">
        <f t="shared" si="16"/>
        <v>95.575810854696599</v>
      </c>
      <c r="AF622" s="1351"/>
      <c r="AG622" s="1353"/>
      <c r="AH622" s="1353"/>
      <c r="AI622" s="1351"/>
      <c r="AJ622" s="1353"/>
      <c r="AK622" s="1354"/>
      <c r="AL622" s="772"/>
    </row>
    <row r="623" spans="1:38" ht="11.25" customHeight="1">
      <c r="A623" s="1030" t="s">
        <v>1019</v>
      </c>
      <c r="E623" s="557"/>
      <c r="F623" s="1339"/>
      <c r="G623" s="1340"/>
      <c r="H623" s="1335" t="s">
        <v>1129</v>
      </c>
      <c r="I623" s="1347"/>
      <c r="J623" s="1363"/>
      <c r="K623" s="1349"/>
      <c r="L623" s="1079"/>
      <c r="M623" s="1364"/>
      <c r="N623" s="1355"/>
      <c r="O623" s="1356"/>
      <c r="P623" s="1359"/>
      <c r="Q623" s="1308"/>
      <c r="R623" s="1308"/>
      <c r="S623" s="1361"/>
      <c r="T623" s="1308"/>
      <c r="U623" s="1308"/>
      <c r="V623" s="1308"/>
      <c r="W623" s="1308"/>
      <c r="X623" s="1308"/>
      <c r="Y623" s="1308"/>
      <c r="Z623" s="229"/>
      <c r="AA623" s="230"/>
      <c r="AB623" s="44" t="s">
        <v>1059</v>
      </c>
      <c r="AC623" s="231"/>
      <c r="AD623" s="231"/>
      <c r="AE623" s="246"/>
      <c r="AF623" s="1350"/>
      <c r="AG623" s="1352"/>
      <c r="AH623" s="1352"/>
      <c r="AI623" s="1350"/>
      <c r="AJ623" s="1352"/>
      <c r="AK623" s="1352"/>
      <c r="AL623" s="772"/>
    </row>
    <row r="624" spans="1:38" ht="11.25" customHeight="1">
      <c r="A624" s="1030" t="s">
        <v>1019</v>
      </c>
      <c r="E624" s="557"/>
      <c r="F624" s="1339"/>
      <c r="G624" s="1340"/>
      <c r="H624" s="1335" t="s">
        <v>1129</v>
      </c>
      <c r="I624" s="1347"/>
      <c r="J624" s="1363"/>
      <c r="K624" s="1349"/>
      <c r="L624" s="1079"/>
      <c r="M624" s="1364"/>
      <c r="N624" s="229"/>
      <c r="O624" s="230"/>
      <c r="P624" s="44" t="s">
        <v>1060</v>
      </c>
      <c r="Q624" s="230"/>
      <c r="R624" s="230"/>
      <c r="S624" s="230"/>
      <c r="T624" s="230"/>
      <c r="U624" s="230"/>
      <c r="V624" s="230"/>
      <c r="W624" s="230"/>
      <c r="X624" s="230"/>
      <c r="Y624" s="230"/>
      <c r="Z624" s="230"/>
      <c r="AA624" s="230"/>
      <c r="AB624" s="230"/>
      <c r="AC624" s="230"/>
      <c r="AD624" s="230"/>
      <c r="AE624" s="247"/>
      <c r="AF624" s="1350"/>
      <c r="AG624" s="1352"/>
      <c r="AH624" s="1352"/>
      <c r="AI624" s="1350"/>
      <c r="AJ624" s="1352"/>
      <c r="AK624" s="1352"/>
      <c r="AL624" s="772"/>
    </row>
    <row r="625" spans="1:38" ht="11.25" customHeight="1">
      <c r="A625" s="1030" t="s">
        <v>1019</v>
      </c>
      <c r="B625" s="1030" t="s">
        <v>1051</v>
      </c>
      <c r="E625" s="557"/>
      <c r="F625" s="1339"/>
      <c r="G625" s="1325" t="s">
        <v>103</v>
      </c>
      <c r="H625" s="1335" t="s">
        <v>1132</v>
      </c>
      <c r="I625" s="1347" t="s">
        <v>1052</v>
      </c>
      <c r="J625" s="1363" t="s">
        <v>1053</v>
      </c>
      <c r="K625" s="1349" t="s">
        <v>1130</v>
      </c>
      <c r="L625" s="1079" t="s">
        <v>61</v>
      </c>
      <c r="M625" s="1364" t="s">
        <v>1018</v>
      </c>
      <c r="N625" s="242"/>
      <c r="O625" s="243" t="s">
        <v>384</v>
      </c>
      <c r="P625" s="244"/>
      <c r="Q625" s="244"/>
      <c r="R625" s="244"/>
      <c r="S625" s="244"/>
      <c r="T625" s="244"/>
      <c r="U625" s="244"/>
      <c r="V625" s="244"/>
      <c r="W625" s="244"/>
      <c r="X625" s="244"/>
      <c r="Y625" s="244"/>
      <c r="Z625" s="244"/>
      <c r="AA625" s="244"/>
      <c r="AB625" s="244"/>
      <c r="AC625" s="244"/>
      <c r="AD625" s="244"/>
      <c r="AE625" s="244"/>
      <c r="AF625" s="1350">
        <v>2</v>
      </c>
      <c r="AG625" s="1352" t="s">
        <v>1055</v>
      </c>
      <c r="AH625" s="1352" t="s">
        <v>1107</v>
      </c>
      <c r="AI625" s="1350">
        <v>2</v>
      </c>
      <c r="AJ625" s="1352" t="s">
        <v>1055</v>
      </c>
      <c r="AK625" s="1352" t="s">
        <v>1107</v>
      </c>
      <c r="AL625" s="772"/>
    </row>
    <row r="626" spans="1:38" ht="11.25" customHeight="1">
      <c r="A626" s="1030" t="s">
        <v>1019</v>
      </c>
      <c r="E626" s="557"/>
      <c r="F626" s="1339"/>
      <c r="G626" s="1340"/>
      <c r="H626" s="1335" t="s">
        <v>1131</v>
      </c>
      <c r="I626" s="1347"/>
      <c r="J626" s="1363"/>
      <c r="K626" s="1349"/>
      <c r="L626" s="1079"/>
      <c r="M626" s="1364"/>
      <c r="N626" s="1355"/>
      <c r="O626" s="1356">
        <v>1</v>
      </c>
      <c r="P626" s="1357" t="s">
        <v>19</v>
      </c>
      <c r="Q626" s="1308" t="s">
        <v>22</v>
      </c>
      <c r="R626" s="1308" t="s">
        <v>22</v>
      </c>
      <c r="S626" s="1308" t="s">
        <v>22</v>
      </c>
      <c r="T626" s="1308" t="s">
        <v>22</v>
      </c>
      <c r="U626" s="1308" t="s">
        <v>22</v>
      </c>
      <c r="V626" s="1308" t="s">
        <v>22</v>
      </c>
      <c r="W626" s="1308" t="s">
        <v>22</v>
      </c>
      <c r="X626" s="1308" t="s">
        <v>22</v>
      </c>
      <c r="Y626" s="1308"/>
      <c r="Z626" s="229"/>
      <c r="AA626" s="230"/>
      <c r="AB626" s="230"/>
      <c r="AC626" s="231"/>
      <c r="AD626" s="231"/>
      <c r="AE626" s="245"/>
      <c r="AF626" s="1350"/>
      <c r="AG626" s="1352"/>
      <c r="AH626" s="1352"/>
      <c r="AI626" s="1350"/>
      <c r="AJ626" s="1352"/>
      <c r="AK626" s="1352"/>
      <c r="AL626" s="772"/>
    </row>
    <row r="627" spans="1:38" ht="11.25" customHeight="1">
      <c r="A627" s="1030" t="s">
        <v>1019</v>
      </c>
      <c r="E627" s="557"/>
      <c r="F627" s="1339"/>
      <c r="G627" s="1340"/>
      <c r="H627" s="1335" t="s">
        <v>1131</v>
      </c>
      <c r="I627" s="1347"/>
      <c r="J627" s="1363"/>
      <c r="K627" s="1349"/>
      <c r="L627" s="1079"/>
      <c r="M627" s="1364"/>
      <c r="N627" s="1355"/>
      <c r="O627" s="1356"/>
      <c r="P627" s="1358"/>
      <c r="Q627" s="1308"/>
      <c r="R627" s="1308"/>
      <c r="S627" s="1361"/>
      <c r="T627" s="1308"/>
      <c r="U627" s="1308"/>
      <c r="V627" s="1308"/>
      <c r="W627" s="1308"/>
      <c r="X627" s="1308"/>
      <c r="Y627" s="1308"/>
      <c r="AA627" s="778">
        <v>1</v>
      </c>
      <c r="AB627" s="779" t="s">
        <v>1119</v>
      </c>
      <c r="AC627" s="237">
        <v>16254.9878276337</v>
      </c>
      <c r="AD627" s="779" t="str">
        <f t="shared" ref="AD627:AE629" si="17">AB627</f>
        <v xml:space="preserve">  Прибыль направляемая на инвестиции</v>
      </c>
      <c r="AE627" s="237">
        <f t="shared" si="17"/>
        <v>16254.9878276337</v>
      </c>
      <c r="AF627" s="1350"/>
      <c r="AG627" s="1352"/>
      <c r="AH627" s="1352"/>
      <c r="AI627" s="1350"/>
      <c r="AJ627" s="1352"/>
      <c r="AK627" s="1352"/>
      <c r="AL627" s="772"/>
    </row>
    <row r="628" spans="1:38" ht="11.25" customHeight="1">
      <c r="A628" s="1030" t="s">
        <v>1019</v>
      </c>
      <c r="E628" s="557"/>
      <c r="F628" s="1340"/>
      <c r="G628" s="1340"/>
      <c r="H628" s="1340"/>
      <c r="I628" s="1340"/>
      <c r="J628" s="1340"/>
      <c r="K628" s="1340"/>
      <c r="L628" s="1340"/>
      <c r="M628" s="1365"/>
      <c r="N628" s="1340"/>
      <c r="O628" s="1340"/>
      <c r="P628" s="1340"/>
      <c r="Q628" s="1340"/>
      <c r="R628" s="1340"/>
      <c r="S628" s="1340"/>
      <c r="T628" s="1340"/>
      <c r="U628" s="1340"/>
      <c r="V628" s="1340"/>
      <c r="W628" s="1340"/>
      <c r="X628" s="1340"/>
      <c r="Y628" s="1340"/>
      <c r="Z628" s="181" t="s">
        <v>103</v>
      </c>
      <c r="AA628" s="780" t="s">
        <v>102</v>
      </c>
      <c r="AB628" s="779" t="s">
        <v>1120</v>
      </c>
      <c r="AC628" s="237">
        <v>5785.0135488502401</v>
      </c>
      <c r="AD628" s="779" t="str">
        <f t="shared" si="17"/>
        <v xml:space="preserve">     Прочие амортизационные отчисления</v>
      </c>
      <c r="AE628" s="237">
        <f t="shared" si="17"/>
        <v>5785.0135488502401</v>
      </c>
      <c r="AF628" s="1351"/>
      <c r="AG628" s="1353"/>
      <c r="AH628" s="1353"/>
      <c r="AI628" s="1351"/>
      <c r="AJ628" s="1353"/>
      <c r="AK628" s="1354"/>
      <c r="AL628" s="772"/>
    </row>
    <row r="629" spans="1:38" ht="11.25" customHeight="1">
      <c r="A629" s="1030" t="s">
        <v>1019</v>
      </c>
      <c r="E629" s="557"/>
      <c r="F629" s="1340"/>
      <c r="G629" s="1340"/>
      <c r="H629" s="1340"/>
      <c r="I629" s="1340"/>
      <c r="J629" s="1340"/>
      <c r="K629" s="1340"/>
      <c r="L629" s="1340"/>
      <c r="M629" s="1365"/>
      <c r="N629" s="1340"/>
      <c r="O629" s="1340"/>
      <c r="P629" s="1340"/>
      <c r="Q629" s="1340"/>
      <c r="R629" s="1340"/>
      <c r="S629" s="1340"/>
      <c r="T629" s="1340"/>
      <c r="U629" s="1340"/>
      <c r="V629" s="1340"/>
      <c r="W629" s="1340"/>
      <c r="X629" s="1340"/>
      <c r="Y629" s="1340"/>
      <c r="Z629" s="181" t="s">
        <v>103</v>
      </c>
      <c r="AA629" s="780" t="s">
        <v>89</v>
      </c>
      <c r="AB629" s="779" t="s">
        <v>1138</v>
      </c>
      <c r="AC629" s="237">
        <v>3052.6787735161001</v>
      </c>
      <c r="AD629" s="779" t="str">
        <f t="shared" si="17"/>
        <v xml:space="preserve">  Прочие собственные средства</v>
      </c>
      <c r="AE629" s="237">
        <f t="shared" si="17"/>
        <v>3052.6787735161001</v>
      </c>
      <c r="AF629" s="1351"/>
      <c r="AG629" s="1353"/>
      <c r="AH629" s="1353"/>
      <c r="AI629" s="1351"/>
      <c r="AJ629" s="1353"/>
      <c r="AK629" s="1354"/>
      <c r="AL629" s="772"/>
    </row>
    <row r="630" spans="1:38" ht="11.25" customHeight="1">
      <c r="A630" s="1030" t="s">
        <v>1019</v>
      </c>
      <c r="E630" s="557"/>
      <c r="F630" s="1339"/>
      <c r="G630" s="1340"/>
      <c r="H630" s="1335" t="s">
        <v>1131</v>
      </c>
      <c r="I630" s="1347"/>
      <c r="J630" s="1363"/>
      <c r="K630" s="1349"/>
      <c r="L630" s="1079"/>
      <c r="M630" s="1364"/>
      <c r="N630" s="1355"/>
      <c r="O630" s="1356"/>
      <c r="P630" s="1359"/>
      <c r="Q630" s="1308"/>
      <c r="R630" s="1308"/>
      <c r="S630" s="1361"/>
      <c r="T630" s="1308"/>
      <c r="U630" s="1308"/>
      <c r="V630" s="1308"/>
      <c r="W630" s="1308"/>
      <c r="X630" s="1308"/>
      <c r="Y630" s="1308"/>
      <c r="Z630" s="229"/>
      <c r="AA630" s="230"/>
      <c r="AB630" s="44" t="s">
        <v>1059</v>
      </c>
      <c r="AC630" s="231"/>
      <c r="AD630" s="231"/>
      <c r="AE630" s="246"/>
      <c r="AF630" s="1350"/>
      <c r="AG630" s="1352"/>
      <c r="AH630" s="1352"/>
      <c r="AI630" s="1350"/>
      <c r="AJ630" s="1352"/>
      <c r="AK630" s="1352"/>
      <c r="AL630" s="772"/>
    </row>
    <row r="631" spans="1:38" ht="11.25" customHeight="1">
      <c r="A631" s="1030" t="s">
        <v>1019</v>
      </c>
      <c r="E631" s="557"/>
      <c r="F631" s="1339"/>
      <c r="G631" s="1340"/>
      <c r="H631" s="1335" t="s">
        <v>1131</v>
      </c>
      <c r="I631" s="1347"/>
      <c r="J631" s="1363"/>
      <c r="K631" s="1349"/>
      <c r="L631" s="1079"/>
      <c r="M631" s="1364"/>
      <c r="N631" s="229"/>
      <c r="O631" s="230"/>
      <c r="P631" s="44" t="s">
        <v>1060</v>
      </c>
      <c r="Q631" s="230"/>
      <c r="R631" s="230"/>
      <c r="S631" s="230"/>
      <c r="T631" s="230"/>
      <c r="U631" s="230"/>
      <c r="V631" s="230"/>
      <c r="W631" s="230"/>
      <c r="X631" s="230"/>
      <c r="Y631" s="230"/>
      <c r="Z631" s="230"/>
      <c r="AA631" s="230"/>
      <c r="AB631" s="230"/>
      <c r="AC631" s="230"/>
      <c r="AD631" s="230"/>
      <c r="AE631" s="247"/>
      <c r="AF631" s="1350"/>
      <c r="AG631" s="1352"/>
      <c r="AH631" s="1352"/>
      <c r="AI631" s="1350"/>
      <c r="AJ631" s="1352"/>
      <c r="AK631" s="1352"/>
      <c r="AL631" s="772"/>
    </row>
    <row r="632" spans="1:38" ht="11.25" customHeight="1">
      <c r="A632" s="1030" t="s">
        <v>1019</v>
      </c>
      <c r="B632" s="1030" t="s">
        <v>1051</v>
      </c>
      <c r="E632" s="557"/>
      <c r="F632" s="1339"/>
      <c r="G632" s="1325" t="s">
        <v>103</v>
      </c>
      <c r="H632" s="1335" t="s">
        <v>1134</v>
      </c>
      <c r="I632" s="1347" t="s">
        <v>1052</v>
      </c>
      <c r="J632" s="1363" t="s">
        <v>1053</v>
      </c>
      <c r="K632" s="1349" t="s">
        <v>1141</v>
      </c>
      <c r="L632" s="1079" t="s">
        <v>19</v>
      </c>
      <c r="M632" s="1080"/>
      <c r="N632" s="242"/>
      <c r="O632" s="243" t="s">
        <v>384</v>
      </c>
      <c r="P632" s="244"/>
      <c r="Q632" s="244"/>
      <c r="R632" s="244"/>
      <c r="S632" s="244"/>
      <c r="T632" s="244"/>
      <c r="U632" s="244"/>
      <c r="V632" s="244"/>
      <c r="W632" s="244"/>
      <c r="X632" s="244"/>
      <c r="Y632" s="244"/>
      <c r="Z632" s="244"/>
      <c r="AA632" s="244"/>
      <c r="AB632" s="244"/>
      <c r="AC632" s="244"/>
      <c r="AD632" s="244"/>
      <c r="AE632" s="244"/>
      <c r="AF632" s="1350">
        <v>3</v>
      </c>
      <c r="AG632" s="1352" t="s">
        <v>1055</v>
      </c>
      <c r="AH632" s="1352" t="s">
        <v>1079</v>
      </c>
      <c r="AI632" s="1350">
        <v>3</v>
      </c>
      <c r="AJ632" s="1352" t="s">
        <v>1055</v>
      </c>
      <c r="AK632" s="1352" t="s">
        <v>1079</v>
      </c>
      <c r="AL632" s="772"/>
    </row>
    <row r="633" spans="1:38" ht="11.25" customHeight="1">
      <c r="A633" s="1030" t="s">
        <v>1019</v>
      </c>
      <c r="E633" s="557"/>
      <c r="F633" s="1339"/>
      <c r="G633" s="1340"/>
      <c r="H633" s="1335" t="s">
        <v>1132</v>
      </c>
      <c r="I633" s="1347"/>
      <c r="J633" s="1363"/>
      <c r="K633" s="1349"/>
      <c r="L633" s="1079"/>
      <c r="M633" s="1080"/>
      <c r="N633" s="1355"/>
      <c r="O633" s="1356">
        <v>1</v>
      </c>
      <c r="P633" s="1357" t="s">
        <v>19</v>
      </c>
      <c r="Q633" s="1308" t="s">
        <v>22</v>
      </c>
      <c r="R633" s="1308" t="s">
        <v>22</v>
      </c>
      <c r="S633" s="1308" t="s">
        <v>22</v>
      </c>
      <c r="T633" s="1308" t="s">
        <v>22</v>
      </c>
      <c r="U633" s="1308" t="s">
        <v>22</v>
      </c>
      <c r="V633" s="1308" t="s">
        <v>22</v>
      </c>
      <c r="W633" s="1308" t="s">
        <v>22</v>
      </c>
      <c r="X633" s="1308" t="s">
        <v>22</v>
      </c>
      <c r="Y633" s="1308"/>
      <c r="Z633" s="229"/>
      <c r="AA633" s="230"/>
      <c r="AB633" s="230"/>
      <c r="AC633" s="231"/>
      <c r="AD633" s="231"/>
      <c r="AE633" s="245"/>
      <c r="AF633" s="1350"/>
      <c r="AG633" s="1352"/>
      <c r="AH633" s="1352"/>
      <c r="AI633" s="1350"/>
      <c r="AJ633" s="1352"/>
      <c r="AK633" s="1352"/>
      <c r="AL633" s="772"/>
    </row>
    <row r="634" spans="1:38" ht="11.25" customHeight="1">
      <c r="A634" s="1030" t="s">
        <v>1019</v>
      </c>
      <c r="E634" s="557"/>
      <c r="F634" s="1339"/>
      <c r="G634" s="1340"/>
      <c r="H634" s="1335" t="s">
        <v>1132</v>
      </c>
      <c r="I634" s="1347"/>
      <c r="J634" s="1363"/>
      <c r="K634" s="1349"/>
      <c r="L634" s="1079"/>
      <c r="M634" s="1080"/>
      <c r="N634" s="1355"/>
      <c r="O634" s="1356"/>
      <c r="P634" s="1358"/>
      <c r="Q634" s="1308"/>
      <c r="R634" s="1308"/>
      <c r="S634" s="1361"/>
      <c r="T634" s="1308"/>
      <c r="U634" s="1308"/>
      <c r="V634" s="1308"/>
      <c r="W634" s="1308"/>
      <c r="X634" s="1308"/>
      <c r="Y634" s="1308"/>
      <c r="AA634" s="778">
        <v>1</v>
      </c>
      <c r="AB634" s="779" t="s">
        <v>1142</v>
      </c>
      <c r="AC634" s="237">
        <v>2771.9795199999999</v>
      </c>
      <c r="AD634" s="779" t="str">
        <f>AB634</f>
        <v xml:space="preserve">  Доход от взимания платы за негативное воздействие на работу централизованной системы водоотведения</v>
      </c>
      <c r="AE634" s="237">
        <f>AC634</f>
        <v>2771.9795199999999</v>
      </c>
      <c r="AF634" s="1350"/>
      <c r="AG634" s="1352"/>
      <c r="AH634" s="1352"/>
      <c r="AI634" s="1350"/>
      <c r="AJ634" s="1352"/>
      <c r="AK634" s="1352"/>
      <c r="AL634" s="772"/>
    </row>
    <row r="635" spans="1:38" ht="11.25" customHeight="1">
      <c r="A635" s="1030" t="s">
        <v>1019</v>
      </c>
      <c r="E635" s="557"/>
      <c r="F635" s="1339"/>
      <c r="G635" s="1340"/>
      <c r="H635" s="1335" t="s">
        <v>1132</v>
      </c>
      <c r="I635" s="1347"/>
      <c r="J635" s="1363"/>
      <c r="K635" s="1349"/>
      <c r="L635" s="1079"/>
      <c r="M635" s="1080"/>
      <c r="N635" s="1355"/>
      <c r="O635" s="1356"/>
      <c r="P635" s="1359"/>
      <c r="Q635" s="1308"/>
      <c r="R635" s="1308"/>
      <c r="S635" s="1361"/>
      <c r="T635" s="1308"/>
      <c r="U635" s="1308"/>
      <c r="V635" s="1308"/>
      <c r="W635" s="1308"/>
      <c r="X635" s="1308"/>
      <c r="Y635" s="1308"/>
      <c r="Z635" s="229"/>
      <c r="AA635" s="230"/>
      <c r="AB635" s="44" t="s">
        <v>1059</v>
      </c>
      <c r="AC635" s="231"/>
      <c r="AD635" s="231"/>
      <c r="AE635" s="246"/>
      <c r="AF635" s="1350"/>
      <c r="AG635" s="1352"/>
      <c r="AH635" s="1352"/>
      <c r="AI635" s="1350"/>
      <c r="AJ635" s="1352"/>
      <c r="AK635" s="1352"/>
      <c r="AL635" s="772"/>
    </row>
    <row r="636" spans="1:38" ht="11.25" customHeight="1">
      <c r="A636" s="1030" t="s">
        <v>1019</v>
      </c>
      <c r="E636" s="557"/>
      <c r="F636" s="1339"/>
      <c r="G636" s="1340"/>
      <c r="H636" s="1335" t="s">
        <v>1132</v>
      </c>
      <c r="I636" s="1347"/>
      <c r="J636" s="1363"/>
      <c r="K636" s="1349"/>
      <c r="L636" s="1079"/>
      <c r="M636" s="1080"/>
      <c r="N636" s="229"/>
      <c r="O636" s="230"/>
      <c r="P636" s="44" t="s">
        <v>1060</v>
      </c>
      <c r="Q636" s="230"/>
      <c r="R636" s="230"/>
      <c r="S636" s="230"/>
      <c r="T636" s="230"/>
      <c r="U636" s="230"/>
      <c r="V636" s="230"/>
      <c r="W636" s="230"/>
      <c r="X636" s="230"/>
      <c r="Y636" s="230"/>
      <c r="Z636" s="230"/>
      <c r="AA636" s="230"/>
      <c r="AB636" s="230"/>
      <c r="AC636" s="230"/>
      <c r="AD636" s="230"/>
      <c r="AE636" s="247"/>
      <c r="AF636" s="1350"/>
      <c r="AG636" s="1352"/>
      <c r="AH636" s="1352"/>
      <c r="AI636" s="1350"/>
      <c r="AJ636" s="1352"/>
      <c r="AK636" s="1352"/>
      <c r="AL636" s="772"/>
    </row>
    <row r="637" spans="1:38" ht="11.25" customHeight="1">
      <c r="A637" s="1030" t="s">
        <v>1019</v>
      </c>
      <c r="B637" s="1030" t="s">
        <v>1051</v>
      </c>
      <c r="E637" s="557"/>
      <c r="F637" s="1339"/>
      <c r="G637" s="1325" t="s">
        <v>103</v>
      </c>
      <c r="H637" s="1335" t="s">
        <v>1136</v>
      </c>
      <c r="I637" s="1347" t="s">
        <v>1052</v>
      </c>
      <c r="J637" s="1363" t="s">
        <v>1093</v>
      </c>
      <c r="K637" s="1349" t="s">
        <v>1094</v>
      </c>
      <c r="L637" s="1079" t="s">
        <v>61</v>
      </c>
      <c r="M637" s="1364" t="s">
        <v>1018</v>
      </c>
      <c r="N637" s="242"/>
      <c r="O637" s="243" t="s">
        <v>384</v>
      </c>
      <c r="P637" s="244"/>
      <c r="Q637" s="244"/>
      <c r="R637" s="244"/>
      <c r="S637" s="244"/>
      <c r="T637" s="244"/>
      <c r="U637" s="244"/>
      <c r="V637" s="244"/>
      <c r="W637" s="244"/>
      <c r="X637" s="244"/>
      <c r="Y637" s="244"/>
      <c r="Z637" s="244"/>
      <c r="AA637" s="244"/>
      <c r="AB637" s="244"/>
      <c r="AC637" s="244"/>
      <c r="AD637" s="244"/>
      <c r="AE637" s="244"/>
      <c r="AF637" s="1350">
        <v>9</v>
      </c>
      <c r="AG637" s="1352" t="s">
        <v>1055</v>
      </c>
      <c r="AH637" s="1352" t="s">
        <v>1095</v>
      </c>
      <c r="AI637" s="1350">
        <v>9</v>
      </c>
      <c r="AJ637" s="1352" t="s">
        <v>1055</v>
      </c>
      <c r="AK637" s="1352" t="s">
        <v>1095</v>
      </c>
      <c r="AL637" s="772"/>
    </row>
    <row r="638" spans="1:38" ht="11.25" customHeight="1">
      <c r="A638" s="1030" t="s">
        <v>1019</v>
      </c>
      <c r="E638" s="557"/>
      <c r="F638" s="1339"/>
      <c r="G638" s="1340"/>
      <c r="H638" s="1335" t="s">
        <v>1134</v>
      </c>
      <c r="I638" s="1347"/>
      <c r="J638" s="1363"/>
      <c r="K638" s="1349"/>
      <c r="L638" s="1079"/>
      <c r="M638" s="1364"/>
      <c r="N638" s="1355"/>
      <c r="O638" s="1356">
        <v>1</v>
      </c>
      <c r="P638" s="1357" t="s">
        <v>19</v>
      </c>
      <c r="Q638" s="1308" t="s">
        <v>22</v>
      </c>
      <c r="R638" s="1308" t="s">
        <v>22</v>
      </c>
      <c r="S638" s="1308" t="s">
        <v>22</v>
      </c>
      <c r="T638" s="1308" t="s">
        <v>22</v>
      </c>
      <c r="U638" s="1308" t="s">
        <v>22</v>
      </c>
      <c r="V638" s="1308" t="s">
        <v>22</v>
      </c>
      <c r="W638" s="1308" t="s">
        <v>22</v>
      </c>
      <c r="X638" s="1308" t="s">
        <v>22</v>
      </c>
      <c r="Y638" s="1308"/>
      <c r="Z638" s="229"/>
      <c r="AA638" s="230"/>
      <c r="AB638" s="230"/>
      <c r="AC638" s="231"/>
      <c r="AD638" s="231"/>
      <c r="AE638" s="245"/>
      <c r="AF638" s="1350"/>
      <c r="AG638" s="1352"/>
      <c r="AH638" s="1352"/>
      <c r="AI638" s="1350"/>
      <c r="AJ638" s="1352"/>
      <c r="AK638" s="1352"/>
      <c r="AL638" s="772"/>
    </row>
    <row r="639" spans="1:38" ht="11.25" customHeight="1">
      <c r="A639" s="1030" t="s">
        <v>1019</v>
      </c>
      <c r="E639" s="557"/>
      <c r="F639" s="1339"/>
      <c r="G639" s="1340"/>
      <c r="H639" s="1335" t="s">
        <v>1134</v>
      </c>
      <c r="I639" s="1347"/>
      <c r="J639" s="1363"/>
      <c r="K639" s="1349"/>
      <c r="L639" s="1079"/>
      <c r="M639" s="1364"/>
      <c r="N639" s="1355"/>
      <c r="O639" s="1356"/>
      <c r="P639" s="1358"/>
      <c r="Q639" s="1308"/>
      <c r="R639" s="1308"/>
      <c r="S639" s="1361"/>
      <c r="T639" s="1308"/>
      <c r="U639" s="1308"/>
      <c r="V639" s="1308"/>
      <c r="W639" s="1308"/>
      <c r="X639" s="1308"/>
      <c r="Y639" s="1308"/>
      <c r="AA639" s="778">
        <v>1</v>
      </c>
      <c r="AB639" s="779" t="s">
        <v>1119</v>
      </c>
      <c r="AC639" s="237">
        <v>1289.5823078096601</v>
      </c>
      <c r="AD639" s="779" t="str">
        <f t="shared" ref="AD639:AE641" si="18">AB639</f>
        <v xml:space="preserve">  Прибыль направляемая на инвестиции</v>
      </c>
      <c r="AE639" s="237">
        <f t="shared" si="18"/>
        <v>1289.5823078096601</v>
      </c>
      <c r="AF639" s="1350"/>
      <c r="AG639" s="1352"/>
      <c r="AH639" s="1352"/>
      <c r="AI639" s="1350"/>
      <c r="AJ639" s="1352"/>
      <c r="AK639" s="1352"/>
      <c r="AL639" s="772"/>
    </row>
    <row r="640" spans="1:38" ht="11.25" customHeight="1">
      <c r="A640" s="1030" t="s">
        <v>1019</v>
      </c>
      <c r="E640" s="557"/>
      <c r="F640" s="1340"/>
      <c r="G640" s="1340"/>
      <c r="H640" s="1340"/>
      <c r="I640" s="1340"/>
      <c r="J640" s="1340"/>
      <c r="K640" s="1340"/>
      <c r="L640" s="1340"/>
      <c r="M640" s="1365"/>
      <c r="N640" s="1340"/>
      <c r="O640" s="1340"/>
      <c r="P640" s="1340"/>
      <c r="Q640" s="1340"/>
      <c r="R640" s="1340"/>
      <c r="S640" s="1340"/>
      <c r="T640" s="1340"/>
      <c r="U640" s="1340"/>
      <c r="V640" s="1340"/>
      <c r="W640" s="1340"/>
      <c r="X640" s="1340"/>
      <c r="Y640" s="1340"/>
      <c r="Z640" s="181" t="s">
        <v>103</v>
      </c>
      <c r="AA640" s="780" t="s">
        <v>102</v>
      </c>
      <c r="AB640" s="779" t="s">
        <v>1120</v>
      </c>
      <c r="AC640" s="237">
        <v>458.95150474083499</v>
      </c>
      <c r="AD640" s="779" t="str">
        <f t="shared" si="18"/>
        <v xml:space="preserve">     Прочие амортизационные отчисления</v>
      </c>
      <c r="AE640" s="237">
        <f t="shared" si="18"/>
        <v>458.95150474083499</v>
      </c>
      <c r="AF640" s="1351"/>
      <c r="AG640" s="1353"/>
      <c r="AH640" s="1353"/>
      <c r="AI640" s="1351"/>
      <c r="AJ640" s="1353"/>
      <c r="AK640" s="1354"/>
      <c r="AL640" s="772"/>
    </row>
    <row r="641" spans="1:38" ht="11.25" customHeight="1">
      <c r="A641" s="1030" t="s">
        <v>1019</v>
      </c>
      <c r="E641" s="557"/>
      <c r="F641" s="1340"/>
      <c r="G641" s="1340"/>
      <c r="H641" s="1340"/>
      <c r="I641" s="1340"/>
      <c r="J641" s="1340"/>
      <c r="K641" s="1340"/>
      <c r="L641" s="1340"/>
      <c r="M641" s="1365"/>
      <c r="N641" s="1340"/>
      <c r="O641" s="1340"/>
      <c r="P641" s="1340"/>
      <c r="Q641" s="1340"/>
      <c r="R641" s="1340"/>
      <c r="S641" s="1340"/>
      <c r="T641" s="1340"/>
      <c r="U641" s="1340"/>
      <c r="V641" s="1340"/>
      <c r="W641" s="1340"/>
      <c r="X641" s="1340"/>
      <c r="Y641" s="1340"/>
      <c r="Z641" s="181" t="s">
        <v>103</v>
      </c>
      <c r="AA641" s="780" t="s">
        <v>89</v>
      </c>
      <c r="AB641" s="779" t="s">
        <v>1138</v>
      </c>
      <c r="AC641" s="237">
        <v>242.18292744950801</v>
      </c>
      <c r="AD641" s="779" t="str">
        <f t="shared" si="18"/>
        <v xml:space="preserve">  Прочие собственные средства</v>
      </c>
      <c r="AE641" s="237">
        <f t="shared" si="18"/>
        <v>242.18292744950801</v>
      </c>
      <c r="AF641" s="1351"/>
      <c r="AG641" s="1353"/>
      <c r="AH641" s="1353"/>
      <c r="AI641" s="1351"/>
      <c r="AJ641" s="1353"/>
      <c r="AK641" s="1354"/>
      <c r="AL641" s="772"/>
    </row>
    <row r="642" spans="1:38" ht="11.25" customHeight="1">
      <c r="A642" s="1030" t="s">
        <v>1019</v>
      </c>
      <c r="E642" s="557"/>
      <c r="F642" s="1339"/>
      <c r="G642" s="1340"/>
      <c r="H642" s="1335" t="s">
        <v>1134</v>
      </c>
      <c r="I642" s="1347"/>
      <c r="J642" s="1363"/>
      <c r="K642" s="1349"/>
      <c r="L642" s="1079"/>
      <c r="M642" s="1364"/>
      <c r="N642" s="1355"/>
      <c r="O642" s="1356"/>
      <c r="P642" s="1359"/>
      <c r="Q642" s="1308"/>
      <c r="R642" s="1308"/>
      <c r="S642" s="1361"/>
      <c r="T642" s="1308"/>
      <c r="U642" s="1308"/>
      <c r="V642" s="1308"/>
      <c r="W642" s="1308"/>
      <c r="X642" s="1308"/>
      <c r="Y642" s="1308"/>
      <c r="Z642" s="229"/>
      <c r="AA642" s="230"/>
      <c r="AB642" s="44" t="s">
        <v>1059</v>
      </c>
      <c r="AC642" s="231"/>
      <c r="AD642" s="231"/>
      <c r="AE642" s="246"/>
      <c r="AF642" s="1350"/>
      <c r="AG642" s="1352"/>
      <c r="AH642" s="1352"/>
      <c r="AI642" s="1350"/>
      <c r="AJ642" s="1352"/>
      <c r="AK642" s="1352"/>
      <c r="AL642" s="772"/>
    </row>
    <row r="643" spans="1:38" ht="11.25" customHeight="1">
      <c r="A643" s="1030" t="s">
        <v>1019</v>
      </c>
      <c r="E643" s="557"/>
      <c r="F643" s="1339"/>
      <c r="G643" s="1340"/>
      <c r="H643" s="1335" t="s">
        <v>1134</v>
      </c>
      <c r="I643" s="1347"/>
      <c r="J643" s="1363"/>
      <c r="K643" s="1349"/>
      <c r="L643" s="1079"/>
      <c r="M643" s="1364"/>
      <c r="N643" s="229"/>
      <c r="O643" s="230"/>
      <c r="P643" s="44" t="s">
        <v>1060</v>
      </c>
      <c r="Q643" s="230"/>
      <c r="R643" s="230"/>
      <c r="S643" s="230"/>
      <c r="T643" s="230"/>
      <c r="U643" s="230"/>
      <c r="V643" s="230"/>
      <c r="W643" s="230"/>
      <c r="X643" s="230"/>
      <c r="Y643" s="230"/>
      <c r="Z643" s="230"/>
      <c r="AA643" s="230"/>
      <c r="AB643" s="230"/>
      <c r="AC643" s="230"/>
      <c r="AD643" s="230"/>
      <c r="AE643" s="247"/>
      <c r="AF643" s="1350"/>
      <c r="AG643" s="1352"/>
      <c r="AH643" s="1352"/>
      <c r="AI643" s="1350"/>
      <c r="AJ643" s="1352"/>
      <c r="AK643" s="1352"/>
      <c r="AL643" s="772"/>
    </row>
    <row r="644" spans="1:38" ht="11.25" customHeight="1">
      <c r="A644" s="1030" t="s">
        <v>1019</v>
      </c>
      <c r="B644" s="1030" t="s">
        <v>1086</v>
      </c>
      <c r="E644" s="557"/>
      <c r="F644" s="1339"/>
      <c r="G644" s="1325" t="s">
        <v>103</v>
      </c>
      <c r="H644" s="1335" t="s">
        <v>1143</v>
      </c>
      <c r="I644" s="1347" t="s">
        <v>1087</v>
      </c>
      <c r="J644" s="1363" t="s">
        <v>1116</v>
      </c>
      <c r="K644" s="1349" t="s">
        <v>1117</v>
      </c>
      <c r="L644" s="1079" t="s">
        <v>19</v>
      </c>
      <c r="M644" s="1080"/>
      <c r="N644" s="242"/>
      <c r="O644" s="243" t="s">
        <v>384</v>
      </c>
      <c r="P644" s="244"/>
      <c r="Q644" s="244"/>
      <c r="R644" s="244"/>
      <c r="S644" s="244"/>
      <c r="T644" s="244"/>
      <c r="U644" s="244"/>
      <c r="V644" s="244"/>
      <c r="W644" s="244"/>
      <c r="X644" s="244"/>
      <c r="Y644" s="244"/>
      <c r="Z644" s="244"/>
      <c r="AA644" s="244"/>
      <c r="AB644" s="244"/>
      <c r="AC644" s="244"/>
      <c r="AD644" s="244"/>
      <c r="AE644" s="244"/>
      <c r="AF644" s="1350">
        <v>1</v>
      </c>
      <c r="AG644" s="1352" t="s">
        <v>1055</v>
      </c>
      <c r="AH644" s="1352" t="s">
        <v>1097</v>
      </c>
      <c r="AI644" s="1350">
        <v>1</v>
      </c>
      <c r="AJ644" s="1352" t="s">
        <v>1055</v>
      </c>
      <c r="AK644" s="1352" t="s">
        <v>1097</v>
      </c>
      <c r="AL644" s="772"/>
    </row>
    <row r="645" spans="1:38" ht="11.25" customHeight="1">
      <c r="A645" s="1030" t="s">
        <v>1019</v>
      </c>
      <c r="E645" s="557"/>
      <c r="F645" s="1339"/>
      <c r="G645" s="1340"/>
      <c r="H645" s="1335" t="s">
        <v>1136</v>
      </c>
      <c r="I645" s="1347"/>
      <c r="J645" s="1363"/>
      <c r="K645" s="1349"/>
      <c r="L645" s="1079"/>
      <c r="M645" s="1080"/>
      <c r="N645" s="1355"/>
      <c r="O645" s="1356">
        <v>1</v>
      </c>
      <c r="P645" s="1357" t="s">
        <v>19</v>
      </c>
      <c r="Q645" s="1308" t="s">
        <v>22</v>
      </c>
      <c r="R645" s="1308" t="s">
        <v>22</v>
      </c>
      <c r="S645" s="1308" t="s">
        <v>22</v>
      </c>
      <c r="T645" s="1308" t="s">
        <v>22</v>
      </c>
      <c r="U645" s="1308" t="s">
        <v>22</v>
      </c>
      <c r="V645" s="1308" t="s">
        <v>22</v>
      </c>
      <c r="W645" s="1308" t="s">
        <v>22</v>
      </c>
      <c r="X645" s="1308" t="s">
        <v>22</v>
      </c>
      <c r="Y645" s="1308"/>
      <c r="Z645" s="229"/>
      <c r="AA645" s="230"/>
      <c r="AB645" s="230"/>
      <c r="AC645" s="231"/>
      <c r="AD645" s="231"/>
      <c r="AE645" s="245"/>
      <c r="AF645" s="1350"/>
      <c r="AG645" s="1352"/>
      <c r="AH645" s="1352"/>
      <c r="AI645" s="1350"/>
      <c r="AJ645" s="1352"/>
      <c r="AK645" s="1352"/>
      <c r="AL645" s="772"/>
    </row>
    <row r="646" spans="1:38" ht="11.25" customHeight="1">
      <c r="A646" s="1030" t="s">
        <v>1019</v>
      </c>
      <c r="E646" s="557"/>
      <c r="F646" s="1339"/>
      <c r="G646" s="1340"/>
      <c r="H646" s="1335" t="s">
        <v>1136</v>
      </c>
      <c r="I646" s="1347"/>
      <c r="J646" s="1363"/>
      <c r="K646" s="1349"/>
      <c r="L646" s="1079"/>
      <c r="M646" s="1080"/>
      <c r="N646" s="1355"/>
      <c r="O646" s="1356"/>
      <c r="P646" s="1358"/>
      <c r="Q646" s="1308"/>
      <c r="R646" s="1308"/>
      <c r="S646" s="1361"/>
      <c r="T646" s="1308"/>
      <c r="U646" s="1308"/>
      <c r="V646" s="1308"/>
      <c r="W646" s="1308"/>
      <c r="X646" s="1308"/>
      <c r="Y646" s="1308"/>
      <c r="AA646" s="778">
        <v>1</v>
      </c>
      <c r="AB646" s="779" t="s">
        <v>1118</v>
      </c>
      <c r="AC646" s="237">
        <v>2790.8177000000001</v>
      </c>
      <c r="AD646" s="779" t="str">
        <f>AB646</f>
        <v xml:space="preserve">  Средства, полученные за счет платы за подключение (технологическое присоединение)</v>
      </c>
      <c r="AE646" s="237">
        <f>AC646</f>
        <v>2790.8177000000001</v>
      </c>
      <c r="AF646" s="1350"/>
      <c r="AG646" s="1352"/>
      <c r="AH646" s="1352"/>
      <c r="AI646" s="1350"/>
      <c r="AJ646" s="1352"/>
      <c r="AK646" s="1352"/>
      <c r="AL646" s="772"/>
    </row>
    <row r="647" spans="1:38" ht="11.25" customHeight="1">
      <c r="A647" s="1030" t="s">
        <v>1019</v>
      </c>
      <c r="E647" s="557"/>
      <c r="F647" s="1339"/>
      <c r="G647" s="1340"/>
      <c r="H647" s="1335" t="s">
        <v>1136</v>
      </c>
      <c r="I647" s="1347"/>
      <c r="J647" s="1363"/>
      <c r="K647" s="1349"/>
      <c r="L647" s="1079"/>
      <c r="M647" s="1080"/>
      <c r="N647" s="1355"/>
      <c r="O647" s="1356"/>
      <c r="P647" s="1359"/>
      <c r="Q647" s="1308"/>
      <c r="R647" s="1308"/>
      <c r="S647" s="1361"/>
      <c r="T647" s="1308"/>
      <c r="U647" s="1308"/>
      <c r="V647" s="1308"/>
      <c r="W647" s="1308"/>
      <c r="X647" s="1308"/>
      <c r="Y647" s="1308"/>
      <c r="Z647" s="229"/>
      <c r="AA647" s="230"/>
      <c r="AB647" s="44" t="s">
        <v>1059</v>
      </c>
      <c r="AC647" s="231"/>
      <c r="AD647" s="231"/>
      <c r="AE647" s="246"/>
      <c r="AF647" s="1350"/>
      <c r="AG647" s="1352"/>
      <c r="AH647" s="1352"/>
      <c r="AI647" s="1350"/>
      <c r="AJ647" s="1352"/>
      <c r="AK647" s="1352"/>
      <c r="AL647" s="772"/>
    </row>
    <row r="648" spans="1:38" ht="11.25" customHeight="1">
      <c r="A648" s="1030" t="s">
        <v>1019</v>
      </c>
      <c r="E648" s="557"/>
      <c r="F648" s="1339"/>
      <c r="G648" s="1340"/>
      <c r="H648" s="1335" t="s">
        <v>1136</v>
      </c>
      <c r="I648" s="1347"/>
      <c r="J648" s="1363"/>
      <c r="K648" s="1349"/>
      <c r="L648" s="1079"/>
      <c r="M648" s="1080"/>
      <c r="N648" s="229"/>
      <c r="O648" s="230"/>
      <c r="P648" s="44" t="s">
        <v>1060</v>
      </c>
      <c r="Q648" s="230"/>
      <c r="R648" s="230"/>
      <c r="S648" s="230"/>
      <c r="T648" s="230"/>
      <c r="U648" s="230"/>
      <c r="V648" s="230"/>
      <c r="W648" s="230"/>
      <c r="X648" s="230"/>
      <c r="Y648" s="230"/>
      <c r="Z648" s="230"/>
      <c r="AA648" s="230"/>
      <c r="AB648" s="230"/>
      <c r="AC648" s="230"/>
      <c r="AD648" s="230"/>
      <c r="AE648" s="247"/>
      <c r="AF648" s="1350"/>
      <c r="AG648" s="1352"/>
      <c r="AH648" s="1352"/>
      <c r="AI648" s="1350"/>
      <c r="AJ648" s="1352"/>
      <c r="AK648" s="1352"/>
      <c r="AL648" s="772"/>
    </row>
    <row r="649" spans="1:38" ht="11.25" customHeight="1">
      <c r="A649" s="1030" t="s">
        <v>1019</v>
      </c>
      <c r="B649" s="1030" t="s">
        <v>22</v>
      </c>
      <c r="E649" s="557"/>
      <c r="F649" s="1339"/>
      <c r="G649" s="1325" t="s">
        <v>103</v>
      </c>
      <c r="H649" s="1335" t="s">
        <v>1144</v>
      </c>
      <c r="I649" s="1347" t="s">
        <v>1111</v>
      </c>
      <c r="J649" s="1360" t="s">
        <v>22</v>
      </c>
      <c r="K649" s="1349" t="s">
        <v>1133</v>
      </c>
      <c r="L649" s="1079" t="s">
        <v>19</v>
      </c>
      <c r="M649" s="1080"/>
      <c r="N649" s="242"/>
      <c r="O649" s="243" t="s">
        <v>384</v>
      </c>
      <c r="P649" s="244"/>
      <c r="Q649" s="244"/>
      <c r="R649" s="244"/>
      <c r="S649" s="244"/>
      <c r="T649" s="244"/>
      <c r="U649" s="244"/>
      <c r="V649" s="244"/>
      <c r="W649" s="244"/>
      <c r="X649" s="244"/>
      <c r="Y649" s="244"/>
      <c r="Z649" s="244"/>
      <c r="AA649" s="244"/>
      <c r="AB649" s="244"/>
      <c r="AC649" s="244"/>
      <c r="AD649" s="244"/>
      <c r="AE649" s="244"/>
      <c r="AF649" s="1350">
        <v>3</v>
      </c>
      <c r="AG649" s="1352" t="s">
        <v>1055</v>
      </c>
      <c r="AH649" s="1352" t="s">
        <v>1079</v>
      </c>
      <c r="AI649" s="1350">
        <v>3</v>
      </c>
      <c r="AJ649" s="1352" t="s">
        <v>1055</v>
      </c>
      <c r="AK649" s="1352" t="s">
        <v>1079</v>
      </c>
      <c r="AL649" s="772"/>
    </row>
    <row r="650" spans="1:38" ht="11.25" customHeight="1">
      <c r="A650" s="1030" t="s">
        <v>1019</v>
      </c>
      <c r="E650" s="557"/>
      <c r="F650" s="1339"/>
      <c r="G650" s="1340"/>
      <c r="H650" s="1335" t="s">
        <v>1143</v>
      </c>
      <c r="I650" s="1347"/>
      <c r="J650" s="1360"/>
      <c r="K650" s="1349"/>
      <c r="L650" s="1079"/>
      <c r="M650" s="1080"/>
      <c r="N650" s="1355"/>
      <c r="O650" s="1356">
        <v>1</v>
      </c>
      <c r="P650" s="1357" t="s">
        <v>19</v>
      </c>
      <c r="Q650" s="1308" t="s">
        <v>22</v>
      </c>
      <c r="R650" s="1308" t="s">
        <v>22</v>
      </c>
      <c r="S650" s="1308" t="s">
        <v>22</v>
      </c>
      <c r="T650" s="1308" t="s">
        <v>22</v>
      </c>
      <c r="U650" s="1308" t="s">
        <v>22</v>
      </c>
      <c r="V650" s="1308" t="s">
        <v>22</v>
      </c>
      <c r="W650" s="1308" t="s">
        <v>22</v>
      </c>
      <c r="X650" s="1308" t="s">
        <v>22</v>
      </c>
      <c r="Y650" s="1308"/>
      <c r="Z650" s="229"/>
      <c r="AA650" s="230"/>
      <c r="AB650" s="230"/>
      <c r="AC650" s="231"/>
      <c r="AD650" s="231"/>
      <c r="AE650" s="245"/>
      <c r="AF650" s="1350"/>
      <c r="AG650" s="1352"/>
      <c r="AH650" s="1352"/>
      <c r="AI650" s="1350"/>
      <c r="AJ650" s="1352"/>
      <c r="AK650" s="1352"/>
      <c r="AL650" s="772"/>
    </row>
    <row r="651" spans="1:38" ht="11.25" customHeight="1">
      <c r="A651" s="1030" t="s">
        <v>1019</v>
      </c>
      <c r="E651" s="557"/>
      <c r="F651" s="1339"/>
      <c r="G651" s="1340"/>
      <c r="H651" s="1335" t="s">
        <v>1143</v>
      </c>
      <c r="I651" s="1347"/>
      <c r="J651" s="1360"/>
      <c r="K651" s="1349"/>
      <c r="L651" s="1079"/>
      <c r="M651" s="1080"/>
      <c r="N651" s="1355"/>
      <c r="O651" s="1356"/>
      <c r="P651" s="1358"/>
      <c r="Q651" s="1308"/>
      <c r="R651" s="1308"/>
      <c r="S651" s="1361"/>
      <c r="T651" s="1308"/>
      <c r="U651" s="1308"/>
      <c r="V651" s="1308"/>
      <c r="W651" s="1308"/>
      <c r="X651" s="1308"/>
      <c r="Y651" s="1308"/>
      <c r="AA651" s="778">
        <v>1</v>
      </c>
      <c r="AB651" s="779" t="s">
        <v>1119</v>
      </c>
      <c r="AC651" s="237">
        <v>6650.6989092865997</v>
      </c>
      <c r="AD651" s="779" t="str">
        <f t="shared" ref="AD651:AE653" si="19">AB651</f>
        <v xml:space="preserve">  Прибыль направляемая на инвестиции</v>
      </c>
      <c r="AE651" s="237">
        <f t="shared" si="19"/>
        <v>6650.6989092865997</v>
      </c>
      <c r="AF651" s="1350"/>
      <c r="AG651" s="1352"/>
      <c r="AH651" s="1352"/>
      <c r="AI651" s="1350"/>
      <c r="AJ651" s="1352"/>
      <c r="AK651" s="1352"/>
      <c r="AL651" s="772"/>
    </row>
    <row r="652" spans="1:38" ht="11.25" customHeight="1">
      <c r="A652" s="1030" t="s">
        <v>1019</v>
      </c>
      <c r="E652" s="557"/>
      <c r="F652" s="1340"/>
      <c r="G652" s="1340"/>
      <c r="H652" s="1340"/>
      <c r="I652" s="1340"/>
      <c r="J652" s="1340"/>
      <c r="K652" s="1340"/>
      <c r="L652" s="1340"/>
      <c r="M652" s="1340"/>
      <c r="N652" s="1340"/>
      <c r="O652" s="1340"/>
      <c r="P652" s="1340"/>
      <c r="Q652" s="1340"/>
      <c r="R652" s="1340"/>
      <c r="S652" s="1340"/>
      <c r="T652" s="1340"/>
      <c r="U652" s="1340"/>
      <c r="V652" s="1340"/>
      <c r="W652" s="1340"/>
      <c r="X652" s="1340"/>
      <c r="Y652" s="1340"/>
      <c r="Z652" s="181" t="s">
        <v>103</v>
      </c>
      <c r="AA652" s="780" t="s">
        <v>102</v>
      </c>
      <c r="AB652" s="779" t="s">
        <v>1120</v>
      </c>
      <c r="AC652" s="237">
        <v>2366.9278443961398</v>
      </c>
      <c r="AD652" s="779" t="str">
        <f t="shared" si="19"/>
        <v xml:space="preserve">     Прочие амортизационные отчисления</v>
      </c>
      <c r="AE652" s="237">
        <f t="shared" si="19"/>
        <v>2366.9278443961398</v>
      </c>
      <c r="AF652" s="1351"/>
      <c r="AG652" s="1353"/>
      <c r="AH652" s="1353"/>
      <c r="AI652" s="1351"/>
      <c r="AJ652" s="1353"/>
      <c r="AK652" s="1354"/>
      <c r="AL652" s="772"/>
    </row>
    <row r="653" spans="1:38" ht="11.25" customHeight="1">
      <c r="A653" s="1030" t="s">
        <v>1019</v>
      </c>
      <c r="E653" s="557"/>
      <c r="F653" s="1340"/>
      <c r="G653" s="1340"/>
      <c r="H653" s="1340"/>
      <c r="I653" s="1340"/>
      <c r="J653" s="1340"/>
      <c r="K653" s="1340"/>
      <c r="L653" s="1340"/>
      <c r="M653" s="1340"/>
      <c r="N653" s="1340"/>
      <c r="O653" s="1340"/>
      <c r="P653" s="1340"/>
      <c r="Q653" s="1340"/>
      <c r="R653" s="1340"/>
      <c r="S653" s="1340"/>
      <c r="T653" s="1340"/>
      <c r="U653" s="1340"/>
      <c r="V653" s="1340"/>
      <c r="W653" s="1340"/>
      <c r="X653" s="1340"/>
      <c r="Y653" s="1340"/>
      <c r="Z653" s="181" t="s">
        <v>103</v>
      </c>
      <c r="AA653" s="780" t="s">
        <v>89</v>
      </c>
      <c r="AB653" s="779" t="s">
        <v>1138</v>
      </c>
      <c r="AC653" s="237">
        <v>1248.99800631726</v>
      </c>
      <c r="AD653" s="779" t="str">
        <f t="shared" si="19"/>
        <v xml:space="preserve">  Прочие собственные средства</v>
      </c>
      <c r="AE653" s="237">
        <f t="shared" si="19"/>
        <v>1248.99800631726</v>
      </c>
      <c r="AF653" s="1351"/>
      <c r="AG653" s="1353"/>
      <c r="AH653" s="1353"/>
      <c r="AI653" s="1351"/>
      <c r="AJ653" s="1353"/>
      <c r="AK653" s="1354"/>
      <c r="AL653" s="772"/>
    </row>
    <row r="654" spans="1:38" ht="11.25" customHeight="1">
      <c r="A654" s="1030" t="s">
        <v>1019</v>
      </c>
      <c r="E654" s="557"/>
      <c r="F654" s="1339"/>
      <c r="G654" s="1340"/>
      <c r="H654" s="1335" t="s">
        <v>1143</v>
      </c>
      <c r="I654" s="1347"/>
      <c r="J654" s="1360"/>
      <c r="K654" s="1349"/>
      <c r="L654" s="1079"/>
      <c r="M654" s="1080"/>
      <c r="N654" s="1355"/>
      <c r="O654" s="1356"/>
      <c r="P654" s="1359"/>
      <c r="Q654" s="1308"/>
      <c r="R654" s="1308"/>
      <c r="S654" s="1361"/>
      <c r="T654" s="1308"/>
      <c r="U654" s="1308"/>
      <c r="V654" s="1308"/>
      <c r="W654" s="1308"/>
      <c r="X654" s="1308"/>
      <c r="Y654" s="1308"/>
      <c r="Z654" s="229"/>
      <c r="AA654" s="230"/>
      <c r="AB654" s="44" t="s">
        <v>1059</v>
      </c>
      <c r="AC654" s="231"/>
      <c r="AD654" s="231"/>
      <c r="AE654" s="246"/>
      <c r="AF654" s="1350"/>
      <c r="AG654" s="1352"/>
      <c r="AH654" s="1352"/>
      <c r="AI654" s="1350"/>
      <c r="AJ654" s="1352"/>
      <c r="AK654" s="1352"/>
      <c r="AL654" s="772"/>
    </row>
    <row r="655" spans="1:38" ht="11.25" customHeight="1">
      <c r="A655" s="1030" t="s">
        <v>1019</v>
      </c>
      <c r="E655" s="557"/>
      <c r="F655" s="1339"/>
      <c r="G655" s="1340"/>
      <c r="H655" s="1335" t="s">
        <v>1143</v>
      </c>
      <c r="I655" s="1347"/>
      <c r="J655" s="1360"/>
      <c r="K655" s="1349"/>
      <c r="L655" s="1079"/>
      <c r="M655" s="1080"/>
      <c r="N655" s="229"/>
      <c r="O655" s="230"/>
      <c r="P655" s="44" t="s">
        <v>1060</v>
      </c>
      <c r="Q655" s="230"/>
      <c r="R655" s="230"/>
      <c r="S655" s="230"/>
      <c r="T655" s="230"/>
      <c r="U655" s="230"/>
      <c r="V655" s="230"/>
      <c r="W655" s="230"/>
      <c r="X655" s="230"/>
      <c r="Y655" s="230"/>
      <c r="Z655" s="230"/>
      <c r="AA655" s="230"/>
      <c r="AB655" s="230"/>
      <c r="AC655" s="230"/>
      <c r="AD655" s="230"/>
      <c r="AE655" s="247"/>
      <c r="AF655" s="1350"/>
      <c r="AG655" s="1352"/>
      <c r="AH655" s="1352"/>
      <c r="AI655" s="1350"/>
      <c r="AJ655" s="1352"/>
      <c r="AK655" s="1352"/>
      <c r="AL655" s="772"/>
    </row>
    <row r="656" spans="1:38" ht="11.25" customHeight="1">
      <c r="A656" s="1030" t="s">
        <v>1019</v>
      </c>
      <c r="B656" s="1030" t="s">
        <v>22</v>
      </c>
      <c r="E656" s="557"/>
      <c r="F656" s="1339"/>
      <c r="G656" s="1325" t="s">
        <v>103</v>
      </c>
      <c r="H656" s="1335" t="s">
        <v>1145</v>
      </c>
      <c r="I656" s="1347" t="s">
        <v>1111</v>
      </c>
      <c r="J656" s="1360" t="s">
        <v>22</v>
      </c>
      <c r="K656" s="1349" t="s">
        <v>1135</v>
      </c>
      <c r="L656" s="1079" t="s">
        <v>19</v>
      </c>
      <c r="M656" s="1080"/>
      <c r="N656" s="242"/>
      <c r="O656" s="243" t="s">
        <v>384</v>
      </c>
      <c r="P656" s="244"/>
      <c r="Q656" s="244"/>
      <c r="R656" s="244"/>
      <c r="S656" s="244"/>
      <c r="T656" s="244"/>
      <c r="U656" s="244"/>
      <c r="V656" s="244"/>
      <c r="W656" s="244"/>
      <c r="X656" s="244"/>
      <c r="Y656" s="244"/>
      <c r="Z656" s="244"/>
      <c r="AA656" s="244"/>
      <c r="AB656" s="244"/>
      <c r="AC656" s="244"/>
      <c r="AD656" s="244"/>
      <c r="AE656" s="244"/>
      <c r="AF656" s="1350">
        <v>3</v>
      </c>
      <c r="AG656" s="1352" t="s">
        <v>1055</v>
      </c>
      <c r="AH656" s="1352" t="s">
        <v>1079</v>
      </c>
      <c r="AI656" s="1350">
        <v>3</v>
      </c>
      <c r="AJ656" s="1352" t="s">
        <v>1055</v>
      </c>
      <c r="AK656" s="1352" t="s">
        <v>1079</v>
      </c>
      <c r="AL656" s="772"/>
    </row>
    <row r="657" spans="1:38" ht="11.25" customHeight="1">
      <c r="A657" s="1030" t="s">
        <v>1019</v>
      </c>
      <c r="E657" s="557"/>
      <c r="F657" s="1339"/>
      <c r="G657" s="1340"/>
      <c r="H657" s="1335" t="s">
        <v>1144</v>
      </c>
      <c r="I657" s="1347"/>
      <c r="J657" s="1360"/>
      <c r="K657" s="1349"/>
      <c r="L657" s="1079"/>
      <c r="M657" s="1080"/>
      <c r="N657" s="1355"/>
      <c r="O657" s="1356">
        <v>1</v>
      </c>
      <c r="P657" s="1357" t="s">
        <v>19</v>
      </c>
      <c r="Q657" s="1308" t="s">
        <v>22</v>
      </c>
      <c r="R657" s="1308" t="s">
        <v>22</v>
      </c>
      <c r="S657" s="1308" t="s">
        <v>22</v>
      </c>
      <c r="T657" s="1308" t="s">
        <v>22</v>
      </c>
      <c r="U657" s="1308" t="s">
        <v>22</v>
      </c>
      <c r="V657" s="1308" t="s">
        <v>22</v>
      </c>
      <c r="W657" s="1308" t="s">
        <v>22</v>
      </c>
      <c r="X657" s="1308" t="s">
        <v>22</v>
      </c>
      <c r="Y657" s="1308"/>
      <c r="Z657" s="229"/>
      <c r="AA657" s="230"/>
      <c r="AB657" s="230"/>
      <c r="AC657" s="231"/>
      <c r="AD657" s="231"/>
      <c r="AE657" s="245"/>
      <c r="AF657" s="1350"/>
      <c r="AG657" s="1352"/>
      <c r="AH657" s="1352"/>
      <c r="AI657" s="1350"/>
      <c r="AJ657" s="1352"/>
      <c r="AK657" s="1352"/>
      <c r="AL657" s="772"/>
    </row>
    <row r="658" spans="1:38" ht="11.25" customHeight="1">
      <c r="A658" s="1030" t="s">
        <v>1019</v>
      </c>
      <c r="E658" s="557"/>
      <c r="F658" s="1339"/>
      <c r="G658" s="1340"/>
      <c r="H658" s="1335" t="s">
        <v>1144</v>
      </c>
      <c r="I658" s="1347"/>
      <c r="J658" s="1360"/>
      <c r="K658" s="1349"/>
      <c r="L658" s="1079"/>
      <c r="M658" s="1080"/>
      <c r="N658" s="1355"/>
      <c r="O658" s="1356"/>
      <c r="P658" s="1358"/>
      <c r="Q658" s="1308"/>
      <c r="R658" s="1308"/>
      <c r="S658" s="1361"/>
      <c r="T658" s="1308"/>
      <c r="U658" s="1308"/>
      <c r="V658" s="1308"/>
      <c r="W658" s="1308"/>
      <c r="X658" s="1308"/>
      <c r="Y658" s="1308"/>
      <c r="AA658" s="778">
        <v>1</v>
      </c>
      <c r="AB658" s="779" t="s">
        <v>1119</v>
      </c>
      <c r="AC658" s="237">
        <v>321.81130527004802</v>
      </c>
      <c r="AD658" s="779" t="str">
        <f t="shared" ref="AD658:AE660" si="20">AB658</f>
        <v xml:space="preserve">  Прибыль направляемая на инвестиции</v>
      </c>
      <c r="AE658" s="237">
        <f t="shared" si="20"/>
        <v>321.81130527004802</v>
      </c>
      <c r="AF658" s="1350"/>
      <c r="AG658" s="1352"/>
      <c r="AH658" s="1352"/>
      <c r="AI658" s="1350"/>
      <c r="AJ658" s="1352"/>
      <c r="AK658" s="1352"/>
      <c r="AL658" s="772"/>
    </row>
    <row r="659" spans="1:38" ht="11.25" customHeight="1">
      <c r="A659" s="1030" t="s">
        <v>1019</v>
      </c>
      <c r="E659" s="557"/>
      <c r="F659" s="1340"/>
      <c r="G659" s="1340"/>
      <c r="H659" s="1340"/>
      <c r="I659" s="1340"/>
      <c r="J659" s="1340"/>
      <c r="K659" s="1340"/>
      <c r="L659" s="1340"/>
      <c r="M659" s="1340"/>
      <c r="N659" s="1340"/>
      <c r="O659" s="1340"/>
      <c r="P659" s="1340"/>
      <c r="Q659" s="1340"/>
      <c r="R659" s="1340"/>
      <c r="S659" s="1340"/>
      <c r="T659" s="1340"/>
      <c r="U659" s="1340"/>
      <c r="V659" s="1340"/>
      <c r="W659" s="1340"/>
      <c r="X659" s="1340"/>
      <c r="Y659" s="1340"/>
      <c r="Z659" s="181" t="s">
        <v>103</v>
      </c>
      <c r="AA659" s="780" t="s">
        <v>102</v>
      </c>
      <c r="AB659" s="779" t="s">
        <v>1120</v>
      </c>
      <c r="AC659" s="237">
        <v>114.529938804108</v>
      </c>
      <c r="AD659" s="779" t="str">
        <f t="shared" si="20"/>
        <v xml:space="preserve">     Прочие амортизационные отчисления</v>
      </c>
      <c r="AE659" s="237">
        <f t="shared" si="20"/>
        <v>114.529938804108</v>
      </c>
      <c r="AF659" s="1351"/>
      <c r="AG659" s="1353"/>
      <c r="AH659" s="1353"/>
      <c r="AI659" s="1351"/>
      <c r="AJ659" s="1353"/>
      <c r="AK659" s="1354"/>
      <c r="AL659" s="772"/>
    </row>
    <row r="660" spans="1:38" ht="11.25" customHeight="1">
      <c r="A660" s="1030" t="s">
        <v>1019</v>
      </c>
      <c r="E660" s="557"/>
      <c r="F660" s="1340"/>
      <c r="G660" s="1340"/>
      <c r="H660" s="1340"/>
      <c r="I660" s="1340"/>
      <c r="J660" s="1340"/>
      <c r="K660" s="1340"/>
      <c r="L660" s="1340"/>
      <c r="M660" s="1340"/>
      <c r="N660" s="1340"/>
      <c r="O660" s="1340"/>
      <c r="P660" s="1340"/>
      <c r="Q660" s="1340"/>
      <c r="R660" s="1340"/>
      <c r="S660" s="1340"/>
      <c r="T660" s="1340"/>
      <c r="U660" s="1340"/>
      <c r="V660" s="1340"/>
      <c r="W660" s="1340"/>
      <c r="X660" s="1340"/>
      <c r="Y660" s="1340"/>
      <c r="Z660" s="181" t="s">
        <v>103</v>
      </c>
      <c r="AA660" s="780" t="s">
        <v>89</v>
      </c>
      <c r="AB660" s="779" t="s">
        <v>1138</v>
      </c>
      <c r="AC660" s="237">
        <v>60.436005925843602</v>
      </c>
      <c r="AD660" s="779" t="str">
        <f t="shared" si="20"/>
        <v xml:space="preserve">  Прочие собственные средства</v>
      </c>
      <c r="AE660" s="237">
        <f t="shared" si="20"/>
        <v>60.436005925843602</v>
      </c>
      <c r="AF660" s="1351"/>
      <c r="AG660" s="1353"/>
      <c r="AH660" s="1353"/>
      <c r="AI660" s="1351"/>
      <c r="AJ660" s="1353"/>
      <c r="AK660" s="1354"/>
      <c r="AL660" s="772"/>
    </row>
    <row r="661" spans="1:38" ht="11.25" customHeight="1">
      <c r="A661" s="1030" t="s">
        <v>1019</v>
      </c>
      <c r="E661" s="557"/>
      <c r="F661" s="1339"/>
      <c r="G661" s="1340"/>
      <c r="H661" s="1335" t="s">
        <v>1144</v>
      </c>
      <c r="I661" s="1347"/>
      <c r="J661" s="1360"/>
      <c r="K661" s="1349"/>
      <c r="L661" s="1079"/>
      <c r="M661" s="1080"/>
      <c r="N661" s="1355"/>
      <c r="O661" s="1356"/>
      <c r="P661" s="1359"/>
      <c r="Q661" s="1308"/>
      <c r="R661" s="1308"/>
      <c r="S661" s="1361"/>
      <c r="T661" s="1308"/>
      <c r="U661" s="1308"/>
      <c r="V661" s="1308"/>
      <c r="W661" s="1308"/>
      <c r="X661" s="1308"/>
      <c r="Y661" s="1308"/>
      <c r="Z661" s="229"/>
      <c r="AA661" s="230"/>
      <c r="AB661" s="44" t="s">
        <v>1059</v>
      </c>
      <c r="AC661" s="231"/>
      <c r="AD661" s="231"/>
      <c r="AE661" s="246"/>
      <c r="AF661" s="1350"/>
      <c r="AG661" s="1352"/>
      <c r="AH661" s="1352"/>
      <c r="AI661" s="1350"/>
      <c r="AJ661" s="1352"/>
      <c r="AK661" s="1352"/>
      <c r="AL661" s="772"/>
    </row>
    <row r="662" spans="1:38" ht="11.25" customHeight="1">
      <c r="A662" s="1030" t="s">
        <v>1019</v>
      </c>
      <c r="E662" s="557"/>
      <c r="F662" s="1339"/>
      <c r="G662" s="1340"/>
      <c r="H662" s="1335" t="s">
        <v>1144</v>
      </c>
      <c r="I662" s="1347"/>
      <c r="J662" s="1360"/>
      <c r="K662" s="1349"/>
      <c r="L662" s="1079"/>
      <c r="M662" s="1080"/>
      <c r="N662" s="229"/>
      <c r="O662" s="230"/>
      <c r="P662" s="44" t="s">
        <v>1060</v>
      </c>
      <c r="Q662" s="230"/>
      <c r="R662" s="230"/>
      <c r="S662" s="230"/>
      <c r="T662" s="230"/>
      <c r="U662" s="230"/>
      <c r="V662" s="230"/>
      <c r="W662" s="230"/>
      <c r="X662" s="230"/>
      <c r="Y662" s="230"/>
      <c r="Z662" s="230"/>
      <c r="AA662" s="230"/>
      <c r="AB662" s="230"/>
      <c r="AC662" s="230"/>
      <c r="AD662" s="230"/>
      <c r="AE662" s="247"/>
      <c r="AF662" s="1350"/>
      <c r="AG662" s="1352"/>
      <c r="AH662" s="1352"/>
      <c r="AI662" s="1350"/>
      <c r="AJ662" s="1352"/>
      <c r="AK662" s="1352"/>
      <c r="AL662" s="772"/>
    </row>
    <row r="663" spans="1:38" ht="11.25" customHeight="1">
      <c r="A663" s="1030" t="s">
        <v>1019</v>
      </c>
      <c r="B663" s="1030" t="s">
        <v>22</v>
      </c>
      <c r="E663" s="557"/>
      <c r="F663" s="1339"/>
      <c r="G663" s="1325" t="s">
        <v>103</v>
      </c>
      <c r="H663" s="1335" t="s">
        <v>105</v>
      </c>
      <c r="I663" s="1347" t="s">
        <v>1111</v>
      </c>
      <c r="J663" s="1360" t="s">
        <v>22</v>
      </c>
      <c r="K663" s="1349" t="s">
        <v>1137</v>
      </c>
      <c r="L663" s="1079" t="s">
        <v>19</v>
      </c>
      <c r="M663" s="1080"/>
      <c r="N663" s="242"/>
      <c r="O663" s="243" t="s">
        <v>384</v>
      </c>
      <c r="P663" s="244"/>
      <c r="Q663" s="244"/>
      <c r="R663" s="244"/>
      <c r="S663" s="244"/>
      <c r="T663" s="244"/>
      <c r="U663" s="244"/>
      <c r="V663" s="244"/>
      <c r="W663" s="244"/>
      <c r="X663" s="244"/>
      <c r="Y663" s="244"/>
      <c r="Z663" s="244"/>
      <c r="AA663" s="244"/>
      <c r="AB663" s="244"/>
      <c r="AC663" s="244"/>
      <c r="AD663" s="244"/>
      <c r="AE663" s="244"/>
      <c r="AF663" s="1350">
        <v>3</v>
      </c>
      <c r="AG663" s="1352" t="s">
        <v>1055</v>
      </c>
      <c r="AH663" s="1352" t="s">
        <v>1079</v>
      </c>
      <c r="AI663" s="1350">
        <v>3</v>
      </c>
      <c r="AJ663" s="1352" t="s">
        <v>1055</v>
      </c>
      <c r="AK663" s="1352" t="s">
        <v>1079</v>
      </c>
      <c r="AL663" s="772"/>
    </row>
    <row r="664" spans="1:38" ht="11.25" customHeight="1">
      <c r="A664" s="1030" t="s">
        <v>1019</v>
      </c>
      <c r="E664" s="557"/>
      <c r="F664" s="1339"/>
      <c r="G664" s="1340"/>
      <c r="H664" s="1335" t="s">
        <v>1145</v>
      </c>
      <c r="I664" s="1347"/>
      <c r="J664" s="1360"/>
      <c r="K664" s="1349"/>
      <c r="L664" s="1079"/>
      <c r="M664" s="1080"/>
      <c r="N664" s="1355"/>
      <c r="O664" s="1356">
        <v>1</v>
      </c>
      <c r="P664" s="1357" t="s">
        <v>19</v>
      </c>
      <c r="Q664" s="1308" t="s">
        <v>22</v>
      </c>
      <c r="R664" s="1308" t="s">
        <v>22</v>
      </c>
      <c r="S664" s="1308" t="s">
        <v>22</v>
      </c>
      <c r="T664" s="1308" t="s">
        <v>22</v>
      </c>
      <c r="U664" s="1308" t="s">
        <v>22</v>
      </c>
      <c r="V664" s="1308" t="s">
        <v>22</v>
      </c>
      <c r="W664" s="1308" t="s">
        <v>22</v>
      </c>
      <c r="X664" s="1308" t="s">
        <v>22</v>
      </c>
      <c r="Y664" s="1308"/>
      <c r="Z664" s="229"/>
      <c r="AA664" s="230"/>
      <c r="AB664" s="230"/>
      <c r="AC664" s="231"/>
      <c r="AD664" s="231"/>
      <c r="AE664" s="245"/>
      <c r="AF664" s="1350"/>
      <c r="AG664" s="1352"/>
      <c r="AH664" s="1352"/>
      <c r="AI664" s="1350"/>
      <c r="AJ664" s="1352"/>
      <c r="AK664" s="1352"/>
      <c r="AL664" s="772"/>
    </row>
    <row r="665" spans="1:38" ht="11.25" customHeight="1">
      <c r="A665" s="1030" t="s">
        <v>1019</v>
      </c>
      <c r="E665" s="557"/>
      <c r="F665" s="1339"/>
      <c r="G665" s="1340"/>
      <c r="H665" s="1335" t="s">
        <v>1145</v>
      </c>
      <c r="I665" s="1347"/>
      <c r="J665" s="1360"/>
      <c r="K665" s="1349"/>
      <c r="L665" s="1079"/>
      <c r="M665" s="1080"/>
      <c r="N665" s="1355"/>
      <c r="O665" s="1356"/>
      <c r="P665" s="1358"/>
      <c r="Q665" s="1308"/>
      <c r="R665" s="1308"/>
      <c r="S665" s="1361"/>
      <c r="T665" s="1308"/>
      <c r="U665" s="1308"/>
      <c r="V665" s="1308"/>
      <c r="W665" s="1308"/>
      <c r="X665" s="1308"/>
      <c r="Y665" s="1308"/>
      <c r="AA665" s="778">
        <v>1</v>
      </c>
      <c r="AB665" s="779" t="s">
        <v>1119</v>
      </c>
      <c r="AC665" s="237">
        <v>414.65565694923498</v>
      </c>
      <c r="AD665" s="779" t="str">
        <f t="shared" ref="AD665:AE667" si="21">AB665</f>
        <v xml:space="preserve">  Прибыль направляемая на инвестиции</v>
      </c>
      <c r="AE665" s="237">
        <f t="shared" si="21"/>
        <v>414.65565694923498</v>
      </c>
      <c r="AF665" s="1350"/>
      <c r="AG665" s="1352"/>
      <c r="AH665" s="1352"/>
      <c r="AI665" s="1350"/>
      <c r="AJ665" s="1352"/>
      <c r="AK665" s="1352"/>
      <c r="AL665" s="772"/>
    </row>
    <row r="666" spans="1:38" ht="11.25" customHeight="1">
      <c r="A666" s="1030" t="s">
        <v>1019</v>
      </c>
      <c r="E666" s="557"/>
      <c r="F666" s="1340"/>
      <c r="G666" s="1340"/>
      <c r="H666" s="1340"/>
      <c r="I666" s="1340"/>
      <c r="J666" s="1340"/>
      <c r="K666" s="1340"/>
      <c r="L666" s="1340"/>
      <c r="M666" s="1340"/>
      <c r="N666" s="1340"/>
      <c r="O666" s="1340"/>
      <c r="P666" s="1340"/>
      <c r="Q666" s="1340"/>
      <c r="R666" s="1340"/>
      <c r="S666" s="1340"/>
      <c r="T666" s="1340"/>
      <c r="U666" s="1340"/>
      <c r="V666" s="1340"/>
      <c r="W666" s="1340"/>
      <c r="X666" s="1340"/>
      <c r="Y666" s="1340"/>
      <c r="Z666" s="181" t="s">
        <v>103</v>
      </c>
      <c r="AA666" s="780" t="s">
        <v>102</v>
      </c>
      <c r="AB666" s="779" t="s">
        <v>1120</v>
      </c>
      <c r="AC666" s="237">
        <v>147.57246323376199</v>
      </c>
      <c r="AD666" s="779" t="str">
        <f t="shared" si="21"/>
        <v xml:space="preserve">     Прочие амортизационные отчисления</v>
      </c>
      <c r="AE666" s="237">
        <f t="shared" si="21"/>
        <v>147.57246323376199</v>
      </c>
      <c r="AF666" s="1351"/>
      <c r="AG666" s="1353"/>
      <c r="AH666" s="1353"/>
      <c r="AI666" s="1351"/>
      <c r="AJ666" s="1353"/>
      <c r="AK666" s="1354"/>
      <c r="AL666" s="772"/>
    </row>
    <row r="667" spans="1:38" ht="11.25" customHeight="1">
      <c r="A667" s="1030" t="s">
        <v>1019</v>
      </c>
      <c r="E667" s="557"/>
      <c r="F667" s="1340"/>
      <c r="G667" s="1340"/>
      <c r="H667" s="1340"/>
      <c r="I667" s="1340"/>
      <c r="J667" s="1340"/>
      <c r="K667" s="1340"/>
      <c r="L667" s="1340"/>
      <c r="M667" s="1340"/>
      <c r="N667" s="1340"/>
      <c r="O667" s="1340"/>
      <c r="P667" s="1340"/>
      <c r="Q667" s="1340"/>
      <c r="R667" s="1340"/>
      <c r="S667" s="1340"/>
      <c r="T667" s="1340"/>
      <c r="U667" s="1340"/>
      <c r="V667" s="1340"/>
      <c r="W667" s="1340"/>
      <c r="X667" s="1340"/>
      <c r="Y667" s="1340"/>
      <c r="Z667" s="181" t="s">
        <v>103</v>
      </c>
      <c r="AA667" s="780" t="s">
        <v>89</v>
      </c>
      <c r="AB667" s="779" t="s">
        <v>1138</v>
      </c>
      <c r="AC667" s="237">
        <v>77.872129817003497</v>
      </c>
      <c r="AD667" s="779" t="str">
        <f t="shared" si="21"/>
        <v xml:space="preserve">  Прочие собственные средства</v>
      </c>
      <c r="AE667" s="237">
        <f t="shared" si="21"/>
        <v>77.872129817003497</v>
      </c>
      <c r="AF667" s="1351"/>
      <c r="AG667" s="1353"/>
      <c r="AH667" s="1353"/>
      <c r="AI667" s="1351"/>
      <c r="AJ667" s="1353"/>
      <c r="AK667" s="1354"/>
      <c r="AL667" s="772"/>
    </row>
    <row r="668" spans="1:38" ht="11.25" customHeight="1">
      <c r="A668" s="1030" t="s">
        <v>1019</v>
      </c>
      <c r="E668" s="557"/>
      <c r="F668" s="1339"/>
      <c r="G668" s="1340"/>
      <c r="H668" s="1335" t="s">
        <v>1145</v>
      </c>
      <c r="I668" s="1347"/>
      <c r="J668" s="1360"/>
      <c r="K668" s="1349"/>
      <c r="L668" s="1079"/>
      <c r="M668" s="1080"/>
      <c r="N668" s="1355"/>
      <c r="O668" s="1356"/>
      <c r="P668" s="1359"/>
      <c r="Q668" s="1308"/>
      <c r="R668" s="1308"/>
      <c r="S668" s="1361"/>
      <c r="T668" s="1308"/>
      <c r="U668" s="1308"/>
      <c r="V668" s="1308"/>
      <c r="W668" s="1308"/>
      <c r="X668" s="1308"/>
      <c r="Y668" s="1308"/>
      <c r="Z668" s="229"/>
      <c r="AA668" s="230"/>
      <c r="AB668" s="44" t="s">
        <v>1059</v>
      </c>
      <c r="AC668" s="231"/>
      <c r="AD668" s="231"/>
      <c r="AE668" s="246"/>
      <c r="AF668" s="1350"/>
      <c r="AG668" s="1352"/>
      <c r="AH668" s="1352"/>
      <c r="AI668" s="1350"/>
      <c r="AJ668" s="1352"/>
      <c r="AK668" s="1352"/>
      <c r="AL668" s="772"/>
    </row>
    <row r="669" spans="1:38" ht="11.25" customHeight="1">
      <c r="A669" s="1030" t="s">
        <v>1019</v>
      </c>
      <c r="E669" s="557"/>
      <c r="F669" s="1339"/>
      <c r="G669" s="1340"/>
      <c r="H669" s="1335" t="s">
        <v>1145</v>
      </c>
      <c r="I669" s="1347"/>
      <c r="J669" s="1360"/>
      <c r="K669" s="1349"/>
      <c r="L669" s="1079"/>
      <c r="M669" s="1080"/>
      <c r="N669" s="229"/>
      <c r="O669" s="230"/>
      <c r="P669" s="44" t="s">
        <v>1060</v>
      </c>
      <c r="Q669" s="230"/>
      <c r="R669" s="230"/>
      <c r="S669" s="230"/>
      <c r="T669" s="230"/>
      <c r="U669" s="230"/>
      <c r="V669" s="230"/>
      <c r="W669" s="230"/>
      <c r="X669" s="230"/>
      <c r="Y669" s="230"/>
      <c r="Z669" s="230"/>
      <c r="AA669" s="230"/>
      <c r="AB669" s="230"/>
      <c r="AC669" s="230"/>
      <c r="AD669" s="230"/>
      <c r="AE669" s="247"/>
      <c r="AF669" s="1350"/>
      <c r="AG669" s="1352"/>
      <c r="AH669" s="1352"/>
      <c r="AI669" s="1350"/>
      <c r="AJ669" s="1352"/>
      <c r="AK669" s="1352"/>
      <c r="AL669" s="772"/>
    </row>
    <row r="670" spans="1:38" ht="12" customHeight="1">
      <c r="A670" s="1030" t="s">
        <v>1019</v>
      </c>
      <c r="E670" s="557"/>
      <c r="F670" s="1341"/>
      <c r="G670" s="775"/>
      <c r="H670" s="775"/>
      <c r="I670" s="1337" t="s">
        <v>1070</v>
      </c>
      <c r="J670" s="1337"/>
      <c r="K670" s="1337"/>
      <c r="L670" s="776"/>
      <c r="M670" s="776"/>
      <c r="N670" s="777"/>
      <c r="O670" s="777"/>
      <c r="P670" s="777"/>
      <c r="Q670" s="777"/>
      <c r="R670" s="777"/>
      <c r="S670" s="777"/>
      <c r="T670" s="777"/>
      <c r="U670" s="777"/>
      <c r="V670" s="777"/>
      <c r="W670" s="777"/>
      <c r="X670" s="777"/>
      <c r="Y670" s="777"/>
      <c r="Z670" s="777"/>
      <c r="AA670" s="777"/>
      <c r="AB670" s="777"/>
      <c r="AC670" s="777"/>
      <c r="AD670" s="777"/>
      <c r="AE670" s="777"/>
      <c r="AF670" s="777"/>
      <c r="AG670" s="776"/>
      <c r="AH670" s="776"/>
      <c r="AI670" s="777"/>
      <c r="AJ670" s="776"/>
      <c r="AK670" s="777"/>
      <c r="AL670" s="772"/>
    </row>
    <row r="671" spans="1:38" ht="0.75" customHeight="1">
      <c r="A671" s="1030" t="s">
        <v>1019</v>
      </c>
      <c r="E671" s="557"/>
      <c r="F671" s="1338">
        <v>2023</v>
      </c>
      <c r="G671" s="1335"/>
      <c r="H671" s="1343" t="s">
        <v>384</v>
      </c>
      <c r="I671" s="1344"/>
      <c r="J671" s="1334"/>
      <c r="K671" s="1334"/>
      <c r="L671" s="1336"/>
      <c r="M671" s="1190"/>
      <c r="N671" s="214"/>
      <c r="O671" s="215"/>
      <c r="P671" s="214"/>
      <c r="Q671" s="214"/>
      <c r="R671" s="214"/>
      <c r="S671" s="214"/>
      <c r="T671" s="214"/>
      <c r="U671" s="214"/>
      <c r="V671" s="214"/>
      <c r="W671" s="214"/>
      <c r="X671" s="214"/>
      <c r="Y671" s="214"/>
      <c r="Z671" s="214"/>
      <c r="AA671" s="214"/>
      <c r="AB671" s="214"/>
      <c r="AC671" s="214"/>
      <c r="AD671" s="214"/>
      <c r="AE671" s="214"/>
      <c r="AF671" s="1342"/>
      <c r="AG671" s="1336"/>
      <c r="AH671" s="1336"/>
      <c r="AI671" s="1342"/>
      <c r="AJ671" s="1336"/>
      <c r="AK671" s="1336"/>
      <c r="AL671" s="772"/>
    </row>
    <row r="672" spans="1:38" ht="0.75" customHeight="1">
      <c r="A672" s="1030" t="s">
        <v>1019</v>
      </c>
      <c r="E672" s="557"/>
      <c r="F672" s="1338"/>
      <c r="G672" s="1335"/>
      <c r="H672" s="1343"/>
      <c r="I672" s="1344"/>
      <c r="J672" s="1334"/>
      <c r="K672" s="1334"/>
      <c r="L672" s="1336"/>
      <c r="M672" s="1190"/>
      <c r="N672" s="1345"/>
      <c r="O672" s="1346"/>
      <c r="P672" s="1331"/>
      <c r="Q672" s="1334"/>
      <c r="R672" s="1334"/>
      <c r="S672" s="1334"/>
      <c r="T672" s="1334"/>
      <c r="U672" s="1334"/>
      <c r="V672" s="1334"/>
      <c r="W672" s="1334"/>
      <c r="X672" s="1334"/>
      <c r="Y672" s="1334"/>
      <c r="Z672" s="216"/>
      <c r="AA672" s="217"/>
      <c r="AB672" s="217"/>
      <c r="AC672" s="218"/>
      <c r="AD672" s="218"/>
      <c r="AE672" s="219"/>
      <c r="AF672" s="1342"/>
      <c r="AG672" s="1336"/>
      <c r="AH672" s="1336"/>
      <c r="AI672" s="1342"/>
      <c r="AJ672" s="1336"/>
      <c r="AK672" s="1336"/>
      <c r="AL672" s="772"/>
    </row>
    <row r="673" spans="1:38" ht="0.75" customHeight="1">
      <c r="A673" s="1030" t="s">
        <v>1019</v>
      </c>
      <c r="E673" s="557"/>
      <c r="F673" s="1338"/>
      <c r="G673" s="1335"/>
      <c r="H673" s="1343"/>
      <c r="I673" s="1344"/>
      <c r="J673" s="1334"/>
      <c r="K673" s="1334"/>
      <c r="L673" s="1336"/>
      <c r="M673" s="1190"/>
      <c r="N673" s="1345"/>
      <c r="O673" s="1346"/>
      <c r="P673" s="1332"/>
      <c r="Q673" s="1334"/>
      <c r="R673" s="1334"/>
      <c r="S673" s="1334"/>
      <c r="T673" s="1334"/>
      <c r="U673" s="1334"/>
      <c r="V673" s="1334"/>
      <c r="W673" s="1334"/>
      <c r="X673" s="1334"/>
      <c r="Y673" s="1334"/>
      <c r="AA673" s="773"/>
      <c r="AB673" s="774"/>
      <c r="AC673" s="220"/>
      <c r="AD673" s="774"/>
      <c r="AE673" s="220"/>
      <c r="AF673" s="1342"/>
      <c r="AG673" s="1336"/>
      <c r="AH673" s="1336"/>
      <c r="AI673" s="1342"/>
      <c r="AJ673" s="1336"/>
      <c r="AK673" s="1336"/>
      <c r="AL673" s="772"/>
    </row>
    <row r="674" spans="1:38" ht="0.75" customHeight="1">
      <c r="A674" s="1030" t="s">
        <v>1019</v>
      </c>
      <c r="E674" s="557"/>
      <c r="F674" s="1338"/>
      <c r="G674" s="1335"/>
      <c r="H674" s="1343"/>
      <c r="I674" s="1344"/>
      <c r="J674" s="1334"/>
      <c r="K674" s="1334"/>
      <c r="L674" s="1336"/>
      <c r="M674" s="1190"/>
      <c r="N674" s="1345"/>
      <c r="O674" s="1346"/>
      <c r="P674" s="1333"/>
      <c r="Q674" s="1334"/>
      <c r="R674" s="1334"/>
      <c r="S674" s="1334"/>
      <c r="T674" s="1334"/>
      <c r="U674" s="1334"/>
      <c r="V674" s="1334"/>
      <c r="W674" s="1334"/>
      <c r="X674" s="1334"/>
      <c r="Y674" s="1334"/>
      <c r="Z674" s="216"/>
      <c r="AA674" s="217"/>
      <c r="AB674" s="221"/>
      <c r="AC674" s="218"/>
      <c r="AD674" s="218"/>
      <c r="AE674" s="222"/>
      <c r="AF674" s="1342"/>
      <c r="AG674" s="1336"/>
      <c r="AH674" s="1336"/>
      <c r="AI674" s="1342"/>
      <c r="AJ674" s="1336"/>
      <c r="AK674" s="1336"/>
      <c r="AL674" s="772"/>
    </row>
    <row r="675" spans="1:38" ht="0.75" customHeight="1">
      <c r="A675" s="1030" t="s">
        <v>1019</v>
      </c>
      <c r="E675" s="557"/>
      <c r="F675" s="1338"/>
      <c r="G675" s="1335"/>
      <c r="H675" s="1343"/>
      <c r="I675" s="1344"/>
      <c r="J675" s="1334"/>
      <c r="K675" s="1334"/>
      <c r="L675" s="1336"/>
      <c r="M675" s="1190"/>
      <c r="N675" s="217"/>
      <c r="O675" s="217"/>
      <c r="P675" s="221"/>
      <c r="Q675" s="217"/>
      <c r="R675" s="217"/>
      <c r="S675" s="217"/>
      <c r="T675" s="217"/>
      <c r="U675" s="217"/>
      <c r="V675" s="217"/>
      <c r="W675" s="217"/>
      <c r="X675" s="217"/>
      <c r="Y675" s="217"/>
      <c r="Z675" s="217"/>
      <c r="AA675" s="217"/>
      <c r="AB675" s="217"/>
      <c r="AC675" s="217"/>
      <c r="AD675" s="217"/>
      <c r="AE675" s="223"/>
      <c r="AF675" s="1342"/>
      <c r="AG675" s="1336"/>
      <c r="AH675" s="1336"/>
      <c r="AI675" s="1342"/>
      <c r="AJ675" s="1336"/>
      <c r="AK675" s="1336"/>
      <c r="AL675" s="772"/>
    </row>
    <row r="676" spans="1:38" ht="11.25" customHeight="1">
      <c r="A676" s="1030" t="s">
        <v>1019</v>
      </c>
      <c r="B676" s="1030" t="s">
        <v>22</v>
      </c>
      <c r="E676" s="557"/>
      <c r="F676" s="1339"/>
      <c r="G676" s="1325" t="s">
        <v>103</v>
      </c>
      <c r="H676" s="1335" t="s">
        <v>114</v>
      </c>
      <c r="I676" s="1347" t="s">
        <v>1071</v>
      </c>
      <c r="J676" s="1360" t="s">
        <v>22</v>
      </c>
      <c r="K676" s="1349" t="s">
        <v>1104</v>
      </c>
      <c r="L676" s="1079" t="s">
        <v>61</v>
      </c>
      <c r="M676" s="1364" t="s">
        <v>1018</v>
      </c>
      <c r="N676" s="242"/>
      <c r="O676" s="243" t="s">
        <v>384</v>
      </c>
      <c r="P676" s="244"/>
      <c r="Q676" s="244"/>
      <c r="R676" s="244"/>
      <c r="S676" s="244"/>
      <c r="T676" s="244"/>
      <c r="U676" s="244"/>
      <c r="V676" s="244"/>
      <c r="W676" s="244"/>
      <c r="X676" s="244"/>
      <c r="Y676" s="244"/>
      <c r="Z676" s="244"/>
      <c r="AA676" s="244"/>
      <c r="AB676" s="244"/>
      <c r="AC676" s="244"/>
      <c r="AD676" s="244"/>
      <c r="AE676" s="244"/>
      <c r="AF676" s="1350">
        <v>4</v>
      </c>
      <c r="AG676" s="1352" t="s">
        <v>1055</v>
      </c>
      <c r="AH676" s="1352" t="s">
        <v>1105</v>
      </c>
      <c r="AI676" s="1350">
        <v>4</v>
      </c>
      <c r="AJ676" s="1352" t="s">
        <v>1055</v>
      </c>
      <c r="AK676" s="1352" t="s">
        <v>1105</v>
      </c>
      <c r="AL676" s="772"/>
    </row>
    <row r="677" spans="1:38" ht="11.25" customHeight="1">
      <c r="A677" s="1030" t="s">
        <v>1019</v>
      </c>
      <c r="E677" s="557"/>
      <c r="F677" s="1339"/>
      <c r="G677" s="1340"/>
      <c r="H677" s="1335" t="s">
        <v>384</v>
      </c>
      <c r="I677" s="1347"/>
      <c r="J677" s="1360"/>
      <c r="K677" s="1349"/>
      <c r="L677" s="1079"/>
      <c r="M677" s="1364"/>
      <c r="N677" s="1355"/>
      <c r="O677" s="1356">
        <v>1</v>
      </c>
      <c r="P677" s="1357" t="s">
        <v>61</v>
      </c>
      <c r="Q677" s="1348" t="s">
        <v>1074</v>
      </c>
      <c r="R677" s="1362" t="s">
        <v>1075</v>
      </c>
      <c r="S677" s="1362" t="s">
        <v>99</v>
      </c>
      <c r="T677" s="1362" t="s">
        <v>99</v>
      </c>
      <c r="U677" s="1362" t="s">
        <v>100</v>
      </c>
      <c r="V677" s="1362" t="s">
        <v>1066</v>
      </c>
      <c r="W677" s="1362" t="s">
        <v>1067</v>
      </c>
      <c r="X677" s="1362" t="s">
        <v>1076</v>
      </c>
      <c r="Y677" s="1362" t="s">
        <v>1077</v>
      </c>
      <c r="Z677" s="229"/>
      <c r="AA677" s="230"/>
      <c r="AB677" s="230"/>
      <c r="AC677" s="231"/>
      <c r="AD677" s="231"/>
      <c r="AE677" s="245"/>
      <c r="AF677" s="1350"/>
      <c r="AG677" s="1352"/>
      <c r="AH677" s="1352"/>
      <c r="AI677" s="1350"/>
      <c r="AJ677" s="1352"/>
      <c r="AK677" s="1352"/>
      <c r="AL677" s="772"/>
    </row>
    <row r="678" spans="1:38" ht="11.25" customHeight="1">
      <c r="A678" s="1030" t="s">
        <v>1019</v>
      </c>
      <c r="E678" s="557"/>
      <c r="F678" s="1339"/>
      <c r="G678" s="1340"/>
      <c r="H678" s="1335" t="s">
        <v>384</v>
      </c>
      <c r="I678" s="1347"/>
      <c r="J678" s="1360"/>
      <c r="K678" s="1349"/>
      <c r="L678" s="1079"/>
      <c r="M678" s="1364"/>
      <c r="N678" s="1355"/>
      <c r="O678" s="1356"/>
      <c r="P678" s="1358"/>
      <c r="Q678" s="1348"/>
      <c r="R678" s="1308"/>
      <c r="S678" s="1361"/>
      <c r="T678" s="1308"/>
      <c r="U678" s="1308"/>
      <c r="V678" s="1308"/>
      <c r="W678" s="1308"/>
      <c r="X678" s="1308"/>
      <c r="Y678" s="1308"/>
      <c r="AA678" s="778">
        <v>1</v>
      </c>
      <c r="AB678" s="779" t="s">
        <v>1119</v>
      </c>
      <c r="AC678" s="237">
        <v>119.114171469431</v>
      </c>
      <c r="AD678" s="779" t="str">
        <f>AB678</f>
        <v xml:space="preserve">  Прибыль направляемая на инвестиции</v>
      </c>
      <c r="AE678" s="237">
        <v>125.000855176111</v>
      </c>
      <c r="AF678" s="1350"/>
      <c r="AG678" s="1352"/>
      <c r="AH678" s="1352"/>
      <c r="AI678" s="1350"/>
      <c r="AJ678" s="1352"/>
      <c r="AK678" s="1352"/>
      <c r="AL678" s="772"/>
    </row>
    <row r="679" spans="1:38" ht="11.25" customHeight="1">
      <c r="A679" t="s">
        <v>1019</v>
      </c>
      <c r="E679" s="557"/>
      <c r="F679" s="1340"/>
      <c r="G679" s="1340"/>
      <c r="H679" s="1340"/>
      <c r="I679" s="1340"/>
      <c r="J679" s="1340"/>
      <c r="K679" s="1340"/>
      <c r="L679" s="1340"/>
      <c r="M679" s="1365"/>
      <c r="N679" s="1340"/>
      <c r="O679" s="1340"/>
      <c r="P679" s="1340"/>
      <c r="Q679" s="1340"/>
      <c r="R679" s="1340"/>
      <c r="S679" s="1340"/>
      <c r="T679" s="1340"/>
      <c r="U679" s="1340"/>
      <c r="V679" s="1340"/>
      <c r="W679" s="1340"/>
      <c r="X679" s="1340"/>
      <c r="Y679" s="1340"/>
      <c r="Z679" s="181" t="s">
        <v>103</v>
      </c>
      <c r="AA679" s="780" t="s">
        <v>102</v>
      </c>
      <c r="AB679" s="779" t="s">
        <v>1120</v>
      </c>
      <c r="AC679" s="237">
        <v>83.398202690637802</v>
      </c>
      <c r="AD679" s="779" t="str">
        <f>AB679</f>
        <v xml:space="preserve">     Прочие амортизационные отчисления</v>
      </c>
      <c r="AE679" s="237">
        <v>87.519784823888799</v>
      </c>
      <c r="AF679" s="1351"/>
      <c r="AG679" s="1353"/>
      <c r="AH679" s="1353"/>
      <c r="AI679" s="1351"/>
      <c r="AJ679" s="1353"/>
      <c r="AK679" s="1354"/>
      <c r="AL679" s="772"/>
    </row>
    <row r="680" spans="1:38" ht="11.25" customHeight="1">
      <c r="A680" t="s">
        <v>1019</v>
      </c>
      <c r="E680" s="557"/>
      <c r="F680" s="1340"/>
      <c r="G680" s="1340"/>
      <c r="H680" s="1340"/>
      <c r="I680" s="1340"/>
      <c r="J680" s="1340"/>
      <c r="K680" s="1340"/>
      <c r="L680" s="1340"/>
      <c r="M680" s="1365"/>
      <c r="N680" s="1340"/>
      <c r="O680" s="1340"/>
      <c r="P680" s="1340"/>
      <c r="Q680" s="1340"/>
      <c r="R680" s="1340"/>
      <c r="S680" s="1340"/>
      <c r="T680" s="1340"/>
      <c r="U680" s="1340"/>
      <c r="V680" s="1340"/>
      <c r="W680" s="1340"/>
      <c r="X680" s="1340"/>
      <c r="Y680" s="1340"/>
      <c r="Z680" s="181" t="s">
        <v>103</v>
      </c>
      <c r="AA680" s="780" t="s">
        <v>89</v>
      </c>
      <c r="AB680" s="779" t="s">
        <v>1138</v>
      </c>
      <c r="AC680" s="237">
        <v>35.901669129931001</v>
      </c>
      <c r="AD680" s="779" t="str">
        <f>AB680</f>
        <v xml:space="preserve">  Прочие собственные средства</v>
      </c>
      <c r="AE680" s="237">
        <v>39.039470000000001</v>
      </c>
      <c r="AF680" s="1351"/>
      <c r="AG680" s="1353"/>
      <c r="AH680" s="1353"/>
      <c r="AI680" s="1351"/>
      <c r="AJ680" s="1353"/>
      <c r="AK680" s="1354"/>
      <c r="AL680" s="772"/>
    </row>
    <row r="681" spans="1:38" ht="11.25" customHeight="1">
      <c r="A681" s="1030" t="s">
        <v>1019</v>
      </c>
      <c r="E681" s="557"/>
      <c r="F681" s="1339"/>
      <c r="G681" s="1340"/>
      <c r="H681" s="1335" t="s">
        <v>384</v>
      </c>
      <c r="I681" s="1347"/>
      <c r="J681" s="1360"/>
      <c r="K681" s="1349"/>
      <c r="L681" s="1079"/>
      <c r="M681" s="1364"/>
      <c r="N681" s="1355"/>
      <c r="O681" s="1356"/>
      <c r="P681" s="1359"/>
      <c r="Q681" s="1348"/>
      <c r="R681" s="1308"/>
      <c r="S681" s="1361"/>
      <c r="T681" s="1308"/>
      <c r="U681" s="1308"/>
      <c r="V681" s="1308"/>
      <c r="W681" s="1308"/>
      <c r="X681" s="1308"/>
      <c r="Y681" s="1308"/>
      <c r="Z681" s="229"/>
      <c r="AA681" s="230"/>
      <c r="AB681" s="44" t="s">
        <v>1059</v>
      </c>
      <c r="AC681" s="231"/>
      <c r="AD681" s="231"/>
      <c r="AE681" s="246"/>
      <c r="AF681" s="1350"/>
      <c r="AG681" s="1352"/>
      <c r="AH681" s="1352"/>
      <c r="AI681" s="1350"/>
      <c r="AJ681" s="1352"/>
      <c r="AK681" s="1352"/>
      <c r="AL681" s="772"/>
    </row>
    <row r="682" spans="1:38" ht="11.25" customHeight="1">
      <c r="A682" s="1030" t="s">
        <v>1019</v>
      </c>
      <c r="E682" s="557"/>
      <c r="F682" s="1339"/>
      <c r="G682" s="1340"/>
      <c r="H682" s="1335" t="s">
        <v>384</v>
      </c>
      <c r="I682" s="1347"/>
      <c r="J682" s="1360"/>
      <c r="K682" s="1349"/>
      <c r="L682" s="1079"/>
      <c r="M682" s="1364"/>
      <c r="N682" s="229"/>
      <c r="O682" s="230"/>
      <c r="P682" s="44" t="s">
        <v>1060</v>
      </c>
      <c r="Q682" s="230"/>
      <c r="R682" s="230"/>
      <c r="S682" s="230"/>
      <c r="T682" s="230"/>
      <c r="U682" s="230"/>
      <c r="V682" s="230"/>
      <c r="W682" s="230"/>
      <c r="X682" s="230"/>
      <c r="Y682" s="230"/>
      <c r="Z682" s="230"/>
      <c r="AA682" s="230"/>
      <c r="AB682" s="230"/>
      <c r="AC682" s="230"/>
      <c r="AD682" s="230"/>
      <c r="AE682" s="247"/>
      <c r="AF682" s="1350"/>
      <c r="AG682" s="1352"/>
      <c r="AH682" s="1352"/>
      <c r="AI682" s="1350"/>
      <c r="AJ682" s="1352"/>
      <c r="AK682" s="1352"/>
      <c r="AL682" s="772"/>
    </row>
    <row r="683" spans="1:38" ht="11.25" customHeight="1">
      <c r="A683" s="1030" t="s">
        <v>1019</v>
      </c>
      <c r="B683" s="1030" t="s">
        <v>22</v>
      </c>
      <c r="E683" s="557"/>
      <c r="F683" s="1339"/>
      <c r="G683" s="1325" t="s">
        <v>103</v>
      </c>
      <c r="H683" s="1335" t="s">
        <v>102</v>
      </c>
      <c r="I683" s="1347" t="s">
        <v>1071</v>
      </c>
      <c r="J683" s="1360" t="s">
        <v>22</v>
      </c>
      <c r="K683" s="1349" t="s">
        <v>1099</v>
      </c>
      <c r="L683" s="1079" t="s">
        <v>61</v>
      </c>
      <c r="M683" s="1364" t="s">
        <v>1018</v>
      </c>
      <c r="N683" s="242"/>
      <c r="O683" s="243" t="s">
        <v>384</v>
      </c>
      <c r="P683" s="244"/>
      <c r="Q683" s="244"/>
      <c r="R683" s="244"/>
      <c r="S683" s="244"/>
      <c r="T683" s="244"/>
      <c r="U683" s="244"/>
      <c r="V683" s="244"/>
      <c r="W683" s="244"/>
      <c r="X683" s="244"/>
      <c r="Y683" s="244"/>
      <c r="Z683" s="244"/>
      <c r="AA683" s="244"/>
      <c r="AB683" s="244"/>
      <c r="AC683" s="244"/>
      <c r="AD683" s="244"/>
      <c r="AE683" s="244"/>
      <c r="AF683" s="1350">
        <v>2</v>
      </c>
      <c r="AG683" s="1352" t="s">
        <v>1055</v>
      </c>
      <c r="AH683" s="1352" t="s">
        <v>1079</v>
      </c>
      <c r="AI683" s="1350">
        <v>2</v>
      </c>
      <c r="AJ683" s="1352" t="s">
        <v>1055</v>
      </c>
      <c r="AK683" s="1352" t="s">
        <v>1079</v>
      </c>
      <c r="AL683" s="772"/>
    </row>
    <row r="684" spans="1:38" ht="11.25" customHeight="1">
      <c r="A684" s="1030" t="s">
        <v>1019</v>
      </c>
      <c r="E684" s="557"/>
      <c r="F684" s="1339"/>
      <c r="G684" s="1340"/>
      <c r="H684" s="1335" t="s">
        <v>114</v>
      </c>
      <c r="I684" s="1347"/>
      <c r="J684" s="1360"/>
      <c r="K684" s="1349"/>
      <c r="L684" s="1079"/>
      <c r="M684" s="1364"/>
      <c r="N684" s="1355"/>
      <c r="O684" s="1356">
        <v>1</v>
      </c>
      <c r="P684" s="1357" t="s">
        <v>61</v>
      </c>
      <c r="Q684" s="1348" t="s">
        <v>1074</v>
      </c>
      <c r="R684" s="1362" t="s">
        <v>1075</v>
      </c>
      <c r="S684" s="1362" t="s">
        <v>99</v>
      </c>
      <c r="T684" s="1362" t="s">
        <v>99</v>
      </c>
      <c r="U684" s="1362" t="s">
        <v>100</v>
      </c>
      <c r="V684" s="1362" t="s">
        <v>1066</v>
      </c>
      <c r="W684" s="1362" t="s">
        <v>1067</v>
      </c>
      <c r="X684" s="1362" t="s">
        <v>1076</v>
      </c>
      <c r="Y684" s="1362" t="s">
        <v>1077</v>
      </c>
      <c r="Z684" s="229"/>
      <c r="AA684" s="230"/>
      <c r="AB684" s="230"/>
      <c r="AC684" s="231"/>
      <c r="AD684" s="231"/>
      <c r="AE684" s="245"/>
      <c r="AF684" s="1350"/>
      <c r="AG684" s="1352"/>
      <c r="AH684" s="1352"/>
      <c r="AI684" s="1350"/>
      <c r="AJ684" s="1352"/>
      <c r="AK684" s="1352"/>
      <c r="AL684" s="772"/>
    </row>
    <row r="685" spans="1:38" ht="11.25" customHeight="1">
      <c r="A685" s="1030" t="s">
        <v>1019</v>
      </c>
      <c r="E685" s="557"/>
      <c r="F685" s="1339"/>
      <c r="G685" s="1340"/>
      <c r="H685" s="1335" t="s">
        <v>114</v>
      </c>
      <c r="I685" s="1347"/>
      <c r="J685" s="1360"/>
      <c r="K685" s="1349"/>
      <c r="L685" s="1079"/>
      <c r="M685" s="1364"/>
      <c r="N685" s="1355"/>
      <c r="O685" s="1356"/>
      <c r="P685" s="1358"/>
      <c r="Q685" s="1348"/>
      <c r="R685" s="1308"/>
      <c r="S685" s="1361"/>
      <c r="T685" s="1308"/>
      <c r="U685" s="1308"/>
      <c r="V685" s="1308"/>
      <c r="W685" s="1308"/>
      <c r="X685" s="1308"/>
      <c r="Y685" s="1308"/>
      <c r="AA685" s="778">
        <v>1</v>
      </c>
      <c r="AB685" s="236" t="s">
        <v>1119</v>
      </c>
      <c r="AC685" s="237">
        <v>755.37086937564095</v>
      </c>
      <c r="AD685" s="779" t="str">
        <f>AB685</f>
        <v xml:space="preserve">  Прибыль направляемая на инвестиции</v>
      </c>
      <c r="AE685" s="237">
        <v>755.37086937560002</v>
      </c>
      <c r="AF685" s="1350"/>
      <c r="AG685" s="1352"/>
      <c r="AH685" s="1352"/>
      <c r="AI685" s="1350"/>
      <c r="AJ685" s="1352"/>
      <c r="AK685" s="1352"/>
      <c r="AL685" s="772"/>
    </row>
    <row r="686" spans="1:38" ht="11.25" customHeight="1">
      <c r="A686" t="s">
        <v>1019</v>
      </c>
      <c r="E686" s="557"/>
      <c r="F686" s="1340"/>
      <c r="G686" s="1340"/>
      <c r="H686" s="1340"/>
      <c r="I686" s="1340"/>
      <c r="J686" s="1340"/>
      <c r="K686" s="1340"/>
      <c r="L686" s="1340"/>
      <c r="M686" s="1365"/>
      <c r="N686" s="1340"/>
      <c r="O686" s="1340"/>
      <c r="P686" s="1340"/>
      <c r="Q686" s="1340"/>
      <c r="R686" s="1340"/>
      <c r="S686" s="1340"/>
      <c r="T686" s="1340"/>
      <c r="U686" s="1340"/>
      <c r="V686" s="1340"/>
      <c r="W686" s="1340"/>
      <c r="X686" s="1340"/>
      <c r="Y686" s="1340"/>
      <c r="Z686" s="181" t="s">
        <v>103</v>
      </c>
      <c r="AA686" s="780" t="s">
        <v>102</v>
      </c>
      <c r="AB686" s="779" t="s">
        <v>1120</v>
      </c>
      <c r="AC686" s="237">
        <v>528.87554934603395</v>
      </c>
      <c r="AD686" s="779" t="str">
        <f>AB686</f>
        <v xml:space="preserve">     Прочие амортизационные отчисления</v>
      </c>
      <c r="AE686" s="237">
        <v>528.87554934599996</v>
      </c>
      <c r="AF686" s="1351"/>
      <c r="AG686" s="1353"/>
      <c r="AH686" s="1353"/>
      <c r="AI686" s="1351"/>
      <c r="AJ686" s="1353"/>
      <c r="AK686" s="1354"/>
      <c r="AL686" s="772"/>
    </row>
    <row r="687" spans="1:38" ht="11.25" customHeight="1">
      <c r="A687" t="s">
        <v>1019</v>
      </c>
      <c r="E687" s="557"/>
      <c r="F687" s="1340"/>
      <c r="G687" s="1340"/>
      <c r="H687" s="1340"/>
      <c r="I687" s="1340"/>
      <c r="J687" s="1340"/>
      <c r="K687" s="1340"/>
      <c r="L687" s="1340"/>
      <c r="M687" s="1365"/>
      <c r="N687" s="1340"/>
      <c r="O687" s="1340"/>
      <c r="P687" s="1340"/>
      <c r="Q687" s="1340"/>
      <c r="R687" s="1340"/>
      <c r="S687" s="1340"/>
      <c r="T687" s="1340"/>
      <c r="U687" s="1340"/>
      <c r="V687" s="1340"/>
      <c r="W687" s="1340"/>
      <c r="X687" s="1340"/>
      <c r="Y687" s="1340"/>
      <c r="Z687" s="181" t="s">
        <v>103</v>
      </c>
      <c r="AA687" s="780" t="s">
        <v>89</v>
      </c>
      <c r="AB687" s="779" t="s">
        <v>1138</v>
      </c>
      <c r="AC687" s="237">
        <v>227.67295182565499</v>
      </c>
      <c r="AD687" s="779" t="str">
        <f>AB687</f>
        <v xml:space="preserve">  Прочие собственные средства</v>
      </c>
      <c r="AE687" s="237">
        <v>178.80866999999901</v>
      </c>
      <c r="AF687" s="1351"/>
      <c r="AG687" s="1353"/>
      <c r="AH687" s="1353"/>
      <c r="AI687" s="1351"/>
      <c r="AJ687" s="1353"/>
      <c r="AK687" s="1354"/>
      <c r="AL687" s="772"/>
    </row>
    <row r="688" spans="1:38" ht="11.25" customHeight="1">
      <c r="A688" t="s">
        <v>1019</v>
      </c>
      <c r="E688" s="557"/>
      <c r="F688" s="1340"/>
      <c r="G688" s="1340"/>
      <c r="H688" s="1340"/>
      <c r="I688" s="1340"/>
      <c r="J688" s="1340"/>
      <c r="K688" s="1340"/>
      <c r="L688" s="1340"/>
      <c r="M688" s="1365"/>
      <c r="N688" s="1340"/>
      <c r="O688" s="1340"/>
      <c r="P688" s="1340"/>
      <c r="Q688" s="1340"/>
      <c r="R688" s="1340"/>
      <c r="S688" s="1340"/>
      <c r="T688" s="1340"/>
      <c r="U688" s="1340"/>
      <c r="V688" s="1340"/>
      <c r="W688" s="1340"/>
      <c r="X688" s="1340"/>
      <c r="Y688" s="1340"/>
      <c r="Z688" s="181" t="s">
        <v>103</v>
      </c>
      <c r="AA688" s="780" t="s">
        <v>90</v>
      </c>
      <c r="AB688" s="779" t="s">
        <v>1057</v>
      </c>
      <c r="AC688" s="237">
        <v>0</v>
      </c>
      <c r="AD688" s="779" t="str">
        <f>AB688</f>
        <v xml:space="preserve">  Кредиты</v>
      </c>
      <c r="AE688" s="237">
        <v>5437.5856212783801</v>
      </c>
      <c r="AF688" s="1351"/>
      <c r="AG688" s="1353"/>
      <c r="AH688" s="1353"/>
      <c r="AI688" s="1351"/>
      <c r="AJ688" s="1353"/>
      <c r="AK688" s="1354"/>
      <c r="AL688" s="772"/>
    </row>
    <row r="689" spans="1:38" ht="11.25" customHeight="1">
      <c r="A689" s="1030" t="s">
        <v>1019</v>
      </c>
      <c r="E689" s="557"/>
      <c r="F689" s="1339"/>
      <c r="G689" s="1340"/>
      <c r="H689" s="1335" t="s">
        <v>114</v>
      </c>
      <c r="I689" s="1347"/>
      <c r="J689" s="1360"/>
      <c r="K689" s="1349"/>
      <c r="L689" s="1079"/>
      <c r="M689" s="1364"/>
      <c r="N689" s="1355"/>
      <c r="O689" s="1356"/>
      <c r="P689" s="1359"/>
      <c r="Q689" s="1348"/>
      <c r="R689" s="1308"/>
      <c r="S689" s="1361"/>
      <c r="T689" s="1308"/>
      <c r="U689" s="1308"/>
      <c r="V689" s="1308"/>
      <c r="W689" s="1308"/>
      <c r="X689" s="1308"/>
      <c r="Y689" s="1308"/>
      <c r="Z689" s="229"/>
      <c r="AA689" s="230"/>
      <c r="AB689" s="44" t="s">
        <v>1059</v>
      </c>
      <c r="AC689" s="231"/>
      <c r="AD689" s="231"/>
      <c r="AE689" s="246"/>
      <c r="AF689" s="1350"/>
      <c r="AG689" s="1352"/>
      <c r="AH689" s="1352"/>
      <c r="AI689" s="1350"/>
      <c r="AJ689" s="1352"/>
      <c r="AK689" s="1352"/>
      <c r="AL689" s="772"/>
    </row>
    <row r="690" spans="1:38" ht="11.25" customHeight="1">
      <c r="A690" s="1030" t="s">
        <v>1019</v>
      </c>
      <c r="E690" s="557"/>
      <c r="F690" s="1339"/>
      <c r="G690" s="1340"/>
      <c r="H690" s="1335" t="s">
        <v>114</v>
      </c>
      <c r="I690" s="1347"/>
      <c r="J690" s="1360"/>
      <c r="K690" s="1349"/>
      <c r="L690" s="1079"/>
      <c r="M690" s="1364"/>
      <c r="N690" s="229"/>
      <c r="O690" s="230"/>
      <c r="P690" s="44" t="s">
        <v>1060</v>
      </c>
      <c r="Q690" s="230"/>
      <c r="R690" s="230"/>
      <c r="S690" s="230"/>
      <c r="T690" s="230"/>
      <c r="U690" s="230"/>
      <c r="V690" s="230"/>
      <c r="W690" s="230"/>
      <c r="X690" s="230"/>
      <c r="Y690" s="230"/>
      <c r="Z690" s="230"/>
      <c r="AA690" s="230"/>
      <c r="AB690" s="230"/>
      <c r="AC690" s="230"/>
      <c r="AD690" s="230"/>
      <c r="AE690" s="247"/>
      <c r="AF690" s="1350"/>
      <c r="AG690" s="1352"/>
      <c r="AH690" s="1352"/>
      <c r="AI690" s="1350"/>
      <c r="AJ690" s="1352"/>
      <c r="AK690" s="1352"/>
      <c r="AL690" s="772"/>
    </row>
    <row r="691" spans="1:38" ht="11.25" customHeight="1">
      <c r="A691" s="1030" t="s">
        <v>1019</v>
      </c>
      <c r="B691" s="1030" t="s">
        <v>22</v>
      </c>
      <c r="E691" s="557"/>
      <c r="F691" s="1339"/>
      <c r="G691" s="1325" t="s">
        <v>103</v>
      </c>
      <c r="H691" s="1335" t="s">
        <v>89</v>
      </c>
      <c r="I691" s="1347" t="s">
        <v>1071</v>
      </c>
      <c r="J691" s="1360" t="s">
        <v>22</v>
      </c>
      <c r="K691" s="1349" t="s">
        <v>1146</v>
      </c>
      <c r="L691" s="1079" t="s">
        <v>61</v>
      </c>
      <c r="M691" s="1364" t="s">
        <v>1018</v>
      </c>
      <c r="N691" s="242"/>
      <c r="O691" s="243" t="s">
        <v>384</v>
      </c>
      <c r="P691" s="244"/>
      <c r="Q691" s="244"/>
      <c r="R691" s="244"/>
      <c r="S691" s="244"/>
      <c r="T691" s="244"/>
      <c r="U691" s="244"/>
      <c r="V691" s="244"/>
      <c r="W691" s="244"/>
      <c r="X691" s="244"/>
      <c r="Y691" s="244"/>
      <c r="Z691" s="244"/>
      <c r="AA691" s="244"/>
      <c r="AB691" s="244"/>
      <c r="AC691" s="244"/>
      <c r="AD691" s="244"/>
      <c r="AE691" s="244"/>
      <c r="AF691" s="1350">
        <v>2</v>
      </c>
      <c r="AG691" s="1352" t="s">
        <v>1055</v>
      </c>
      <c r="AH691" s="1352" t="s">
        <v>1079</v>
      </c>
      <c r="AI691" s="1350">
        <v>2</v>
      </c>
      <c r="AJ691" s="1352" t="s">
        <v>1055</v>
      </c>
      <c r="AK691" s="1352" t="s">
        <v>1079</v>
      </c>
      <c r="AL691" s="772"/>
    </row>
    <row r="692" spans="1:38" ht="11.25" customHeight="1">
      <c r="A692" s="1030" t="s">
        <v>1019</v>
      </c>
      <c r="E692" s="557"/>
      <c r="F692" s="1339"/>
      <c r="G692" s="1340"/>
      <c r="H692" s="1335" t="s">
        <v>102</v>
      </c>
      <c r="I692" s="1347"/>
      <c r="J692" s="1360"/>
      <c r="K692" s="1349"/>
      <c r="L692" s="1079"/>
      <c r="M692" s="1364"/>
      <c r="N692" s="1355"/>
      <c r="O692" s="1356">
        <v>1</v>
      </c>
      <c r="P692" s="1357" t="s">
        <v>61</v>
      </c>
      <c r="Q692" s="1348" t="s">
        <v>1074</v>
      </c>
      <c r="R692" s="1362" t="s">
        <v>1075</v>
      </c>
      <c r="S692" s="1362" t="s">
        <v>99</v>
      </c>
      <c r="T692" s="1362" t="s">
        <v>99</v>
      </c>
      <c r="U692" s="1362" t="s">
        <v>100</v>
      </c>
      <c r="V692" s="1362" t="s">
        <v>1066</v>
      </c>
      <c r="W692" s="1362" t="s">
        <v>1067</v>
      </c>
      <c r="X692" s="1362" t="s">
        <v>1076</v>
      </c>
      <c r="Y692" s="1362" t="s">
        <v>1077</v>
      </c>
      <c r="Z692" s="229"/>
      <c r="AA692" s="230"/>
      <c r="AB692" s="230"/>
      <c r="AC692" s="231"/>
      <c r="AD692" s="231"/>
      <c r="AE692" s="245"/>
      <c r="AF692" s="1350"/>
      <c r="AG692" s="1352"/>
      <c r="AH692" s="1352"/>
      <c r="AI692" s="1350"/>
      <c r="AJ692" s="1352"/>
      <c r="AK692" s="1352"/>
      <c r="AL692" s="772"/>
    </row>
    <row r="693" spans="1:38" ht="11.25" customHeight="1">
      <c r="A693" s="1030" t="s">
        <v>1019</v>
      </c>
      <c r="E693" s="557"/>
      <c r="F693" s="1339"/>
      <c r="G693" s="1340"/>
      <c r="H693" s="1335" t="s">
        <v>102</v>
      </c>
      <c r="I693" s="1347"/>
      <c r="J693" s="1360"/>
      <c r="K693" s="1349"/>
      <c r="L693" s="1079"/>
      <c r="M693" s="1364"/>
      <c r="N693" s="1355"/>
      <c r="O693" s="1356"/>
      <c r="P693" s="1358"/>
      <c r="Q693" s="1348"/>
      <c r="R693" s="1308"/>
      <c r="S693" s="1361"/>
      <c r="T693" s="1308"/>
      <c r="U693" s="1308"/>
      <c r="V693" s="1308"/>
      <c r="W693" s="1308"/>
      <c r="X693" s="1308"/>
      <c r="Y693" s="1308"/>
      <c r="AA693" s="778">
        <v>1</v>
      </c>
      <c r="AB693" s="779" t="s">
        <v>1147</v>
      </c>
      <c r="AC693" s="237">
        <v>556197.30431957799</v>
      </c>
      <c r="AD693" s="779" t="str">
        <f>AB693</f>
        <v xml:space="preserve">  Федеральный бюджет</v>
      </c>
      <c r="AE693" s="237">
        <v>251001.10060000001</v>
      </c>
      <c r="AF693" s="1350"/>
      <c r="AG693" s="1352"/>
      <c r="AH693" s="1352"/>
      <c r="AI693" s="1350"/>
      <c r="AJ693" s="1352"/>
      <c r="AK693" s="1352"/>
      <c r="AL693" s="772"/>
    </row>
    <row r="694" spans="1:38" ht="11.25" customHeight="1">
      <c r="A694" t="s">
        <v>1019</v>
      </c>
      <c r="E694" s="557"/>
      <c r="F694" s="1340"/>
      <c r="G694" s="1340"/>
      <c r="H694" s="1340"/>
      <c r="I694" s="1340"/>
      <c r="J694" s="1340"/>
      <c r="K694" s="1340"/>
      <c r="L694" s="1340"/>
      <c r="M694" s="1365"/>
      <c r="N694" s="1340"/>
      <c r="O694" s="1340"/>
      <c r="P694" s="1340"/>
      <c r="Q694" s="1340"/>
      <c r="R694" s="1340"/>
      <c r="S694" s="1340"/>
      <c r="T694" s="1340"/>
      <c r="U694" s="1340"/>
      <c r="V694" s="1340"/>
      <c r="W694" s="1340"/>
      <c r="X694" s="1340"/>
      <c r="Y694" s="1340"/>
      <c r="Z694" s="181" t="s">
        <v>103</v>
      </c>
      <c r="AA694" s="780" t="s">
        <v>102</v>
      </c>
      <c r="AB694" s="779" t="s">
        <v>1148</v>
      </c>
      <c r="AC694" s="237">
        <v>304107.42882409302</v>
      </c>
      <c r="AD694" s="779" t="str">
        <f>AB694</f>
        <v xml:space="preserve">  Бюджет субъекта РФ</v>
      </c>
      <c r="AE694" s="237">
        <v>0</v>
      </c>
      <c r="AF694" s="1351"/>
      <c r="AG694" s="1353"/>
      <c r="AH694" s="1353"/>
      <c r="AI694" s="1351"/>
      <c r="AJ694" s="1353"/>
      <c r="AK694" s="1354"/>
      <c r="AL694" s="772"/>
    </row>
    <row r="695" spans="1:38" ht="11.25" customHeight="1">
      <c r="A695" t="s">
        <v>1019</v>
      </c>
      <c r="E695" s="557"/>
      <c r="F695" s="1340"/>
      <c r="G695" s="1340"/>
      <c r="H695" s="1340"/>
      <c r="I695" s="1340"/>
      <c r="J695" s="1340"/>
      <c r="K695" s="1340"/>
      <c r="L695" s="1340"/>
      <c r="M695" s="1365"/>
      <c r="N695" s="1340"/>
      <c r="O695" s="1340"/>
      <c r="P695" s="1340"/>
      <c r="Q695" s="1340"/>
      <c r="R695" s="1340"/>
      <c r="S695" s="1340"/>
      <c r="T695" s="1340"/>
      <c r="U695" s="1340"/>
      <c r="V695" s="1340"/>
      <c r="W695" s="1340"/>
      <c r="X695" s="1340"/>
      <c r="Y695" s="1340"/>
      <c r="Z695" s="181" t="s">
        <v>103</v>
      </c>
      <c r="AA695" s="780" t="s">
        <v>89</v>
      </c>
      <c r="AB695" s="779" t="s">
        <v>1149</v>
      </c>
      <c r="AC695" s="237">
        <v>2748.26183632946</v>
      </c>
      <c r="AD695" s="779" t="str">
        <f>AB695</f>
        <v xml:space="preserve">  Бюджет муниципального образования</v>
      </c>
      <c r="AE695" s="237">
        <v>0</v>
      </c>
      <c r="AF695" s="1351"/>
      <c r="AG695" s="1353"/>
      <c r="AH695" s="1353"/>
      <c r="AI695" s="1351"/>
      <c r="AJ695" s="1353"/>
      <c r="AK695" s="1354"/>
      <c r="AL695" s="772"/>
    </row>
    <row r="696" spans="1:38" ht="11.25" customHeight="1">
      <c r="A696" s="1030" t="s">
        <v>1019</v>
      </c>
      <c r="E696" s="557"/>
      <c r="F696" s="1339"/>
      <c r="G696" s="1340"/>
      <c r="H696" s="1335" t="s">
        <v>102</v>
      </c>
      <c r="I696" s="1347"/>
      <c r="J696" s="1360"/>
      <c r="K696" s="1349"/>
      <c r="L696" s="1079"/>
      <c r="M696" s="1364"/>
      <c r="N696" s="1355"/>
      <c r="O696" s="1356"/>
      <c r="P696" s="1359"/>
      <c r="Q696" s="1348"/>
      <c r="R696" s="1308"/>
      <c r="S696" s="1361"/>
      <c r="T696" s="1308"/>
      <c r="U696" s="1308"/>
      <c r="V696" s="1308"/>
      <c r="W696" s="1308"/>
      <c r="X696" s="1308"/>
      <c r="Y696" s="1308"/>
      <c r="Z696" s="229"/>
      <c r="AA696" s="230"/>
      <c r="AB696" s="44" t="s">
        <v>1059</v>
      </c>
      <c r="AC696" s="231"/>
      <c r="AD696" s="231"/>
      <c r="AE696" s="246"/>
      <c r="AF696" s="1350"/>
      <c r="AG696" s="1352"/>
      <c r="AH696" s="1352"/>
      <c r="AI696" s="1350"/>
      <c r="AJ696" s="1352"/>
      <c r="AK696" s="1352"/>
      <c r="AL696" s="772"/>
    </row>
    <row r="697" spans="1:38" ht="11.25" customHeight="1">
      <c r="A697" s="1030" t="s">
        <v>1019</v>
      </c>
      <c r="E697" s="557"/>
      <c r="F697" s="1339"/>
      <c r="G697" s="1340"/>
      <c r="H697" s="1335" t="s">
        <v>102</v>
      </c>
      <c r="I697" s="1347"/>
      <c r="J697" s="1360"/>
      <c r="K697" s="1349"/>
      <c r="L697" s="1079"/>
      <c r="M697" s="1364"/>
      <c r="N697" s="229"/>
      <c r="O697" s="230"/>
      <c r="P697" s="44" t="s">
        <v>1060</v>
      </c>
      <c r="Q697" s="230"/>
      <c r="R697" s="230"/>
      <c r="S697" s="230"/>
      <c r="T697" s="230"/>
      <c r="U697" s="230"/>
      <c r="V697" s="230"/>
      <c r="W697" s="230"/>
      <c r="X697" s="230"/>
      <c r="Y697" s="230"/>
      <c r="Z697" s="230"/>
      <c r="AA697" s="230"/>
      <c r="AB697" s="230"/>
      <c r="AC697" s="230"/>
      <c r="AD697" s="230"/>
      <c r="AE697" s="247"/>
      <c r="AF697" s="1350"/>
      <c r="AG697" s="1352"/>
      <c r="AH697" s="1352"/>
      <c r="AI697" s="1350"/>
      <c r="AJ697" s="1352"/>
      <c r="AK697" s="1352"/>
      <c r="AL697" s="772"/>
    </row>
    <row r="698" spans="1:38" ht="11.25" customHeight="1">
      <c r="A698" s="1030" t="s">
        <v>1019</v>
      </c>
      <c r="B698" s="1030" t="s">
        <v>22</v>
      </c>
      <c r="E698" s="557"/>
      <c r="F698" s="1339"/>
      <c r="G698" s="1325" t="s">
        <v>103</v>
      </c>
      <c r="H698" s="1335" t="s">
        <v>90</v>
      </c>
      <c r="I698" s="1347" t="s">
        <v>1071</v>
      </c>
      <c r="J698" s="1360" t="s">
        <v>22</v>
      </c>
      <c r="K698" s="1349" t="s">
        <v>1150</v>
      </c>
      <c r="L698" s="1079" t="s">
        <v>19</v>
      </c>
      <c r="M698" s="1080"/>
      <c r="N698" s="242"/>
      <c r="O698" s="243" t="s">
        <v>384</v>
      </c>
      <c r="P698" s="244"/>
      <c r="Q698" s="244"/>
      <c r="R698" s="244"/>
      <c r="S698" s="244"/>
      <c r="T698" s="244"/>
      <c r="U698" s="244"/>
      <c r="V698" s="244"/>
      <c r="W698" s="244"/>
      <c r="X698" s="244"/>
      <c r="Y698" s="244"/>
      <c r="Z698" s="244"/>
      <c r="AA698" s="244"/>
      <c r="AB698" s="244"/>
      <c r="AC698" s="244"/>
      <c r="AD698" s="244"/>
      <c r="AE698" s="244"/>
      <c r="AF698" s="1350">
        <v>1</v>
      </c>
      <c r="AG698" s="1352" t="s">
        <v>1055</v>
      </c>
      <c r="AH698" s="1352" t="s">
        <v>1107</v>
      </c>
      <c r="AI698" s="1350">
        <v>1</v>
      </c>
      <c r="AJ698" s="1352" t="s">
        <v>1055</v>
      </c>
      <c r="AK698" s="1352" t="s">
        <v>1107</v>
      </c>
      <c r="AL698" s="772"/>
    </row>
    <row r="699" spans="1:38" ht="11.25" customHeight="1">
      <c r="A699" s="1030" t="s">
        <v>1019</v>
      </c>
      <c r="E699" s="557"/>
      <c r="F699" s="1339"/>
      <c r="G699" s="1340"/>
      <c r="H699" s="1335" t="s">
        <v>89</v>
      </c>
      <c r="I699" s="1347"/>
      <c r="J699" s="1360"/>
      <c r="K699" s="1349"/>
      <c r="L699" s="1079"/>
      <c r="M699" s="1080"/>
      <c r="N699" s="1355"/>
      <c r="O699" s="1356">
        <v>1</v>
      </c>
      <c r="P699" s="1357" t="s">
        <v>61</v>
      </c>
      <c r="Q699" s="1348" t="s">
        <v>1108</v>
      </c>
      <c r="R699" s="1362" t="s">
        <v>1075</v>
      </c>
      <c r="S699" s="1362" t="s">
        <v>99</v>
      </c>
      <c r="T699" s="1362" t="s">
        <v>99</v>
      </c>
      <c r="U699" s="1362" t="s">
        <v>100</v>
      </c>
      <c r="V699" s="1362" t="s">
        <v>1066</v>
      </c>
      <c r="W699" s="1362" t="s">
        <v>1067</v>
      </c>
      <c r="X699" s="1362" t="s">
        <v>1109</v>
      </c>
      <c r="Y699" s="1362" t="s">
        <v>1013</v>
      </c>
      <c r="Z699" s="229"/>
      <c r="AA699" s="230"/>
      <c r="AB699" s="230"/>
      <c r="AC699" s="231"/>
      <c r="AD699" s="231"/>
      <c r="AE699" s="245"/>
      <c r="AF699" s="1350"/>
      <c r="AG699" s="1352"/>
      <c r="AH699" s="1352"/>
      <c r="AI699" s="1350"/>
      <c r="AJ699" s="1352"/>
      <c r="AK699" s="1352"/>
      <c r="AL699" s="772"/>
    </row>
    <row r="700" spans="1:38" ht="11.25" customHeight="1">
      <c r="A700" s="1030" t="s">
        <v>1019</v>
      </c>
      <c r="E700" s="557"/>
      <c r="F700" s="1339"/>
      <c r="G700" s="1340"/>
      <c r="H700" s="1335" t="s">
        <v>89</v>
      </c>
      <c r="I700" s="1347"/>
      <c r="J700" s="1360"/>
      <c r="K700" s="1349"/>
      <c r="L700" s="1079"/>
      <c r="M700" s="1080"/>
      <c r="N700" s="1355"/>
      <c r="O700" s="1356"/>
      <c r="P700" s="1358"/>
      <c r="Q700" s="1348"/>
      <c r="R700" s="1308"/>
      <c r="S700" s="1361"/>
      <c r="T700" s="1308"/>
      <c r="U700" s="1308"/>
      <c r="V700" s="1308"/>
      <c r="W700" s="1308"/>
      <c r="X700" s="1308"/>
      <c r="Y700" s="1308"/>
      <c r="AA700" s="778">
        <v>1</v>
      </c>
      <c r="AB700" s="779" t="s">
        <v>1119</v>
      </c>
      <c r="AC700" s="237">
        <v>4393.6193249662801</v>
      </c>
      <c r="AD700" s="779" t="str">
        <f>AB700</f>
        <v xml:space="preserve">  Прибыль направляемая на инвестиции</v>
      </c>
      <c r="AE700" s="237">
        <v>4393.6193249663002</v>
      </c>
      <c r="AF700" s="1350"/>
      <c r="AG700" s="1352"/>
      <c r="AH700" s="1352"/>
      <c r="AI700" s="1350"/>
      <c r="AJ700" s="1352"/>
      <c r="AK700" s="1352"/>
      <c r="AL700" s="772"/>
    </row>
    <row r="701" spans="1:38" ht="11.25" customHeight="1">
      <c r="A701" t="s">
        <v>1019</v>
      </c>
      <c r="E701" s="557"/>
      <c r="F701" s="1340"/>
      <c r="G701" s="1340"/>
      <c r="H701" s="1340"/>
      <c r="I701" s="1340"/>
      <c r="J701" s="1340"/>
      <c r="K701" s="1340"/>
      <c r="L701" s="1340"/>
      <c r="M701" s="1340"/>
      <c r="N701" s="1340"/>
      <c r="O701" s="1340"/>
      <c r="P701" s="1340"/>
      <c r="Q701" s="1340"/>
      <c r="R701" s="1340"/>
      <c r="S701" s="1340"/>
      <c r="T701" s="1340"/>
      <c r="U701" s="1340"/>
      <c r="V701" s="1340"/>
      <c r="W701" s="1340"/>
      <c r="X701" s="1340"/>
      <c r="Y701" s="1340"/>
      <c r="Z701" s="181" t="s">
        <v>103</v>
      </c>
      <c r="AA701" s="780" t="s">
        <v>102</v>
      </c>
      <c r="AB701" s="779" t="s">
        <v>1120</v>
      </c>
      <c r="AC701" s="237">
        <v>3076.2078977569699</v>
      </c>
      <c r="AD701" s="779" t="str">
        <f>AB701</f>
        <v xml:space="preserve">     Прочие амортизационные отчисления</v>
      </c>
      <c r="AE701" s="237">
        <v>3076.207897757</v>
      </c>
      <c r="AF701" s="1351"/>
      <c r="AG701" s="1353"/>
      <c r="AH701" s="1353"/>
      <c r="AI701" s="1351"/>
      <c r="AJ701" s="1353"/>
      <c r="AK701" s="1354"/>
      <c r="AL701" s="772"/>
    </row>
    <row r="702" spans="1:38" ht="11.25" customHeight="1">
      <c r="A702" t="s">
        <v>1019</v>
      </c>
      <c r="E702" s="557"/>
      <c r="F702" s="1340"/>
      <c r="G702" s="1340"/>
      <c r="H702" s="1340"/>
      <c r="I702" s="1340"/>
      <c r="J702" s="1340"/>
      <c r="K702" s="1340"/>
      <c r="L702" s="1340"/>
      <c r="M702" s="1340"/>
      <c r="N702" s="1340"/>
      <c r="O702" s="1340"/>
      <c r="P702" s="1340"/>
      <c r="Q702" s="1340"/>
      <c r="R702" s="1340"/>
      <c r="S702" s="1340"/>
      <c r="T702" s="1340"/>
      <c r="U702" s="1340"/>
      <c r="V702" s="1340"/>
      <c r="W702" s="1340"/>
      <c r="X702" s="1340"/>
      <c r="Y702" s="1340"/>
      <c r="Z702" s="181" t="s">
        <v>103</v>
      </c>
      <c r="AA702" s="780" t="s">
        <v>89</v>
      </c>
      <c r="AB702" s="779" t="s">
        <v>1138</v>
      </c>
      <c r="AC702" s="237">
        <v>1324.26112982108</v>
      </c>
      <c r="AD702" s="779" t="str">
        <f>AB702</f>
        <v xml:space="preserve">  Прочие собственные средства</v>
      </c>
      <c r="AE702" s="237">
        <v>1354.6164000000001</v>
      </c>
      <c r="AF702" s="1351"/>
      <c r="AG702" s="1353"/>
      <c r="AH702" s="1353"/>
      <c r="AI702" s="1351"/>
      <c r="AJ702" s="1353"/>
      <c r="AK702" s="1354"/>
      <c r="AL702" s="772"/>
    </row>
    <row r="703" spans="1:38" ht="11.25" customHeight="1">
      <c r="A703" t="s">
        <v>1019</v>
      </c>
      <c r="E703" s="557"/>
      <c r="F703" s="1340"/>
      <c r="G703" s="1340"/>
      <c r="H703" s="1340"/>
      <c r="I703" s="1340"/>
      <c r="J703" s="1340"/>
      <c r="K703" s="1340"/>
      <c r="L703" s="1340"/>
      <c r="M703" s="1340"/>
      <c r="N703" s="1340"/>
      <c r="O703" s="1340"/>
      <c r="P703" s="1340"/>
      <c r="Q703" s="1340"/>
      <c r="R703" s="1340"/>
      <c r="S703" s="1340"/>
      <c r="T703" s="1340"/>
      <c r="U703" s="1340"/>
      <c r="V703" s="1340"/>
      <c r="W703" s="1340"/>
      <c r="X703" s="1340"/>
      <c r="Y703" s="1340"/>
      <c r="Z703" s="181" t="s">
        <v>103</v>
      </c>
      <c r="AA703" s="780" t="s">
        <v>90</v>
      </c>
      <c r="AB703" s="779" t="s">
        <v>1057</v>
      </c>
      <c r="AC703" s="237">
        <v>0</v>
      </c>
      <c r="AD703" s="779" t="str">
        <f>AB703</f>
        <v xml:space="preserve">  Кредиты</v>
      </c>
      <c r="AE703" s="237">
        <v>7132.4137372767</v>
      </c>
      <c r="AF703" s="1351"/>
      <c r="AG703" s="1353"/>
      <c r="AH703" s="1353"/>
      <c r="AI703" s="1351"/>
      <c r="AJ703" s="1353"/>
      <c r="AK703" s="1354"/>
      <c r="AL703" s="772"/>
    </row>
    <row r="704" spans="1:38" ht="11.25" customHeight="1">
      <c r="A704" s="1030" t="s">
        <v>1019</v>
      </c>
      <c r="E704" s="557"/>
      <c r="F704" s="1339"/>
      <c r="G704" s="1340"/>
      <c r="H704" s="1335" t="s">
        <v>89</v>
      </c>
      <c r="I704" s="1347"/>
      <c r="J704" s="1360"/>
      <c r="K704" s="1349"/>
      <c r="L704" s="1079"/>
      <c r="M704" s="1080"/>
      <c r="N704" s="1355"/>
      <c r="O704" s="1356"/>
      <c r="P704" s="1359"/>
      <c r="Q704" s="1348"/>
      <c r="R704" s="1308"/>
      <c r="S704" s="1361"/>
      <c r="T704" s="1308"/>
      <c r="U704" s="1308"/>
      <c r="V704" s="1308"/>
      <c r="W704" s="1308"/>
      <c r="X704" s="1308"/>
      <c r="Y704" s="1308"/>
      <c r="Z704" s="229"/>
      <c r="AA704" s="230"/>
      <c r="AB704" s="44" t="s">
        <v>1059</v>
      </c>
      <c r="AC704" s="231"/>
      <c r="AD704" s="231"/>
      <c r="AE704" s="246"/>
      <c r="AF704" s="1350"/>
      <c r="AG704" s="1352"/>
      <c r="AH704" s="1352"/>
      <c r="AI704" s="1350"/>
      <c r="AJ704" s="1352"/>
      <c r="AK704" s="1352"/>
      <c r="AL704" s="772"/>
    </row>
    <row r="705" spans="1:38" ht="11.25" customHeight="1">
      <c r="A705" s="1030" t="s">
        <v>1019</v>
      </c>
      <c r="E705" s="557"/>
      <c r="F705" s="1339"/>
      <c r="G705" s="1340"/>
      <c r="H705" s="1335" t="s">
        <v>89</v>
      </c>
      <c r="I705" s="1347"/>
      <c r="J705" s="1360"/>
      <c r="K705" s="1349"/>
      <c r="L705" s="1079"/>
      <c r="M705" s="1080"/>
      <c r="N705" s="229"/>
      <c r="O705" s="230"/>
      <c r="P705" s="44" t="s">
        <v>1060</v>
      </c>
      <c r="Q705" s="230"/>
      <c r="R705" s="230"/>
      <c r="S705" s="230"/>
      <c r="T705" s="230"/>
      <c r="U705" s="230"/>
      <c r="V705" s="230"/>
      <c r="W705" s="230"/>
      <c r="X705" s="230"/>
      <c r="Y705" s="230"/>
      <c r="Z705" s="230"/>
      <c r="AA705" s="230"/>
      <c r="AB705" s="230"/>
      <c r="AC705" s="230"/>
      <c r="AD705" s="230"/>
      <c r="AE705" s="247"/>
      <c r="AF705" s="1350"/>
      <c r="AG705" s="1352"/>
      <c r="AH705" s="1352"/>
      <c r="AI705" s="1350"/>
      <c r="AJ705" s="1352"/>
      <c r="AK705" s="1352"/>
      <c r="AL705" s="772"/>
    </row>
    <row r="706" spans="1:38" ht="11.25" customHeight="1">
      <c r="A706" s="1030" t="s">
        <v>1019</v>
      </c>
      <c r="B706" s="1030" t="s">
        <v>22</v>
      </c>
      <c r="E706" s="557"/>
      <c r="F706" s="1339"/>
      <c r="G706" s="1325" t="s">
        <v>103</v>
      </c>
      <c r="H706" s="1335" t="s">
        <v>115</v>
      </c>
      <c r="I706" s="1347" t="s">
        <v>1071</v>
      </c>
      <c r="J706" s="1360" t="s">
        <v>22</v>
      </c>
      <c r="K706" s="1349" t="s">
        <v>1151</v>
      </c>
      <c r="L706" s="1079" t="s">
        <v>19</v>
      </c>
      <c r="M706" s="1080"/>
      <c r="N706" s="242"/>
      <c r="O706" s="243" t="s">
        <v>384</v>
      </c>
      <c r="P706" s="244"/>
      <c r="Q706" s="244"/>
      <c r="R706" s="244"/>
      <c r="S706" s="244"/>
      <c r="T706" s="244"/>
      <c r="U706" s="244"/>
      <c r="V706" s="244"/>
      <c r="W706" s="244"/>
      <c r="X706" s="244"/>
      <c r="Y706" s="244"/>
      <c r="Z706" s="244"/>
      <c r="AA706" s="244"/>
      <c r="AB706" s="244"/>
      <c r="AC706" s="244"/>
      <c r="AD706" s="244"/>
      <c r="AE706" s="244"/>
      <c r="AF706" s="1350">
        <v>3</v>
      </c>
      <c r="AG706" s="1352" t="s">
        <v>1055</v>
      </c>
      <c r="AH706" s="1352" t="s">
        <v>1152</v>
      </c>
      <c r="AI706" s="1350">
        <v>3</v>
      </c>
      <c r="AJ706" s="1352" t="s">
        <v>1055</v>
      </c>
      <c r="AK706" s="1352" t="s">
        <v>1152</v>
      </c>
      <c r="AL706" s="772"/>
    </row>
    <row r="707" spans="1:38" ht="11.25" customHeight="1">
      <c r="A707" s="1030" t="s">
        <v>1019</v>
      </c>
      <c r="E707" s="557"/>
      <c r="F707" s="1339"/>
      <c r="G707" s="1340"/>
      <c r="H707" s="1335" t="s">
        <v>90</v>
      </c>
      <c r="I707" s="1347"/>
      <c r="J707" s="1360"/>
      <c r="K707" s="1349"/>
      <c r="L707" s="1079"/>
      <c r="M707" s="1080"/>
      <c r="N707" s="1355"/>
      <c r="O707" s="1356">
        <v>1</v>
      </c>
      <c r="P707" s="1357" t="s">
        <v>19</v>
      </c>
      <c r="Q707" s="1308" t="s">
        <v>22</v>
      </c>
      <c r="R707" s="1308" t="s">
        <v>22</v>
      </c>
      <c r="S707" s="1308" t="s">
        <v>22</v>
      </c>
      <c r="T707" s="1308" t="s">
        <v>22</v>
      </c>
      <c r="U707" s="1308" t="s">
        <v>22</v>
      </c>
      <c r="V707" s="1308" t="s">
        <v>22</v>
      </c>
      <c r="W707" s="1308" t="s">
        <v>22</v>
      </c>
      <c r="X707" s="1308" t="s">
        <v>22</v>
      </c>
      <c r="Y707" s="1308"/>
      <c r="Z707" s="229"/>
      <c r="AA707" s="230"/>
      <c r="AB707" s="230"/>
      <c r="AC707" s="231"/>
      <c r="AD707" s="231"/>
      <c r="AE707" s="245"/>
      <c r="AF707" s="1350"/>
      <c r="AG707" s="1352"/>
      <c r="AH707" s="1352"/>
      <c r="AI707" s="1350"/>
      <c r="AJ707" s="1352"/>
      <c r="AK707" s="1352"/>
      <c r="AL707" s="772"/>
    </row>
    <row r="708" spans="1:38" ht="11.25" customHeight="1">
      <c r="A708" s="1030" t="s">
        <v>1019</v>
      </c>
      <c r="E708" s="557"/>
      <c r="F708" s="1339"/>
      <c r="G708" s="1340"/>
      <c r="H708" s="1335" t="s">
        <v>90</v>
      </c>
      <c r="I708" s="1347"/>
      <c r="J708" s="1360"/>
      <c r="K708" s="1349"/>
      <c r="L708" s="1079"/>
      <c r="M708" s="1080"/>
      <c r="N708" s="1355"/>
      <c r="O708" s="1356"/>
      <c r="P708" s="1358"/>
      <c r="Q708" s="1308"/>
      <c r="R708" s="1308"/>
      <c r="S708" s="1361"/>
      <c r="T708" s="1308"/>
      <c r="U708" s="1308"/>
      <c r="V708" s="1308"/>
      <c r="W708" s="1308"/>
      <c r="X708" s="1308"/>
      <c r="Y708" s="1308"/>
      <c r="AA708" s="778">
        <v>1</v>
      </c>
      <c r="AB708" s="779" t="s">
        <v>1119</v>
      </c>
      <c r="AC708" s="237">
        <v>339.18302156813098</v>
      </c>
      <c r="AD708" s="779" t="str">
        <f>AB708</f>
        <v xml:space="preserve">  Прибыль направляемая на инвестиции</v>
      </c>
      <c r="AE708" s="237">
        <v>349.970155050985</v>
      </c>
      <c r="AF708" s="1350"/>
      <c r="AG708" s="1352"/>
      <c r="AH708" s="1352"/>
      <c r="AI708" s="1350"/>
      <c r="AJ708" s="1352"/>
      <c r="AK708" s="1352"/>
      <c r="AL708" s="772"/>
    </row>
    <row r="709" spans="1:38" ht="11.25" customHeight="1">
      <c r="A709" t="s">
        <v>1019</v>
      </c>
      <c r="E709" s="557"/>
      <c r="F709" s="1340"/>
      <c r="G709" s="1340"/>
      <c r="H709" s="1340"/>
      <c r="I709" s="1340"/>
      <c r="J709" s="1340"/>
      <c r="K709" s="1340"/>
      <c r="L709" s="1340"/>
      <c r="M709" s="1340"/>
      <c r="N709" s="1340"/>
      <c r="O709" s="1340"/>
      <c r="P709" s="1340"/>
      <c r="Q709" s="1340"/>
      <c r="R709" s="1340"/>
      <c r="S709" s="1340"/>
      <c r="T709" s="1340"/>
      <c r="U709" s="1340"/>
      <c r="V709" s="1340"/>
      <c r="W709" s="1340"/>
      <c r="X709" s="1340"/>
      <c r="Y709" s="1340"/>
      <c r="Z709" s="181" t="s">
        <v>103</v>
      </c>
      <c r="AA709" s="780" t="s">
        <v>102</v>
      </c>
      <c r="AB709" s="779" t="s">
        <v>1120</v>
      </c>
      <c r="AC709" s="237">
        <v>237.480175809488</v>
      </c>
      <c r="AD709" s="779" t="str">
        <f>AB709</f>
        <v xml:space="preserve">     Прочие амортизационные отчисления</v>
      </c>
      <c r="AE709" s="237">
        <v>245.03282494901501</v>
      </c>
      <c r="AF709" s="1351"/>
      <c r="AG709" s="1353"/>
      <c r="AH709" s="1353"/>
      <c r="AI709" s="1351"/>
      <c r="AJ709" s="1353"/>
      <c r="AK709" s="1354"/>
      <c r="AL709" s="772"/>
    </row>
    <row r="710" spans="1:38" ht="11.25" customHeight="1">
      <c r="A710" t="s">
        <v>1019</v>
      </c>
      <c r="E710" s="557"/>
      <c r="F710" s="1340"/>
      <c r="G710" s="1340"/>
      <c r="H710" s="1340"/>
      <c r="I710" s="1340"/>
      <c r="J710" s="1340"/>
      <c r="K710" s="1340"/>
      <c r="L710" s="1340"/>
      <c r="M710" s="1340"/>
      <c r="N710" s="1340"/>
      <c r="O710" s="1340"/>
      <c r="P710" s="1340"/>
      <c r="Q710" s="1340"/>
      <c r="R710" s="1340"/>
      <c r="S710" s="1340"/>
      <c r="T710" s="1340"/>
      <c r="U710" s="1340"/>
      <c r="V710" s="1340"/>
      <c r="W710" s="1340"/>
      <c r="X710" s="1340"/>
      <c r="Y710" s="1340"/>
      <c r="Z710" s="181" t="s">
        <v>103</v>
      </c>
      <c r="AA710" s="780" t="s">
        <v>89</v>
      </c>
      <c r="AB710" s="779" t="s">
        <v>1138</v>
      </c>
      <c r="AC710" s="237">
        <v>102.231635955713</v>
      </c>
      <c r="AD710" s="779" t="str">
        <f>AB710</f>
        <v xml:space="preserve">  Прочие собственные средства</v>
      </c>
      <c r="AE710" s="237">
        <v>15</v>
      </c>
      <c r="AF710" s="1351"/>
      <c r="AG710" s="1353"/>
      <c r="AH710" s="1353"/>
      <c r="AI710" s="1351"/>
      <c r="AJ710" s="1353"/>
      <c r="AK710" s="1354"/>
      <c r="AL710" s="772"/>
    </row>
    <row r="711" spans="1:38" ht="11.25" customHeight="1">
      <c r="A711" s="1030" t="s">
        <v>1019</v>
      </c>
      <c r="E711" s="557"/>
      <c r="F711" s="1339"/>
      <c r="G711" s="1340"/>
      <c r="H711" s="1335" t="s">
        <v>90</v>
      </c>
      <c r="I711" s="1347"/>
      <c r="J711" s="1360"/>
      <c r="K711" s="1349"/>
      <c r="L711" s="1079"/>
      <c r="M711" s="1080"/>
      <c r="N711" s="1355"/>
      <c r="O711" s="1356"/>
      <c r="P711" s="1359"/>
      <c r="Q711" s="1308"/>
      <c r="R711" s="1308"/>
      <c r="S711" s="1361"/>
      <c r="T711" s="1308"/>
      <c r="U711" s="1308"/>
      <c r="V711" s="1308"/>
      <c r="W711" s="1308"/>
      <c r="X711" s="1308"/>
      <c r="Y711" s="1308"/>
      <c r="Z711" s="229"/>
      <c r="AA711" s="230"/>
      <c r="AB711" s="44" t="s">
        <v>1059</v>
      </c>
      <c r="AC711" s="231"/>
      <c r="AD711" s="231"/>
      <c r="AE711" s="246"/>
      <c r="AF711" s="1350"/>
      <c r="AG711" s="1352"/>
      <c r="AH711" s="1352"/>
      <c r="AI711" s="1350"/>
      <c r="AJ711" s="1352"/>
      <c r="AK711" s="1352"/>
      <c r="AL711" s="772"/>
    </row>
    <row r="712" spans="1:38" ht="11.25" customHeight="1">
      <c r="A712" s="1030" t="s">
        <v>1019</v>
      </c>
      <c r="E712" s="557"/>
      <c r="F712" s="1339"/>
      <c r="G712" s="1340"/>
      <c r="H712" s="1335" t="s">
        <v>90</v>
      </c>
      <c r="I712" s="1347"/>
      <c r="J712" s="1360"/>
      <c r="K712" s="1349"/>
      <c r="L712" s="1079"/>
      <c r="M712" s="1080"/>
      <c r="N712" s="229"/>
      <c r="O712" s="230"/>
      <c r="P712" s="44" t="s">
        <v>1060</v>
      </c>
      <c r="Q712" s="230"/>
      <c r="R712" s="230"/>
      <c r="S712" s="230"/>
      <c r="T712" s="230"/>
      <c r="U712" s="230"/>
      <c r="V712" s="230"/>
      <c r="W712" s="230"/>
      <c r="X712" s="230"/>
      <c r="Y712" s="230"/>
      <c r="Z712" s="230"/>
      <c r="AA712" s="230"/>
      <c r="AB712" s="230"/>
      <c r="AC712" s="230"/>
      <c r="AD712" s="230"/>
      <c r="AE712" s="247"/>
      <c r="AF712" s="1350"/>
      <c r="AG712" s="1352"/>
      <c r="AH712" s="1352"/>
      <c r="AI712" s="1350"/>
      <c r="AJ712" s="1352"/>
      <c r="AK712" s="1352"/>
      <c r="AL712" s="772"/>
    </row>
    <row r="713" spans="1:38" ht="11.25" customHeight="1">
      <c r="A713" s="1030" t="s">
        <v>1019</v>
      </c>
      <c r="B713" s="1030" t="s">
        <v>1051</v>
      </c>
      <c r="E713" s="557"/>
      <c r="F713" s="1339"/>
      <c r="G713" s="1325" t="s">
        <v>103</v>
      </c>
      <c r="H713" s="1335" t="s">
        <v>91</v>
      </c>
      <c r="I713" s="1347" t="s">
        <v>1052</v>
      </c>
      <c r="J713" s="1363" t="s">
        <v>1053</v>
      </c>
      <c r="K713" s="1349" t="s">
        <v>1078</v>
      </c>
      <c r="L713" s="1079" t="s">
        <v>61</v>
      </c>
      <c r="M713" s="1364" t="s">
        <v>1018</v>
      </c>
      <c r="N713" s="242"/>
      <c r="O713" s="243" t="s">
        <v>384</v>
      </c>
      <c r="P713" s="244"/>
      <c r="Q713" s="244"/>
      <c r="R713" s="244"/>
      <c r="S713" s="244"/>
      <c r="T713" s="244"/>
      <c r="U713" s="244"/>
      <c r="V713" s="244"/>
      <c r="W713" s="244"/>
      <c r="X713" s="244"/>
      <c r="Y713" s="244"/>
      <c r="Z713" s="244"/>
      <c r="AA713" s="244"/>
      <c r="AB713" s="244"/>
      <c r="AC713" s="244"/>
      <c r="AD713" s="244"/>
      <c r="AE713" s="244"/>
      <c r="AF713" s="1350">
        <v>2</v>
      </c>
      <c r="AG713" s="1352" t="s">
        <v>1055</v>
      </c>
      <c r="AH713" s="1352" t="s">
        <v>1079</v>
      </c>
      <c r="AI713" s="1350">
        <v>2</v>
      </c>
      <c r="AJ713" s="1352" t="s">
        <v>1055</v>
      </c>
      <c r="AK713" s="1352" t="s">
        <v>1079</v>
      </c>
      <c r="AL713" s="772"/>
    </row>
    <row r="714" spans="1:38" ht="11.25" customHeight="1">
      <c r="A714" s="1030" t="s">
        <v>1019</v>
      </c>
      <c r="E714" s="557"/>
      <c r="F714" s="1339"/>
      <c r="G714" s="1340"/>
      <c r="H714" s="1335" t="s">
        <v>115</v>
      </c>
      <c r="I714" s="1347"/>
      <c r="J714" s="1363"/>
      <c r="K714" s="1349"/>
      <c r="L714" s="1079"/>
      <c r="M714" s="1364"/>
      <c r="N714" s="1355"/>
      <c r="O714" s="1356">
        <v>1</v>
      </c>
      <c r="P714" s="1357" t="s">
        <v>19</v>
      </c>
      <c r="Q714" s="1308" t="s">
        <v>22</v>
      </c>
      <c r="R714" s="1308" t="s">
        <v>22</v>
      </c>
      <c r="S714" s="1308" t="s">
        <v>22</v>
      </c>
      <c r="T714" s="1308" t="s">
        <v>22</v>
      </c>
      <c r="U714" s="1308" t="s">
        <v>22</v>
      </c>
      <c r="V714" s="1308" t="s">
        <v>22</v>
      </c>
      <c r="W714" s="1308" t="s">
        <v>22</v>
      </c>
      <c r="X714" s="1308" t="s">
        <v>22</v>
      </c>
      <c r="Y714" s="1308"/>
      <c r="Z714" s="229"/>
      <c r="AA714" s="230"/>
      <c r="AB714" s="230"/>
      <c r="AC714" s="231"/>
      <c r="AD714" s="231"/>
      <c r="AE714" s="245"/>
      <c r="AF714" s="1350"/>
      <c r="AG714" s="1352"/>
      <c r="AH714" s="1352"/>
      <c r="AI714" s="1350"/>
      <c r="AJ714" s="1352"/>
      <c r="AK714" s="1352"/>
      <c r="AL714" s="772"/>
    </row>
    <row r="715" spans="1:38" ht="11.25" customHeight="1">
      <c r="A715" s="1030" t="s">
        <v>1019</v>
      </c>
      <c r="E715" s="557"/>
      <c r="F715" s="1339"/>
      <c r="G715" s="1340"/>
      <c r="H715" s="1335" t="s">
        <v>115</v>
      </c>
      <c r="I715" s="1347"/>
      <c r="J715" s="1363"/>
      <c r="K715" s="1349"/>
      <c r="L715" s="1079"/>
      <c r="M715" s="1364"/>
      <c r="N715" s="1355"/>
      <c r="O715" s="1356"/>
      <c r="P715" s="1358"/>
      <c r="Q715" s="1308"/>
      <c r="R715" s="1308"/>
      <c r="S715" s="1361"/>
      <c r="T715" s="1308"/>
      <c r="U715" s="1308"/>
      <c r="V715" s="1308"/>
      <c r="W715" s="1308"/>
      <c r="X715" s="1308"/>
      <c r="Y715" s="1308"/>
      <c r="AA715" s="778">
        <v>1</v>
      </c>
      <c r="AB715" s="779" t="s">
        <v>1119</v>
      </c>
      <c r="AC715" s="237">
        <v>19384.792776877199</v>
      </c>
      <c r="AD715" s="779" t="str">
        <f>AB715</f>
        <v xml:space="preserve">  Прибыль направляемая на инвестиции</v>
      </c>
      <c r="AE715" s="237">
        <v>19384.792776877301</v>
      </c>
      <c r="AF715" s="1350"/>
      <c r="AG715" s="1352"/>
      <c r="AH715" s="1352"/>
      <c r="AI715" s="1350"/>
      <c r="AJ715" s="1352"/>
      <c r="AK715" s="1352"/>
      <c r="AL715" s="772"/>
    </row>
    <row r="716" spans="1:38" ht="11.25" customHeight="1">
      <c r="A716" t="s">
        <v>1019</v>
      </c>
      <c r="E716" s="557"/>
      <c r="F716" s="1340"/>
      <c r="G716" s="1340"/>
      <c r="H716" s="1340"/>
      <c r="I716" s="1340"/>
      <c r="J716" s="1340"/>
      <c r="K716" s="1340"/>
      <c r="L716" s="1340"/>
      <c r="M716" s="1365"/>
      <c r="N716" s="1340"/>
      <c r="O716" s="1340"/>
      <c r="P716" s="1340"/>
      <c r="Q716" s="1340"/>
      <c r="R716" s="1340"/>
      <c r="S716" s="1340"/>
      <c r="T716" s="1340"/>
      <c r="U716" s="1340"/>
      <c r="V716" s="1340"/>
      <c r="W716" s="1340"/>
      <c r="X716" s="1340"/>
      <c r="Y716" s="1340"/>
      <c r="Z716" s="181" t="s">
        <v>103</v>
      </c>
      <c r="AA716" s="780" t="s">
        <v>102</v>
      </c>
      <c r="AB716" s="779" t="s">
        <v>1120</v>
      </c>
      <c r="AC716" s="237">
        <v>13572.330287642701</v>
      </c>
      <c r="AD716" s="779" t="str">
        <f>AB716</f>
        <v xml:space="preserve">     Прочие амортизационные отчисления</v>
      </c>
      <c r="AE716" s="237">
        <v>13572.330287642701</v>
      </c>
      <c r="AF716" s="1351"/>
      <c r="AG716" s="1353"/>
      <c r="AH716" s="1353"/>
      <c r="AI716" s="1351"/>
      <c r="AJ716" s="1353"/>
      <c r="AK716" s="1354"/>
      <c r="AL716" s="772"/>
    </row>
    <row r="717" spans="1:38" ht="11.25" customHeight="1">
      <c r="A717" t="s">
        <v>1019</v>
      </c>
      <c r="E717" s="557"/>
      <c r="F717" s="1340"/>
      <c r="G717" s="1340"/>
      <c r="H717" s="1340"/>
      <c r="I717" s="1340"/>
      <c r="J717" s="1340"/>
      <c r="K717" s="1340"/>
      <c r="L717" s="1340"/>
      <c r="M717" s="1365"/>
      <c r="N717" s="1340"/>
      <c r="O717" s="1340"/>
      <c r="P717" s="1340"/>
      <c r="Q717" s="1340"/>
      <c r="R717" s="1340"/>
      <c r="S717" s="1340"/>
      <c r="T717" s="1340"/>
      <c r="U717" s="1340"/>
      <c r="V717" s="1340"/>
      <c r="W717" s="1340"/>
      <c r="X717" s="1340"/>
      <c r="Y717" s="1340"/>
      <c r="Z717" s="181" t="s">
        <v>103</v>
      </c>
      <c r="AA717" s="780" t="s">
        <v>89</v>
      </c>
      <c r="AB717" s="779" t="s">
        <v>1138</v>
      </c>
      <c r="AC717" s="237">
        <v>5842.6836021466097</v>
      </c>
      <c r="AD717" s="779" t="str">
        <f>AB717</f>
        <v xml:space="preserve">  Прочие собственные средства</v>
      </c>
      <c r="AE717" s="237">
        <v>6442.21857</v>
      </c>
      <c r="AF717" s="1351"/>
      <c r="AG717" s="1353"/>
      <c r="AH717" s="1353"/>
      <c r="AI717" s="1351"/>
      <c r="AJ717" s="1353"/>
      <c r="AK717" s="1354"/>
      <c r="AL717" s="772"/>
    </row>
    <row r="718" spans="1:38" ht="11.25" customHeight="1">
      <c r="A718" t="s">
        <v>1019</v>
      </c>
      <c r="E718" s="557"/>
      <c r="F718" s="1340"/>
      <c r="G718" s="1340"/>
      <c r="H718" s="1340"/>
      <c r="I718" s="1340"/>
      <c r="J718" s="1340"/>
      <c r="K718" s="1340"/>
      <c r="L718" s="1340"/>
      <c r="M718" s="1365"/>
      <c r="N718" s="1340"/>
      <c r="O718" s="1340"/>
      <c r="P718" s="1340"/>
      <c r="Q718" s="1340"/>
      <c r="R718" s="1340"/>
      <c r="S718" s="1340"/>
      <c r="T718" s="1340"/>
      <c r="U718" s="1340"/>
      <c r="V718" s="1340"/>
      <c r="W718" s="1340"/>
      <c r="X718" s="1340"/>
      <c r="Y718" s="1340"/>
      <c r="Z718" s="181" t="s">
        <v>103</v>
      </c>
      <c r="AA718" s="780" t="s">
        <v>90</v>
      </c>
      <c r="AB718" s="779" t="s">
        <v>1057</v>
      </c>
      <c r="AC718" s="237">
        <v>0</v>
      </c>
      <c r="AD718" s="779" t="str">
        <f>AB718</f>
        <v xml:space="preserve">  Кредиты</v>
      </c>
      <c r="AE718" s="237">
        <v>8286.9781454799904</v>
      </c>
      <c r="AF718" s="1351"/>
      <c r="AG718" s="1353"/>
      <c r="AH718" s="1353"/>
      <c r="AI718" s="1351"/>
      <c r="AJ718" s="1353"/>
      <c r="AK718" s="1354"/>
      <c r="AL718" s="772"/>
    </row>
    <row r="719" spans="1:38" ht="11.25" customHeight="1">
      <c r="A719" s="1030" t="s">
        <v>1019</v>
      </c>
      <c r="E719" s="557"/>
      <c r="F719" s="1339"/>
      <c r="G719" s="1340"/>
      <c r="H719" s="1335" t="s">
        <v>115</v>
      </c>
      <c r="I719" s="1347"/>
      <c r="J719" s="1363"/>
      <c r="K719" s="1349"/>
      <c r="L719" s="1079"/>
      <c r="M719" s="1364"/>
      <c r="N719" s="1355"/>
      <c r="O719" s="1356"/>
      <c r="P719" s="1359"/>
      <c r="Q719" s="1308"/>
      <c r="R719" s="1308"/>
      <c r="S719" s="1361"/>
      <c r="T719" s="1308"/>
      <c r="U719" s="1308"/>
      <c r="V719" s="1308"/>
      <c r="W719" s="1308"/>
      <c r="X719" s="1308"/>
      <c r="Y719" s="1308"/>
      <c r="Z719" s="229"/>
      <c r="AA719" s="230"/>
      <c r="AB719" s="44" t="s">
        <v>1059</v>
      </c>
      <c r="AC719" s="231"/>
      <c r="AD719" s="231"/>
      <c r="AE719" s="246"/>
      <c r="AF719" s="1350"/>
      <c r="AG719" s="1352"/>
      <c r="AH719" s="1352"/>
      <c r="AI719" s="1350"/>
      <c r="AJ719" s="1352"/>
      <c r="AK719" s="1352"/>
      <c r="AL719" s="772"/>
    </row>
    <row r="720" spans="1:38" ht="11.25" customHeight="1">
      <c r="A720" s="1030" t="s">
        <v>1019</v>
      </c>
      <c r="E720" s="557"/>
      <c r="F720" s="1339"/>
      <c r="G720" s="1340"/>
      <c r="H720" s="1335" t="s">
        <v>115</v>
      </c>
      <c r="I720" s="1347"/>
      <c r="J720" s="1363"/>
      <c r="K720" s="1349"/>
      <c r="L720" s="1079"/>
      <c r="M720" s="1364"/>
      <c r="N720" s="229"/>
      <c r="O720" s="230"/>
      <c r="P720" s="44" t="s">
        <v>1060</v>
      </c>
      <c r="Q720" s="230"/>
      <c r="R720" s="230"/>
      <c r="S720" s="230"/>
      <c r="T720" s="230"/>
      <c r="U720" s="230"/>
      <c r="V720" s="230"/>
      <c r="W720" s="230"/>
      <c r="X720" s="230"/>
      <c r="Y720" s="230"/>
      <c r="Z720" s="230"/>
      <c r="AA720" s="230"/>
      <c r="AB720" s="230"/>
      <c r="AC720" s="230"/>
      <c r="AD720" s="230"/>
      <c r="AE720" s="247"/>
      <c r="AF720" s="1350"/>
      <c r="AG720" s="1352"/>
      <c r="AH720" s="1352"/>
      <c r="AI720" s="1350"/>
      <c r="AJ720" s="1352"/>
      <c r="AK720" s="1352"/>
      <c r="AL720" s="772"/>
    </row>
    <row r="721" spans="1:38" ht="11.25" customHeight="1">
      <c r="A721" s="1030" t="s">
        <v>1019</v>
      </c>
      <c r="B721" s="1030" t="s">
        <v>1051</v>
      </c>
      <c r="E721" s="557"/>
      <c r="F721" s="1339"/>
      <c r="G721" s="1325" t="s">
        <v>103</v>
      </c>
      <c r="H721" s="1335" t="s">
        <v>92</v>
      </c>
      <c r="I721" s="1347" t="s">
        <v>1052</v>
      </c>
      <c r="J721" s="1363" t="s">
        <v>1053</v>
      </c>
      <c r="K721" s="1349" t="s">
        <v>1102</v>
      </c>
      <c r="L721" s="1079" t="s">
        <v>61</v>
      </c>
      <c r="M721" s="1364" t="s">
        <v>1018</v>
      </c>
      <c r="N721" s="242"/>
      <c r="O721" s="243" t="s">
        <v>384</v>
      </c>
      <c r="P721" s="244"/>
      <c r="Q721" s="244"/>
      <c r="R721" s="244"/>
      <c r="S721" s="244"/>
      <c r="T721" s="244"/>
      <c r="U721" s="244"/>
      <c r="V721" s="244"/>
      <c r="W721" s="244"/>
      <c r="X721" s="244"/>
      <c r="Y721" s="244"/>
      <c r="Z721" s="244"/>
      <c r="AA721" s="244"/>
      <c r="AB721" s="244"/>
      <c r="AC721" s="244"/>
      <c r="AD721" s="244"/>
      <c r="AE721" s="244"/>
      <c r="AF721" s="1350">
        <v>5</v>
      </c>
      <c r="AG721" s="1352" t="s">
        <v>1055</v>
      </c>
      <c r="AH721" s="1352" t="s">
        <v>1103</v>
      </c>
      <c r="AI721" s="1350">
        <v>5</v>
      </c>
      <c r="AJ721" s="1352" t="s">
        <v>1055</v>
      </c>
      <c r="AK721" s="1352" t="s">
        <v>1103</v>
      </c>
      <c r="AL721" s="772"/>
    </row>
    <row r="722" spans="1:38" ht="11.25" customHeight="1">
      <c r="A722" s="1030" t="s">
        <v>1019</v>
      </c>
      <c r="E722" s="557"/>
      <c r="F722" s="1339"/>
      <c r="G722" s="1340"/>
      <c r="H722" s="1335" t="s">
        <v>91</v>
      </c>
      <c r="I722" s="1347"/>
      <c r="J722" s="1363"/>
      <c r="K722" s="1349"/>
      <c r="L722" s="1079"/>
      <c r="M722" s="1364"/>
      <c r="N722" s="1355"/>
      <c r="O722" s="1356">
        <v>1</v>
      </c>
      <c r="P722" s="1357" t="s">
        <v>19</v>
      </c>
      <c r="Q722" s="1308" t="s">
        <v>22</v>
      </c>
      <c r="R722" s="1308" t="s">
        <v>22</v>
      </c>
      <c r="S722" s="1308" t="s">
        <v>22</v>
      </c>
      <c r="T722" s="1308" t="s">
        <v>22</v>
      </c>
      <c r="U722" s="1308" t="s">
        <v>22</v>
      </c>
      <c r="V722" s="1308" t="s">
        <v>22</v>
      </c>
      <c r="W722" s="1308" t="s">
        <v>22</v>
      </c>
      <c r="X722" s="1308" t="s">
        <v>22</v>
      </c>
      <c r="Y722" s="1308"/>
      <c r="Z722" s="229"/>
      <c r="AA722" s="230"/>
      <c r="AB722" s="230"/>
      <c r="AC722" s="231"/>
      <c r="AD722" s="231"/>
      <c r="AE722" s="245"/>
      <c r="AF722" s="1350"/>
      <c r="AG722" s="1352"/>
      <c r="AH722" s="1352"/>
      <c r="AI722" s="1350"/>
      <c r="AJ722" s="1352"/>
      <c r="AK722" s="1352"/>
      <c r="AL722" s="772"/>
    </row>
    <row r="723" spans="1:38" ht="11.25" customHeight="1">
      <c r="A723" s="1030" t="s">
        <v>1019</v>
      </c>
      <c r="E723" s="557"/>
      <c r="F723" s="1339"/>
      <c r="G723" s="1340"/>
      <c r="H723" s="1335" t="s">
        <v>91</v>
      </c>
      <c r="I723" s="1347"/>
      <c r="J723" s="1363"/>
      <c r="K723" s="1349"/>
      <c r="L723" s="1079"/>
      <c r="M723" s="1364"/>
      <c r="N723" s="1355"/>
      <c r="O723" s="1356"/>
      <c r="P723" s="1358"/>
      <c r="Q723" s="1308"/>
      <c r="R723" s="1308"/>
      <c r="S723" s="1361"/>
      <c r="T723" s="1308"/>
      <c r="U723" s="1308"/>
      <c r="V723" s="1308"/>
      <c r="W723" s="1308"/>
      <c r="X723" s="1308"/>
      <c r="Y723" s="1308"/>
      <c r="AA723" s="778">
        <v>1</v>
      </c>
      <c r="AB723" s="779" t="s">
        <v>1119</v>
      </c>
      <c r="AC723" s="237">
        <v>373.54122248801798</v>
      </c>
      <c r="AD723" s="779" t="str">
        <f>AB723</f>
        <v xml:space="preserve">  Прибыль направляемая на инвестиции</v>
      </c>
      <c r="AE723" s="237">
        <v>373.54122248800002</v>
      </c>
      <c r="AF723" s="1350"/>
      <c r="AG723" s="1352"/>
      <c r="AH723" s="1352"/>
      <c r="AI723" s="1350"/>
      <c r="AJ723" s="1352"/>
      <c r="AK723" s="1352"/>
      <c r="AL723" s="772"/>
    </row>
    <row r="724" spans="1:38" ht="11.25" customHeight="1">
      <c r="A724" t="s">
        <v>1019</v>
      </c>
      <c r="E724" s="557"/>
      <c r="F724" s="1340"/>
      <c r="G724" s="1340"/>
      <c r="H724" s="1340"/>
      <c r="I724" s="1340"/>
      <c r="J724" s="1340"/>
      <c r="K724" s="1340"/>
      <c r="L724" s="1340"/>
      <c r="M724" s="1365"/>
      <c r="N724" s="1340"/>
      <c r="O724" s="1340"/>
      <c r="P724" s="1340"/>
      <c r="Q724" s="1340"/>
      <c r="R724" s="1340"/>
      <c r="S724" s="1340"/>
      <c r="T724" s="1340"/>
      <c r="U724" s="1340"/>
      <c r="V724" s="1340"/>
      <c r="W724" s="1340"/>
      <c r="X724" s="1340"/>
      <c r="Y724" s="1340"/>
      <c r="Z724" s="181" t="s">
        <v>103</v>
      </c>
      <c r="AA724" s="780" t="s">
        <v>102</v>
      </c>
      <c r="AB724" s="779" t="s">
        <v>1120</v>
      </c>
      <c r="AC724" s="237">
        <v>261.53619004401401</v>
      </c>
      <c r="AD724" s="779" t="str">
        <f>AB724</f>
        <v xml:space="preserve">     Прочие амортизационные отчисления</v>
      </c>
      <c r="AE724" s="237">
        <v>261.53619004400002</v>
      </c>
      <c r="AF724" s="1351"/>
      <c r="AG724" s="1353"/>
      <c r="AH724" s="1353"/>
      <c r="AI724" s="1351"/>
      <c r="AJ724" s="1353"/>
      <c r="AK724" s="1354"/>
      <c r="AL724" s="772"/>
    </row>
    <row r="725" spans="1:38" ht="11.25" customHeight="1">
      <c r="A725" t="s">
        <v>1019</v>
      </c>
      <c r="E725" s="557"/>
      <c r="F725" s="1340"/>
      <c r="G725" s="1340"/>
      <c r="H725" s="1340"/>
      <c r="I725" s="1340"/>
      <c r="J725" s="1340"/>
      <c r="K725" s="1340"/>
      <c r="L725" s="1340"/>
      <c r="M725" s="1365"/>
      <c r="N725" s="1340"/>
      <c r="O725" s="1340"/>
      <c r="P725" s="1340"/>
      <c r="Q725" s="1340"/>
      <c r="R725" s="1340"/>
      <c r="S725" s="1340"/>
      <c r="T725" s="1340"/>
      <c r="U725" s="1340"/>
      <c r="V725" s="1340"/>
      <c r="W725" s="1340"/>
      <c r="X725" s="1340"/>
      <c r="Y725" s="1340"/>
      <c r="Z725" s="181" t="s">
        <v>103</v>
      </c>
      <c r="AA725" s="780" t="s">
        <v>89</v>
      </c>
      <c r="AB725" s="779" t="s">
        <v>1138</v>
      </c>
      <c r="AC725" s="237">
        <v>112.587387467968</v>
      </c>
      <c r="AD725" s="779" t="str">
        <f>AB725</f>
        <v xml:space="preserve">  Прочие собственные средства</v>
      </c>
      <c r="AE725" s="237">
        <v>0</v>
      </c>
      <c r="AF725" s="1351"/>
      <c r="AG725" s="1353"/>
      <c r="AH725" s="1353"/>
      <c r="AI725" s="1351"/>
      <c r="AJ725" s="1353"/>
      <c r="AK725" s="1354"/>
      <c r="AL725" s="772"/>
    </row>
    <row r="726" spans="1:38" ht="11.25" customHeight="1">
      <c r="A726" t="s">
        <v>1019</v>
      </c>
      <c r="E726" s="557"/>
      <c r="F726" s="1340"/>
      <c r="G726" s="1340"/>
      <c r="H726" s="1340"/>
      <c r="I726" s="1340"/>
      <c r="J726" s="1340"/>
      <c r="K726" s="1340"/>
      <c r="L726" s="1340"/>
      <c r="M726" s="1365"/>
      <c r="N726" s="1340"/>
      <c r="O726" s="1340"/>
      <c r="P726" s="1340"/>
      <c r="Q726" s="1340"/>
      <c r="R726" s="1340"/>
      <c r="S726" s="1340"/>
      <c r="T726" s="1340"/>
      <c r="U726" s="1340"/>
      <c r="V726" s="1340"/>
      <c r="W726" s="1340"/>
      <c r="X726" s="1340"/>
      <c r="Y726" s="1340"/>
      <c r="Z726" s="181" t="s">
        <v>103</v>
      </c>
      <c r="AA726" s="780" t="s">
        <v>90</v>
      </c>
      <c r="AB726" s="779" t="s">
        <v>1057</v>
      </c>
      <c r="AC726" s="237">
        <v>0</v>
      </c>
      <c r="AD726" s="779" t="str">
        <f>AB726</f>
        <v xml:space="preserve">  Кредиты</v>
      </c>
      <c r="AE726" s="237">
        <v>9673.1599474680006</v>
      </c>
      <c r="AF726" s="1351"/>
      <c r="AG726" s="1353"/>
      <c r="AH726" s="1353"/>
      <c r="AI726" s="1351"/>
      <c r="AJ726" s="1353"/>
      <c r="AK726" s="1354"/>
      <c r="AL726" s="772"/>
    </row>
    <row r="727" spans="1:38" ht="11.25" customHeight="1">
      <c r="A727" s="1030" t="s">
        <v>1019</v>
      </c>
      <c r="E727" s="557"/>
      <c r="F727" s="1339"/>
      <c r="G727" s="1340"/>
      <c r="H727" s="1335" t="s">
        <v>91</v>
      </c>
      <c r="I727" s="1347"/>
      <c r="J727" s="1363"/>
      <c r="K727" s="1349"/>
      <c r="L727" s="1079"/>
      <c r="M727" s="1364"/>
      <c r="N727" s="1355"/>
      <c r="O727" s="1356"/>
      <c r="P727" s="1359"/>
      <c r="Q727" s="1308"/>
      <c r="R727" s="1308"/>
      <c r="S727" s="1361"/>
      <c r="T727" s="1308"/>
      <c r="U727" s="1308"/>
      <c r="V727" s="1308"/>
      <c r="W727" s="1308"/>
      <c r="X727" s="1308"/>
      <c r="Y727" s="1308"/>
      <c r="Z727" s="229"/>
      <c r="AA727" s="230"/>
      <c r="AB727" s="44" t="s">
        <v>1059</v>
      </c>
      <c r="AC727" s="231"/>
      <c r="AD727" s="231"/>
      <c r="AE727" s="246"/>
      <c r="AF727" s="1350"/>
      <c r="AG727" s="1352"/>
      <c r="AH727" s="1352"/>
      <c r="AI727" s="1350"/>
      <c r="AJ727" s="1352"/>
      <c r="AK727" s="1352"/>
      <c r="AL727" s="772"/>
    </row>
    <row r="728" spans="1:38" ht="11.25" customHeight="1">
      <c r="A728" s="1030" t="s">
        <v>1019</v>
      </c>
      <c r="E728" s="557"/>
      <c r="F728" s="1339"/>
      <c r="G728" s="1340"/>
      <c r="H728" s="1335" t="s">
        <v>91</v>
      </c>
      <c r="I728" s="1347"/>
      <c r="J728" s="1363"/>
      <c r="K728" s="1349"/>
      <c r="L728" s="1079"/>
      <c r="M728" s="1364"/>
      <c r="N728" s="229"/>
      <c r="O728" s="230"/>
      <c r="P728" s="44" t="s">
        <v>1060</v>
      </c>
      <c r="Q728" s="230"/>
      <c r="R728" s="230"/>
      <c r="S728" s="230"/>
      <c r="T728" s="230"/>
      <c r="U728" s="230"/>
      <c r="V728" s="230"/>
      <c r="W728" s="230"/>
      <c r="X728" s="230"/>
      <c r="Y728" s="230"/>
      <c r="Z728" s="230"/>
      <c r="AA728" s="230"/>
      <c r="AB728" s="230"/>
      <c r="AC728" s="230"/>
      <c r="AD728" s="230"/>
      <c r="AE728" s="247"/>
      <c r="AF728" s="1350"/>
      <c r="AG728" s="1352"/>
      <c r="AH728" s="1352"/>
      <c r="AI728" s="1350"/>
      <c r="AJ728" s="1352"/>
      <c r="AK728" s="1352"/>
      <c r="AL728" s="772"/>
    </row>
    <row r="729" spans="1:38" ht="11.25" customHeight="1">
      <c r="A729" s="1030" t="s">
        <v>1019</v>
      </c>
      <c r="B729" s="1030" t="s">
        <v>1051</v>
      </c>
      <c r="E729" s="557"/>
      <c r="F729" s="1339"/>
      <c r="G729" s="1325" t="s">
        <v>103</v>
      </c>
      <c r="H729" s="1335" t="s">
        <v>116</v>
      </c>
      <c r="I729" s="1347" t="s">
        <v>1052</v>
      </c>
      <c r="J729" s="1363" t="s">
        <v>1053</v>
      </c>
      <c r="K729" s="1349" t="s">
        <v>1110</v>
      </c>
      <c r="L729" s="1079" t="s">
        <v>61</v>
      </c>
      <c r="M729" s="1364" t="s">
        <v>1018</v>
      </c>
      <c r="N729" s="242"/>
      <c r="O729" s="243" t="s">
        <v>384</v>
      </c>
      <c r="P729" s="244"/>
      <c r="Q729" s="244"/>
      <c r="R729" s="244"/>
      <c r="S729" s="244"/>
      <c r="T729" s="244"/>
      <c r="U729" s="244"/>
      <c r="V729" s="244"/>
      <c r="W729" s="244"/>
      <c r="X729" s="244"/>
      <c r="Y729" s="244"/>
      <c r="Z729" s="244"/>
      <c r="AA729" s="244"/>
      <c r="AB729" s="244"/>
      <c r="AC729" s="244"/>
      <c r="AD729" s="244"/>
      <c r="AE729" s="244"/>
      <c r="AF729" s="1350">
        <v>1</v>
      </c>
      <c r="AG729" s="1352" t="s">
        <v>1055</v>
      </c>
      <c r="AH729" s="1352" t="s">
        <v>1107</v>
      </c>
      <c r="AI729" s="1350">
        <v>1</v>
      </c>
      <c r="AJ729" s="1352" t="s">
        <v>1055</v>
      </c>
      <c r="AK729" s="1352" t="s">
        <v>1107</v>
      </c>
      <c r="AL729" s="772"/>
    </row>
    <row r="730" spans="1:38" ht="11.25" customHeight="1">
      <c r="A730" s="1030" t="s">
        <v>1019</v>
      </c>
      <c r="E730" s="557"/>
      <c r="F730" s="1339"/>
      <c r="G730" s="1340"/>
      <c r="H730" s="1335" t="s">
        <v>92</v>
      </c>
      <c r="I730" s="1347"/>
      <c r="J730" s="1363"/>
      <c r="K730" s="1349"/>
      <c r="L730" s="1079"/>
      <c r="M730" s="1364"/>
      <c r="N730" s="1355"/>
      <c r="O730" s="1356">
        <v>1</v>
      </c>
      <c r="P730" s="1357" t="s">
        <v>19</v>
      </c>
      <c r="Q730" s="1308" t="s">
        <v>22</v>
      </c>
      <c r="R730" s="1308" t="s">
        <v>22</v>
      </c>
      <c r="S730" s="1308" t="s">
        <v>22</v>
      </c>
      <c r="T730" s="1308" t="s">
        <v>22</v>
      </c>
      <c r="U730" s="1308" t="s">
        <v>22</v>
      </c>
      <c r="V730" s="1308" t="s">
        <v>22</v>
      </c>
      <c r="W730" s="1308" t="s">
        <v>22</v>
      </c>
      <c r="X730" s="1308" t="s">
        <v>22</v>
      </c>
      <c r="Y730" s="1308"/>
      <c r="Z730" s="229"/>
      <c r="AA730" s="230"/>
      <c r="AB730" s="230"/>
      <c r="AC730" s="231"/>
      <c r="AD730" s="231"/>
      <c r="AE730" s="245"/>
      <c r="AF730" s="1350"/>
      <c r="AG730" s="1352"/>
      <c r="AH730" s="1352"/>
      <c r="AI730" s="1350"/>
      <c r="AJ730" s="1352"/>
      <c r="AK730" s="1352"/>
      <c r="AL730" s="772"/>
    </row>
    <row r="731" spans="1:38" ht="11.25" customHeight="1">
      <c r="A731" s="1030" t="s">
        <v>1019</v>
      </c>
      <c r="E731" s="557"/>
      <c r="F731" s="1339"/>
      <c r="G731" s="1340"/>
      <c r="H731" s="1335" t="s">
        <v>92</v>
      </c>
      <c r="I731" s="1347"/>
      <c r="J731" s="1363"/>
      <c r="K731" s="1349"/>
      <c r="L731" s="1079"/>
      <c r="M731" s="1364"/>
      <c r="N731" s="1355"/>
      <c r="O731" s="1356"/>
      <c r="P731" s="1358"/>
      <c r="Q731" s="1308"/>
      <c r="R731" s="1308"/>
      <c r="S731" s="1361"/>
      <c r="T731" s="1308"/>
      <c r="U731" s="1308"/>
      <c r="V731" s="1308"/>
      <c r="W731" s="1308"/>
      <c r="X731" s="1308"/>
      <c r="Y731" s="1308"/>
      <c r="AA731" s="778">
        <v>1</v>
      </c>
      <c r="AB731" s="779" t="s">
        <v>1119</v>
      </c>
      <c r="AC731" s="237">
        <v>85278.772238107704</v>
      </c>
      <c r="AD731" s="779" t="str">
        <f>AB731</f>
        <v xml:space="preserve">  Прибыль направляемая на инвестиции</v>
      </c>
      <c r="AE731" s="237">
        <v>85278.772238107704</v>
      </c>
      <c r="AF731" s="1350"/>
      <c r="AG731" s="1352"/>
      <c r="AH731" s="1352"/>
      <c r="AI731" s="1350"/>
      <c r="AJ731" s="1352"/>
      <c r="AK731" s="1352"/>
      <c r="AL731" s="772"/>
    </row>
    <row r="732" spans="1:38" ht="11.25" customHeight="1">
      <c r="A732" t="s">
        <v>1019</v>
      </c>
      <c r="E732" s="557"/>
      <c r="F732" s="1340"/>
      <c r="G732" s="1340"/>
      <c r="H732" s="1340"/>
      <c r="I732" s="1340"/>
      <c r="J732" s="1340"/>
      <c r="K732" s="1340"/>
      <c r="L732" s="1340"/>
      <c r="M732" s="1365"/>
      <c r="N732" s="1340"/>
      <c r="O732" s="1340"/>
      <c r="P732" s="1340"/>
      <c r="Q732" s="1340"/>
      <c r="R732" s="1340"/>
      <c r="S732" s="1340"/>
      <c r="T732" s="1340"/>
      <c r="U732" s="1340"/>
      <c r="V732" s="1340"/>
      <c r="W732" s="1340"/>
      <c r="X732" s="1340"/>
      <c r="Y732" s="1340"/>
      <c r="Z732" s="181" t="s">
        <v>103</v>
      </c>
      <c r="AA732" s="780" t="s">
        <v>102</v>
      </c>
      <c r="AB732" s="779" t="s">
        <v>1120</v>
      </c>
      <c r="AC732" s="237">
        <v>59708.229882182102</v>
      </c>
      <c r="AD732" s="779" t="str">
        <f>AB732</f>
        <v xml:space="preserve">     Прочие амортизационные отчисления</v>
      </c>
      <c r="AE732" s="237">
        <v>59708.229882182102</v>
      </c>
      <c r="AF732" s="1351"/>
      <c r="AG732" s="1353"/>
      <c r="AH732" s="1353"/>
      <c r="AI732" s="1351"/>
      <c r="AJ732" s="1353"/>
      <c r="AK732" s="1354"/>
      <c r="AL732" s="772"/>
    </row>
    <row r="733" spans="1:38" ht="11.25" customHeight="1">
      <c r="A733" t="s">
        <v>1019</v>
      </c>
      <c r="E733" s="557"/>
      <c r="F733" s="1340"/>
      <c r="G733" s="1340"/>
      <c r="H733" s="1340"/>
      <c r="I733" s="1340"/>
      <c r="J733" s="1340"/>
      <c r="K733" s="1340"/>
      <c r="L733" s="1340"/>
      <c r="M733" s="1365"/>
      <c r="N733" s="1340"/>
      <c r="O733" s="1340"/>
      <c r="P733" s="1340"/>
      <c r="Q733" s="1340"/>
      <c r="R733" s="1340"/>
      <c r="S733" s="1340"/>
      <c r="T733" s="1340"/>
      <c r="U733" s="1340"/>
      <c r="V733" s="1340"/>
      <c r="W733" s="1340"/>
      <c r="X733" s="1340"/>
      <c r="Y733" s="1340"/>
      <c r="Z733" s="181" t="s">
        <v>103</v>
      </c>
      <c r="AA733" s="780" t="s">
        <v>89</v>
      </c>
      <c r="AB733" s="779" t="s">
        <v>1138</v>
      </c>
      <c r="AC733" s="237">
        <v>25703.492933962199</v>
      </c>
      <c r="AD733" s="779" t="str">
        <f>AB733</f>
        <v xml:space="preserve">  Прочие собственные средства</v>
      </c>
      <c r="AE733" s="237">
        <v>27930.912199999999</v>
      </c>
      <c r="AF733" s="1351"/>
      <c r="AG733" s="1353"/>
      <c r="AH733" s="1353"/>
      <c r="AI733" s="1351"/>
      <c r="AJ733" s="1353"/>
      <c r="AK733" s="1354"/>
      <c r="AL733" s="772"/>
    </row>
    <row r="734" spans="1:38" ht="11.25" customHeight="1">
      <c r="A734" t="s">
        <v>1019</v>
      </c>
      <c r="E734" s="557"/>
      <c r="F734" s="1340"/>
      <c r="G734" s="1340"/>
      <c r="H734" s="1340"/>
      <c r="I734" s="1340"/>
      <c r="J734" s="1340"/>
      <c r="K734" s="1340"/>
      <c r="L734" s="1340"/>
      <c r="M734" s="1365"/>
      <c r="N734" s="1340"/>
      <c r="O734" s="1340"/>
      <c r="P734" s="1340"/>
      <c r="Q734" s="1340"/>
      <c r="R734" s="1340"/>
      <c r="S734" s="1340"/>
      <c r="T734" s="1340"/>
      <c r="U734" s="1340"/>
      <c r="V734" s="1340"/>
      <c r="W734" s="1340"/>
      <c r="X734" s="1340"/>
      <c r="Y734" s="1340"/>
      <c r="Z734" s="181" t="s">
        <v>103</v>
      </c>
      <c r="AA734" s="780" t="s">
        <v>90</v>
      </c>
      <c r="AB734" s="779" t="s">
        <v>1057</v>
      </c>
      <c r="AC734" s="237">
        <v>0</v>
      </c>
      <c r="AD734" s="779" t="str">
        <f>AB734</f>
        <v xml:space="preserve">  Кредиты</v>
      </c>
      <c r="AE734" s="237">
        <v>18927.471039710199</v>
      </c>
      <c r="AF734" s="1351"/>
      <c r="AG734" s="1353"/>
      <c r="AH734" s="1353"/>
      <c r="AI734" s="1351"/>
      <c r="AJ734" s="1353"/>
      <c r="AK734" s="1354"/>
      <c r="AL734" s="772"/>
    </row>
    <row r="735" spans="1:38" ht="11.25" customHeight="1">
      <c r="A735" s="1030" t="s">
        <v>1019</v>
      </c>
      <c r="E735" s="557"/>
      <c r="F735" s="1339"/>
      <c r="G735" s="1340"/>
      <c r="H735" s="1335" t="s">
        <v>92</v>
      </c>
      <c r="I735" s="1347"/>
      <c r="J735" s="1363"/>
      <c r="K735" s="1349"/>
      <c r="L735" s="1079"/>
      <c r="M735" s="1364"/>
      <c r="N735" s="1355"/>
      <c r="O735" s="1356"/>
      <c r="P735" s="1359"/>
      <c r="Q735" s="1308"/>
      <c r="R735" s="1308"/>
      <c r="S735" s="1361"/>
      <c r="T735" s="1308"/>
      <c r="U735" s="1308"/>
      <c r="V735" s="1308"/>
      <c r="W735" s="1308"/>
      <c r="X735" s="1308"/>
      <c r="Y735" s="1308"/>
      <c r="Z735" s="229"/>
      <c r="AA735" s="230"/>
      <c r="AB735" s="44" t="s">
        <v>1059</v>
      </c>
      <c r="AC735" s="231"/>
      <c r="AD735" s="231"/>
      <c r="AE735" s="246"/>
      <c r="AF735" s="1350"/>
      <c r="AG735" s="1352"/>
      <c r="AH735" s="1352"/>
      <c r="AI735" s="1350"/>
      <c r="AJ735" s="1352"/>
      <c r="AK735" s="1352"/>
      <c r="AL735" s="772"/>
    </row>
    <row r="736" spans="1:38" ht="11.25" customHeight="1">
      <c r="A736" s="1030" t="s">
        <v>1019</v>
      </c>
      <c r="E736" s="557"/>
      <c r="F736" s="1339"/>
      <c r="G736" s="1340"/>
      <c r="H736" s="1335" t="s">
        <v>92</v>
      </c>
      <c r="I736" s="1347"/>
      <c r="J736" s="1363"/>
      <c r="K736" s="1349"/>
      <c r="L736" s="1079"/>
      <c r="M736" s="1364"/>
      <c r="N736" s="229"/>
      <c r="O736" s="230"/>
      <c r="P736" s="44" t="s">
        <v>1060</v>
      </c>
      <c r="Q736" s="230"/>
      <c r="R736" s="230"/>
      <c r="S736" s="230"/>
      <c r="T736" s="230"/>
      <c r="U736" s="230"/>
      <c r="V736" s="230"/>
      <c r="W736" s="230"/>
      <c r="X736" s="230"/>
      <c r="Y736" s="230"/>
      <c r="Z736" s="230"/>
      <c r="AA736" s="230"/>
      <c r="AB736" s="230"/>
      <c r="AC736" s="230"/>
      <c r="AD736" s="230"/>
      <c r="AE736" s="247"/>
      <c r="AF736" s="1350"/>
      <c r="AG736" s="1352"/>
      <c r="AH736" s="1352"/>
      <c r="AI736" s="1350"/>
      <c r="AJ736" s="1352"/>
      <c r="AK736" s="1352"/>
      <c r="AL736" s="772"/>
    </row>
    <row r="737" spans="1:38" ht="11.25" customHeight="1">
      <c r="A737" s="1030" t="s">
        <v>1019</v>
      </c>
      <c r="B737" s="1030" t="s">
        <v>1051</v>
      </c>
      <c r="E737" s="557"/>
      <c r="F737" s="1339"/>
      <c r="G737" s="1325" t="s">
        <v>103</v>
      </c>
      <c r="H737" s="1335" t="s">
        <v>158</v>
      </c>
      <c r="I737" s="1347" t="s">
        <v>1052</v>
      </c>
      <c r="J737" s="1363" t="s">
        <v>1053</v>
      </c>
      <c r="K737" s="1349" t="s">
        <v>1114</v>
      </c>
      <c r="L737" s="1079" t="s">
        <v>61</v>
      </c>
      <c r="M737" s="1364" t="s">
        <v>1018</v>
      </c>
      <c r="N737" s="242"/>
      <c r="O737" s="243" t="s">
        <v>384</v>
      </c>
      <c r="P737" s="244"/>
      <c r="Q737" s="244"/>
      <c r="R737" s="244"/>
      <c r="S737" s="244"/>
      <c r="T737" s="244"/>
      <c r="U737" s="244"/>
      <c r="V737" s="244"/>
      <c r="W737" s="244"/>
      <c r="X737" s="244"/>
      <c r="Y737" s="244"/>
      <c r="Z737" s="244"/>
      <c r="AA737" s="244"/>
      <c r="AB737" s="244"/>
      <c r="AC737" s="244"/>
      <c r="AD737" s="244"/>
      <c r="AE737" s="244"/>
      <c r="AF737" s="1350">
        <v>2</v>
      </c>
      <c r="AG737" s="1352" t="s">
        <v>1055</v>
      </c>
      <c r="AH737" s="1352" t="s">
        <v>1079</v>
      </c>
      <c r="AI737" s="1350">
        <v>2</v>
      </c>
      <c r="AJ737" s="1352" t="s">
        <v>1055</v>
      </c>
      <c r="AK737" s="1352" t="s">
        <v>1079</v>
      </c>
      <c r="AL737" s="772"/>
    </row>
    <row r="738" spans="1:38" ht="11.25" customHeight="1">
      <c r="A738" s="1030" t="s">
        <v>1019</v>
      </c>
      <c r="E738" s="557"/>
      <c r="F738" s="1339"/>
      <c r="G738" s="1340"/>
      <c r="H738" s="1335" t="s">
        <v>116</v>
      </c>
      <c r="I738" s="1347"/>
      <c r="J738" s="1363"/>
      <c r="K738" s="1349"/>
      <c r="L738" s="1079"/>
      <c r="M738" s="1364"/>
      <c r="N738" s="1355"/>
      <c r="O738" s="1356">
        <v>1</v>
      </c>
      <c r="P738" s="1357" t="s">
        <v>19</v>
      </c>
      <c r="Q738" s="1308" t="s">
        <v>22</v>
      </c>
      <c r="R738" s="1308" t="s">
        <v>22</v>
      </c>
      <c r="S738" s="1308" t="s">
        <v>22</v>
      </c>
      <c r="T738" s="1308" t="s">
        <v>22</v>
      </c>
      <c r="U738" s="1308" t="s">
        <v>22</v>
      </c>
      <c r="V738" s="1308" t="s">
        <v>22</v>
      </c>
      <c r="W738" s="1308" t="s">
        <v>22</v>
      </c>
      <c r="X738" s="1308" t="s">
        <v>22</v>
      </c>
      <c r="Y738" s="1308"/>
      <c r="Z738" s="229"/>
      <c r="AA738" s="230"/>
      <c r="AB738" s="230"/>
      <c r="AC738" s="231"/>
      <c r="AD738" s="231"/>
      <c r="AE738" s="245"/>
      <c r="AF738" s="1350"/>
      <c r="AG738" s="1352"/>
      <c r="AH738" s="1352"/>
      <c r="AI738" s="1350"/>
      <c r="AJ738" s="1352"/>
      <c r="AK738" s="1352"/>
      <c r="AL738" s="772"/>
    </row>
    <row r="739" spans="1:38" ht="11.25" customHeight="1">
      <c r="A739" s="1030" t="s">
        <v>1019</v>
      </c>
      <c r="E739" s="557"/>
      <c r="F739" s="1339"/>
      <c r="G739" s="1340"/>
      <c r="H739" s="1335" t="s">
        <v>116</v>
      </c>
      <c r="I739" s="1347"/>
      <c r="J739" s="1363"/>
      <c r="K739" s="1349"/>
      <c r="L739" s="1079"/>
      <c r="M739" s="1364"/>
      <c r="N739" s="1355"/>
      <c r="O739" s="1356"/>
      <c r="P739" s="1358"/>
      <c r="Q739" s="1308"/>
      <c r="R739" s="1308"/>
      <c r="S739" s="1361"/>
      <c r="T739" s="1308"/>
      <c r="U739" s="1308"/>
      <c r="V739" s="1308"/>
      <c r="W739" s="1308"/>
      <c r="X739" s="1308"/>
      <c r="Y739" s="1308"/>
      <c r="AA739" s="778">
        <v>1</v>
      </c>
      <c r="AB739" s="779" t="s">
        <v>1119</v>
      </c>
      <c r="AC739" s="237">
        <v>8288.8804371222395</v>
      </c>
      <c r="AD739" s="779" t="str">
        <f>AB739</f>
        <v xml:space="preserve">  Прибыль направляемая на инвестиции</v>
      </c>
      <c r="AE739" s="237">
        <v>8288.8804371221995</v>
      </c>
      <c r="AF739" s="1350"/>
      <c r="AG739" s="1352"/>
      <c r="AH739" s="1352"/>
      <c r="AI739" s="1350"/>
      <c r="AJ739" s="1352"/>
      <c r="AK739" s="1352"/>
      <c r="AL739" s="772"/>
    </row>
    <row r="740" spans="1:38" ht="11.25" customHeight="1">
      <c r="A740" t="s">
        <v>1019</v>
      </c>
      <c r="E740" s="557"/>
      <c r="F740" s="1340"/>
      <c r="G740" s="1340"/>
      <c r="H740" s="1340"/>
      <c r="I740" s="1340"/>
      <c r="J740" s="1340"/>
      <c r="K740" s="1340"/>
      <c r="L740" s="1340"/>
      <c r="M740" s="1365"/>
      <c r="N740" s="1340"/>
      <c r="O740" s="1340"/>
      <c r="P740" s="1340"/>
      <c r="Q740" s="1340"/>
      <c r="R740" s="1340"/>
      <c r="S740" s="1340"/>
      <c r="T740" s="1340"/>
      <c r="U740" s="1340"/>
      <c r="V740" s="1340"/>
      <c r="W740" s="1340"/>
      <c r="X740" s="1340"/>
      <c r="Y740" s="1340"/>
      <c r="Z740" s="181" t="s">
        <v>103</v>
      </c>
      <c r="AA740" s="780" t="s">
        <v>102</v>
      </c>
      <c r="AB740" s="779" t="s">
        <v>1120</v>
      </c>
      <c r="AC740" s="237">
        <v>5803.4885542648399</v>
      </c>
      <c r="AD740" s="779" t="str">
        <f>AB740</f>
        <v xml:space="preserve">     Прочие амортизационные отчисления</v>
      </c>
      <c r="AE740" s="237">
        <v>5803.4885542647999</v>
      </c>
      <c r="AF740" s="1351"/>
      <c r="AG740" s="1353"/>
      <c r="AH740" s="1353"/>
      <c r="AI740" s="1351"/>
      <c r="AJ740" s="1353"/>
      <c r="AK740" s="1354"/>
      <c r="AL740" s="772"/>
    </row>
    <row r="741" spans="1:38" ht="11.25" customHeight="1">
      <c r="A741" t="s">
        <v>1019</v>
      </c>
      <c r="E741" s="557"/>
      <c r="F741" s="1340"/>
      <c r="G741" s="1340"/>
      <c r="H741" s="1340"/>
      <c r="I741" s="1340"/>
      <c r="J741" s="1340"/>
      <c r="K741" s="1340"/>
      <c r="L741" s="1340"/>
      <c r="M741" s="1365"/>
      <c r="N741" s="1340"/>
      <c r="O741" s="1340"/>
      <c r="P741" s="1340"/>
      <c r="Q741" s="1340"/>
      <c r="R741" s="1340"/>
      <c r="S741" s="1340"/>
      <c r="T741" s="1340"/>
      <c r="U741" s="1340"/>
      <c r="V741" s="1340"/>
      <c r="W741" s="1340"/>
      <c r="X741" s="1340"/>
      <c r="Y741" s="1340"/>
      <c r="Z741" s="181" t="s">
        <v>103</v>
      </c>
      <c r="AA741" s="780" t="s">
        <v>89</v>
      </c>
      <c r="AB741" s="779" t="s">
        <v>1138</v>
      </c>
      <c r="AC741" s="237">
        <v>2498.3143419462199</v>
      </c>
      <c r="AD741" s="779" t="str">
        <f>AB741</f>
        <v xml:space="preserve">  Прочие собственные средства</v>
      </c>
      <c r="AE741" s="237">
        <v>2783.8421699999999</v>
      </c>
      <c r="AF741" s="1351"/>
      <c r="AG741" s="1353"/>
      <c r="AH741" s="1353"/>
      <c r="AI741" s="1351"/>
      <c r="AJ741" s="1353"/>
      <c r="AK741" s="1354"/>
      <c r="AL741" s="772"/>
    </row>
    <row r="742" spans="1:38" ht="11.25" customHeight="1">
      <c r="A742" t="s">
        <v>1019</v>
      </c>
      <c r="E742" s="557"/>
      <c r="F742" s="1340"/>
      <c r="G742" s="1340"/>
      <c r="H742" s="1340"/>
      <c r="I742" s="1340"/>
      <c r="J742" s="1340"/>
      <c r="K742" s="1340"/>
      <c r="L742" s="1340"/>
      <c r="M742" s="1365"/>
      <c r="N742" s="1340"/>
      <c r="O742" s="1340"/>
      <c r="P742" s="1340"/>
      <c r="Q742" s="1340"/>
      <c r="R742" s="1340"/>
      <c r="S742" s="1340"/>
      <c r="T742" s="1340"/>
      <c r="U742" s="1340"/>
      <c r="V742" s="1340"/>
      <c r="W742" s="1340"/>
      <c r="X742" s="1340"/>
      <c r="Y742" s="1340"/>
      <c r="Z742" s="181" t="s">
        <v>103</v>
      </c>
      <c r="AA742" s="780" t="s">
        <v>90</v>
      </c>
      <c r="AB742" s="779" t="s">
        <v>1057</v>
      </c>
      <c r="AC742" s="237">
        <v>0</v>
      </c>
      <c r="AD742" s="779" t="str">
        <f>AB742</f>
        <v xml:space="preserve">  Кредиты</v>
      </c>
      <c r="AE742" s="237">
        <v>1562.5025386130001</v>
      </c>
      <c r="AF742" s="1351"/>
      <c r="AG742" s="1353"/>
      <c r="AH742" s="1353"/>
      <c r="AI742" s="1351"/>
      <c r="AJ742" s="1353"/>
      <c r="AK742" s="1354"/>
      <c r="AL742" s="772"/>
    </row>
    <row r="743" spans="1:38" ht="11.25" customHeight="1">
      <c r="A743" s="1030" t="s">
        <v>1019</v>
      </c>
      <c r="E743" s="557"/>
      <c r="F743" s="1339"/>
      <c r="G743" s="1340"/>
      <c r="H743" s="1335" t="s">
        <v>116</v>
      </c>
      <c r="I743" s="1347"/>
      <c r="J743" s="1363"/>
      <c r="K743" s="1349"/>
      <c r="L743" s="1079"/>
      <c r="M743" s="1364"/>
      <c r="N743" s="1355"/>
      <c r="O743" s="1356"/>
      <c r="P743" s="1359"/>
      <c r="Q743" s="1308"/>
      <c r="R743" s="1308"/>
      <c r="S743" s="1361"/>
      <c r="T743" s="1308"/>
      <c r="U743" s="1308"/>
      <c r="V743" s="1308"/>
      <c r="W743" s="1308"/>
      <c r="X743" s="1308"/>
      <c r="Y743" s="1308"/>
      <c r="Z743" s="229"/>
      <c r="AA743" s="230"/>
      <c r="AB743" s="44" t="s">
        <v>1059</v>
      </c>
      <c r="AC743" s="231"/>
      <c r="AD743" s="231"/>
      <c r="AE743" s="246"/>
      <c r="AF743" s="1350"/>
      <c r="AG743" s="1352"/>
      <c r="AH743" s="1352"/>
      <c r="AI743" s="1350"/>
      <c r="AJ743" s="1352"/>
      <c r="AK743" s="1352"/>
      <c r="AL743" s="772"/>
    </row>
    <row r="744" spans="1:38" ht="11.25" customHeight="1">
      <c r="A744" s="1030" t="s">
        <v>1019</v>
      </c>
      <c r="E744" s="557"/>
      <c r="F744" s="1339"/>
      <c r="G744" s="1340"/>
      <c r="H744" s="1335" t="s">
        <v>116</v>
      </c>
      <c r="I744" s="1347"/>
      <c r="J744" s="1363"/>
      <c r="K744" s="1349"/>
      <c r="L744" s="1079"/>
      <c r="M744" s="1364"/>
      <c r="N744" s="229"/>
      <c r="O744" s="230"/>
      <c r="P744" s="44" t="s">
        <v>1060</v>
      </c>
      <c r="Q744" s="230"/>
      <c r="R744" s="230"/>
      <c r="S744" s="230"/>
      <c r="T744" s="230"/>
      <c r="U744" s="230"/>
      <c r="V744" s="230"/>
      <c r="W744" s="230"/>
      <c r="X744" s="230"/>
      <c r="Y744" s="230"/>
      <c r="Z744" s="230"/>
      <c r="AA744" s="230"/>
      <c r="AB744" s="230"/>
      <c r="AC744" s="230"/>
      <c r="AD744" s="230"/>
      <c r="AE744" s="247"/>
      <c r="AF744" s="1350"/>
      <c r="AG744" s="1352"/>
      <c r="AH744" s="1352"/>
      <c r="AI744" s="1350"/>
      <c r="AJ744" s="1352"/>
      <c r="AK744" s="1352"/>
      <c r="AL744" s="772"/>
    </row>
    <row r="745" spans="1:38" ht="11.25" customHeight="1">
      <c r="A745" s="1030" t="s">
        <v>1019</v>
      </c>
      <c r="B745" s="1030" t="s">
        <v>1051</v>
      </c>
      <c r="E745" s="557"/>
      <c r="F745" s="1339"/>
      <c r="G745" s="1325" t="s">
        <v>103</v>
      </c>
      <c r="H745" s="1335" t="s">
        <v>159</v>
      </c>
      <c r="I745" s="1347" t="s">
        <v>1052</v>
      </c>
      <c r="J745" s="1363" t="s">
        <v>1053</v>
      </c>
      <c r="K745" s="1349" t="s">
        <v>1121</v>
      </c>
      <c r="L745" s="1079" t="s">
        <v>61</v>
      </c>
      <c r="M745" s="1364" t="s">
        <v>1018</v>
      </c>
      <c r="N745" s="242"/>
      <c r="O745" s="243" t="s">
        <v>384</v>
      </c>
      <c r="P745" s="244"/>
      <c r="Q745" s="244"/>
      <c r="R745" s="244"/>
      <c r="S745" s="244"/>
      <c r="T745" s="244"/>
      <c r="U745" s="244"/>
      <c r="V745" s="244"/>
      <c r="W745" s="244"/>
      <c r="X745" s="244"/>
      <c r="Y745" s="244"/>
      <c r="Z745" s="244"/>
      <c r="AA745" s="244"/>
      <c r="AB745" s="244"/>
      <c r="AC745" s="244"/>
      <c r="AD745" s="244"/>
      <c r="AE745" s="244"/>
      <c r="AF745" s="1350">
        <v>2</v>
      </c>
      <c r="AG745" s="1352" t="s">
        <v>1055</v>
      </c>
      <c r="AH745" s="1352" t="s">
        <v>1079</v>
      </c>
      <c r="AI745" s="1350">
        <v>2</v>
      </c>
      <c r="AJ745" s="1352" t="s">
        <v>1055</v>
      </c>
      <c r="AK745" s="1352" t="s">
        <v>1079</v>
      </c>
      <c r="AL745" s="772"/>
    </row>
    <row r="746" spans="1:38" ht="11.25" customHeight="1">
      <c r="A746" s="1030" t="s">
        <v>1019</v>
      </c>
      <c r="E746" s="557"/>
      <c r="F746" s="1339"/>
      <c r="G746" s="1340"/>
      <c r="H746" s="1335" t="s">
        <v>158</v>
      </c>
      <c r="I746" s="1347"/>
      <c r="J746" s="1363"/>
      <c r="K746" s="1349"/>
      <c r="L746" s="1079"/>
      <c r="M746" s="1364"/>
      <c r="N746" s="1355"/>
      <c r="O746" s="1356">
        <v>1</v>
      </c>
      <c r="P746" s="1357" t="s">
        <v>19</v>
      </c>
      <c r="Q746" s="1308" t="s">
        <v>22</v>
      </c>
      <c r="R746" s="1308" t="s">
        <v>22</v>
      </c>
      <c r="S746" s="1308" t="s">
        <v>22</v>
      </c>
      <c r="T746" s="1308" t="s">
        <v>22</v>
      </c>
      <c r="U746" s="1308" t="s">
        <v>22</v>
      </c>
      <c r="V746" s="1308" t="s">
        <v>22</v>
      </c>
      <c r="W746" s="1308" t="s">
        <v>22</v>
      </c>
      <c r="X746" s="1308" t="s">
        <v>22</v>
      </c>
      <c r="Y746" s="1308"/>
      <c r="Z746" s="229"/>
      <c r="AA746" s="230"/>
      <c r="AB746" s="230"/>
      <c r="AC746" s="231"/>
      <c r="AD746" s="231"/>
      <c r="AE746" s="245"/>
      <c r="AF746" s="1350"/>
      <c r="AG746" s="1352"/>
      <c r="AH746" s="1352"/>
      <c r="AI746" s="1350"/>
      <c r="AJ746" s="1352"/>
      <c r="AK746" s="1352"/>
      <c r="AL746" s="772"/>
    </row>
    <row r="747" spans="1:38" ht="11.25" customHeight="1">
      <c r="A747" s="1030" t="s">
        <v>1019</v>
      </c>
      <c r="E747" s="557"/>
      <c r="F747" s="1339"/>
      <c r="G747" s="1340"/>
      <c r="H747" s="1335" t="s">
        <v>158</v>
      </c>
      <c r="I747" s="1347"/>
      <c r="J747" s="1363"/>
      <c r="K747" s="1349"/>
      <c r="L747" s="1079"/>
      <c r="M747" s="1364"/>
      <c r="N747" s="1355"/>
      <c r="O747" s="1356"/>
      <c r="P747" s="1358"/>
      <c r="Q747" s="1308"/>
      <c r="R747" s="1308"/>
      <c r="S747" s="1361"/>
      <c r="T747" s="1308"/>
      <c r="U747" s="1308"/>
      <c r="V747" s="1308"/>
      <c r="W747" s="1308"/>
      <c r="X747" s="1308"/>
      <c r="Y747" s="1308"/>
      <c r="AA747" s="778">
        <v>1</v>
      </c>
      <c r="AB747" s="779" t="s">
        <v>1119</v>
      </c>
      <c r="AC747" s="237">
        <v>3807.07814083822</v>
      </c>
      <c r="AD747" s="779" t="str">
        <f>AB747</f>
        <v xml:space="preserve">  Прибыль направляемая на инвестиции</v>
      </c>
      <c r="AE747" s="237">
        <v>4088.54188892918</v>
      </c>
      <c r="AF747" s="1350"/>
      <c r="AG747" s="1352"/>
      <c r="AH747" s="1352"/>
      <c r="AI747" s="1350"/>
      <c r="AJ747" s="1352"/>
      <c r="AK747" s="1352"/>
      <c r="AL747" s="772"/>
    </row>
    <row r="748" spans="1:38" ht="11.25" customHeight="1">
      <c r="A748" t="s">
        <v>1019</v>
      </c>
      <c r="E748" s="557"/>
      <c r="F748" s="1340"/>
      <c r="G748" s="1340"/>
      <c r="H748" s="1340"/>
      <c r="I748" s="1340"/>
      <c r="J748" s="1340"/>
      <c r="K748" s="1340"/>
      <c r="L748" s="1340"/>
      <c r="M748" s="1365"/>
      <c r="N748" s="1340"/>
      <c r="O748" s="1340"/>
      <c r="P748" s="1340"/>
      <c r="Q748" s="1340"/>
      <c r="R748" s="1340"/>
      <c r="S748" s="1340"/>
      <c r="T748" s="1340"/>
      <c r="U748" s="1340"/>
      <c r="V748" s="1340"/>
      <c r="W748" s="1340"/>
      <c r="X748" s="1340"/>
      <c r="Y748" s="1340"/>
      <c r="Z748" s="181" t="s">
        <v>103</v>
      </c>
      <c r="AA748" s="780" t="s">
        <v>102</v>
      </c>
      <c r="AB748" s="779" t="s">
        <v>1120</v>
      </c>
      <c r="AC748" s="237">
        <v>2665.5390415086399</v>
      </c>
      <c r="AD748" s="779" t="str">
        <f>AB748</f>
        <v xml:space="preserve">     Прочие амортизационные отчисления</v>
      </c>
      <c r="AE748" s="237">
        <v>2862.6068666362298</v>
      </c>
      <c r="AF748" s="1351"/>
      <c r="AG748" s="1353"/>
      <c r="AH748" s="1353"/>
      <c r="AI748" s="1351"/>
      <c r="AJ748" s="1353"/>
      <c r="AK748" s="1354"/>
      <c r="AL748" s="772"/>
    </row>
    <row r="749" spans="1:38" ht="11.25" customHeight="1">
      <c r="A749" t="s">
        <v>1019</v>
      </c>
      <c r="E749" s="557"/>
      <c r="F749" s="1340"/>
      <c r="G749" s="1340"/>
      <c r="H749" s="1340"/>
      <c r="I749" s="1340"/>
      <c r="J749" s="1340"/>
      <c r="K749" s="1340"/>
      <c r="L749" s="1340"/>
      <c r="M749" s="1365"/>
      <c r="N749" s="1340"/>
      <c r="O749" s="1340"/>
      <c r="P749" s="1340"/>
      <c r="Q749" s="1340"/>
      <c r="R749" s="1340"/>
      <c r="S749" s="1340"/>
      <c r="T749" s="1340"/>
      <c r="U749" s="1340"/>
      <c r="V749" s="1340"/>
      <c r="W749" s="1340"/>
      <c r="X749" s="1340"/>
      <c r="Y749" s="1340"/>
      <c r="Z749" s="181" t="s">
        <v>103</v>
      </c>
      <c r="AA749" s="780" t="s">
        <v>89</v>
      </c>
      <c r="AB749" s="779" t="s">
        <v>1138</v>
      </c>
      <c r="AC749" s="237">
        <v>1147.4743775491399</v>
      </c>
      <c r="AD749" s="779" t="str">
        <f>AB749</f>
        <v xml:space="preserve">  Прочие собственные средства</v>
      </c>
      <c r="AE749" s="237">
        <v>961.62224000000003</v>
      </c>
      <c r="AF749" s="1351"/>
      <c r="AG749" s="1353"/>
      <c r="AH749" s="1353"/>
      <c r="AI749" s="1351"/>
      <c r="AJ749" s="1353"/>
      <c r="AK749" s="1354"/>
      <c r="AL749" s="772"/>
    </row>
    <row r="750" spans="1:38" ht="11.25" customHeight="1">
      <c r="A750" t="s">
        <v>1019</v>
      </c>
      <c r="E750" s="557"/>
      <c r="F750" s="1340"/>
      <c r="G750" s="1340"/>
      <c r="H750" s="1340"/>
      <c r="I750" s="1340"/>
      <c r="J750" s="1340"/>
      <c r="K750" s="1340"/>
      <c r="L750" s="1340"/>
      <c r="M750" s="1365"/>
      <c r="N750" s="1340"/>
      <c r="O750" s="1340"/>
      <c r="P750" s="1340"/>
      <c r="Q750" s="1340"/>
      <c r="R750" s="1340"/>
      <c r="S750" s="1340"/>
      <c r="T750" s="1340"/>
      <c r="U750" s="1340"/>
      <c r="V750" s="1340"/>
      <c r="W750" s="1340"/>
      <c r="X750" s="1340"/>
      <c r="Y750" s="1340"/>
      <c r="Z750" s="181" t="s">
        <v>103</v>
      </c>
      <c r="AA750" s="780" t="s">
        <v>90</v>
      </c>
      <c r="AB750" s="779" t="s">
        <v>1057</v>
      </c>
      <c r="AC750" s="237">
        <v>0</v>
      </c>
      <c r="AD750" s="779" t="str">
        <f>AB750</f>
        <v xml:space="preserve">  Кредиты</v>
      </c>
      <c r="AE750" s="237">
        <v>93.630074434666298</v>
      </c>
      <c r="AF750" s="1351"/>
      <c r="AG750" s="1353"/>
      <c r="AH750" s="1353"/>
      <c r="AI750" s="1351"/>
      <c r="AJ750" s="1353"/>
      <c r="AK750" s="1354"/>
      <c r="AL750" s="772"/>
    </row>
    <row r="751" spans="1:38" ht="11.25" customHeight="1">
      <c r="A751" s="1030" t="s">
        <v>1019</v>
      </c>
      <c r="E751" s="557"/>
      <c r="F751" s="1339"/>
      <c r="G751" s="1340"/>
      <c r="H751" s="1335" t="s">
        <v>158</v>
      </c>
      <c r="I751" s="1347"/>
      <c r="J751" s="1363"/>
      <c r="K751" s="1349"/>
      <c r="L751" s="1079"/>
      <c r="M751" s="1364"/>
      <c r="N751" s="1355"/>
      <c r="O751" s="1356"/>
      <c r="P751" s="1359"/>
      <c r="Q751" s="1308"/>
      <c r="R751" s="1308"/>
      <c r="S751" s="1361"/>
      <c r="T751" s="1308"/>
      <c r="U751" s="1308"/>
      <c r="V751" s="1308"/>
      <c r="W751" s="1308"/>
      <c r="X751" s="1308"/>
      <c r="Y751" s="1308"/>
      <c r="Z751" s="229"/>
      <c r="AA751" s="230"/>
      <c r="AB751" s="44" t="s">
        <v>1059</v>
      </c>
      <c r="AC751" s="231"/>
      <c r="AD751" s="231"/>
      <c r="AE751" s="246"/>
      <c r="AF751" s="1350"/>
      <c r="AG751" s="1352"/>
      <c r="AH751" s="1352"/>
      <c r="AI751" s="1350"/>
      <c r="AJ751" s="1352"/>
      <c r="AK751" s="1352"/>
      <c r="AL751" s="772"/>
    </row>
    <row r="752" spans="1:38" ht="11.25" customHeight="1">
      <c r="A752" s="1030" t="s">
        <v>1019</v>
      </c>
      <c r="E752" s="557"/>
      <c r="F752" s="1339"/>
      <c r="G752" s="1340"/>
      <c r="H752" s="1335" t="s">
        <v>158</v>
      </c>
      <c r="I752" s="1347"/>
      <c r="J752" s="1363"/>
      <c r="K752" s="1349"/>
      <c r="L752" s="1079"/>
      <c r="M752" s="1364"/>
      <c r="N752" s="229"/>
      <c r="O752" s="230"/>
      <c r="P752" s="44" t="s">
        <v>1060</v>
      </c>
      <c r="Q752" s="230"/>
      <c r="R752" s="230"/>
      <c r="S752" s="230"/>
      <c r="T752" s="230"/>
      <c r="U752" s="230"/>
      <c r="V752" s="230"/>
      <c r="W752" s="230"/>
      <c r="X752" s="230"/>
      <c r="Y752" s="230"/>
      <c r="Z752" s="230"/>
      <c r="AA752" s="230"/>
      <c r="AB752" s="230"/>
      <c r="AC752" s="230"/>
      <c r="AD752" s="230"/>
      <c r="AE752" s="247"/>
      <c r="AF752" s="1350"/>
      <c r="AG752" s="1352"/>
      <c r="AH752" s="1352"/>
      <c r="AI752" s="1350"/>
      <c r="AJ752" s="1352"/>
      <c r="AK752" s="1352"/>
      <c r="AL752" s="772"/>
    </row>
    <row r="753" spans="1:38" ht="11.25" customHeight="1">
      <c r="A753" s="1030" t="s">
        <v>1019</v>
      </c>
      <c r="B753" s="1030" t="s">
        <v>1051</v>
      </c>
      <c r="E753" s="557"/>
      <c r="F753" s="1339"/>
      <c r="G753" s="1325" t="s">
        <v>103</v>
      </c>
      <c r="H753" s="1335" t="s">
        <v>160</v>
      </c>
      <c r="I753" s="1347" t="s">
        <v>1052</v>
      </c>
      <c r="J753" s="1363" t="s">
        <v>1053</v>
      </c>
      <c r="K753" s="1349" t="s">
        <v>1153</v>
      </c>
      <c r="L753" s="1079" t="s">
        <v>19</v>
      </c>
      <c r="M753" s="1080"/>
      <c r="N753" s="242"/>
      <c r="O753" s="243" t="s">
        <v>384</v>
      </c>
      <c r="P753" s="244"/>
      <c r="Q753" s="244"/>
      <c r="R753" s="244"/>
      <c r="S753" s="244"/>
      <c r="T753" s="244"/>
      <c r="U753" s="244"/>
      <c r="V753" s="244"/>
      <c r="W753" s="244"/>
      <c r="X753" s="244"/>
      <c r="Y753" s="244"/>
      <c r="Z753" s="244"/>
      <c r="AA753" s="244"/>
      <c r="AB753" s="244"/>
      <c r="AC753" s="244"/>
      <c r="AD753" s="244"/>
      <c r="AE753" s="244"/>
      <c r="AF753" s="1350">
        <v>2</v>
      </c>
      <c r="AG753" s="1352" t="s">
        <v>1055</v>
      </c>
      <c r="AH753" s="1352" t="s">
        <v>1079</v>
      </c>
      <c r="AI753" s="1350">
        <v>2</v>
      </c>
      <c r="AJ753" s="1352" t="s">
        <v>1055</v>
      </c>
      <c r="AK753" s="1352" t="s">
        <v>1079</v>
      </c>
      <c r="AL753" s="772"/>
    </row>
    <row r="754" spans="1:38" ht="11.25" customHeight="1">
      <c r="A754" s="1030" t="s">
        <v>1019</v>
      </c>
      <c r="E754" s="557"/>
      <c r="F754" s="1339"/>
      <c r="G754" s="1340"/>
      <c r="H754" s="1335" t="s">
        <v>159</v>
      </c>
      <c r="I754" s="1347"/>
      <c r="J754" s="1363"/>
      <c r="K754" s="1349"/>
      <c r="L754" s="1079"/>
      <c r="M754" s="1080"/>
      <c r="N754" s="1355"/>
      <c r="O754" s="1356">
        <v>1</v>
      </c>
      <c r="P754" s="1357" t="s">
        <v>19</v>
      </c>
      <c r="Q754" s="1308" t="s">
        <v>22</v>
      </c>
      <c r="R754" s="1308" t="s">
        <v>22</v>
      </c>
      <c r="S754" s="1308" t="s">
        <v>22</v>
      </c>
      <c r="T754" s="1308" t="s">
        <v>22</v>
      </c>
      <c r="U754" s="1308" t="s">
        <v>22</v>
      </c>
      <c r="V754" s="1308" t="s">
        <v>22</v>
      </c>
      <c r="W754" s="1308" t="s">
        <v>22</v>
      </c>
      <c r="X754" s="1308" t="s">
        <v>22</v>
      </c>
      <c r="Y754" s="1308"/>
      <c r="Z754" s="229"/>
      <c r="AA754" s="230"/>
      <c r="AB754" s="230"/>
      <c r="AC754" s="231"/>
      <c r="AD754" s="231"/>
      <c r="AE754" s="245"/>
      <c r="AF754" s="1350"/>
      <c r="AG754" s="1352"/>
      <c r="AH754" s="1352"/>
      <c r="AI754" s="1350"/>
      <c r="AJ754" s="1352"/>
      <c r="AK754" s="1352"/>
      <c r="AL754" s="772"/>
    </row>
    <row r="755" spans="1:38" ht="11.25" customHeight="1">
      <c r="A755" s="1030" t="s">
        <v>1019</v>
      </c>
      <c r="E755" s="557"/>
      <c r="F755" s="1339"/>
      <c r="G755" s="1340"/>
      <c r="H755" s="1335" t="s">
        <v>159</v>
      </c>
      <c r="I755" s="1347"/>
      <c r="J755" s="1363"/>
      <c r="K755" s="1349"/>
      <c r="L755" s="1079"/>
      <c r="M755" s="1080"/>
      <c r="N755" s="1355"/>
      <c r="O755" s="1356"/>
      <c r="P755" s="1358"/>
      <c r="Q755" s="1308"/>
      <c r="R755" s="1308"/>
      <c r="S755" s="1361"/>
      <c r="T755" s="1308"/>
      <c r="U755" s="1308"/>
      <c r="V755" s="1308"/>
      <c r="W755" s="1308"/>
      <c r="X755" s="1308"/>
      <c r="Y755" s="1308"/>
      <c r="AA755" s="778">
        <v>1</v>
      </c>
      <c r="AB755" s="779" t="s">
        <v>1119</v>
      </c>
      <c r="AC755" s="237">
        <v>171.413657462511</v>
      </c>
      <c r="AD755" s="779" t="str">
        <f>AB755</f>
        <v xml:space="preserve">  Прибыль направляемая на инвестиции</v>
      </c>
      <c r="AE755" s="237">
        <v>257.14394785121601</v>
      </c>
      <c r="AF755" s="1350"/>
      <c r="AG755" s="1352"/>
      <c r="AH755" s="1352"/>
      <c r="AI755" s="1350"/>
      <c r="AJ755" s="1352"/>
      <c r="AK755" s="1352"/>
      <c r="AL755" s="772"/>
    </row>
    <row r="756" spans="1:38" ht="11.25" customHeight="1">
      <c r="A756" t="s">
        <v>1019</v>
      </c>
      <c r="E756" s="557"/>
      <c r="F756" s="1340"/>
      <c r="G756" s="1340"/>
      <c r="H756" s="1340"/>
      <c r="I756" s="1340"/>
      <c r="J756" s="1340"/>
      <c r="K756" s="1340"/>
      <c r="L756" s="1340"/>
      <c r="M756" s="1340"/>
      <c r="N756" s="1340"/>
      <c r="O756" s="1340"/>
      <c r="P756" s="1340"/>
      <c r="Q756" s="1340"/>
      <c r="R756" s="1340"/>
      <c r="S756" s="1340"/>
      <c r="T756" s="1340"/>
      <c r="U756" s="1340"/>
      <c r="V756" s="1340"/>
      <c r="W756" s="1340"/>
      <c r="X756" s="1340"/>
      <c r="Y756" s="1340"/>
      <c r="Z756" s="181" t="s">
        <v>103</v>
      </c>
      <c r="AA756" s="780" t="s">
        <v>102</v>
      </c>
      <c r="AB756" s="779" t="s">
        <v>1120</v>
      </c>
      <c r="AC756" s="237">
        <v>120.015870258316</v>
      </c>
      <c r="AD756" s="779" t="str">
        <f>AB756</f>
        <v xml:space="preserve">     Прочие амортизационные отчисления</v>
      </c>
      <c r="AE756" s="237">
        <v>180.04023214878401</v>
      </c>
      <c r="AF756" s="1351"/>
      <c r="AG756" s="1353"/>
      <c r="AH756" s="1353"/>
      <c r="AI756" s="1351"/>
      <c r="AJ756" s="1353"/>
      <c r="AK756" s="1354"/>
      <c r="AL756" s="772"/>
    </row>
    <row r="757" spans="1:38" ht="11.25" customHeight="1">
      <c r="A757" t="s">
        <v>1019</v>
      </c>
      <c r="E757" s="557"/>
      <c r="F757" s="1340"/>
      <c r="G757" s="1340"/>
      <c r="H757" s="1340"/>
      <c r="I757" s="1340"/>
      <c r="J757" s="1340"/>
      <c r="K757" s="1340"/>
      <c r="L757" s="1340"/>
      <c r="M757" s="1340"/>
      <c r="N757" s="1340"/>
      <c r="O757" s="1340"/>
      <c r="P757" s="1340"/>
      <c r="Q757" s="1340"/>
      <c r="R757" s="1340"/>
      <c r="S757" s="1340"/>
      <c r="T757" s="1340"/>
      <c r="U757" s="1340"/>
      <c r="V757" s="1340"/>
      <c r="W757" s="1340"/>
      <c r="X757" s="1340"/>
      <c r="Y757" s="1340"/>
      <c r="Z757" s="181" t="s">
        <v>103</v>
      </c>
      <c r="AA757" s="780" t="s">
        <v>89</v>
      </c>
      <c r="AB757" s="779" t="s">
        <v>1138</v>
      </c>
      <c r="AC757" s="237">
        <v>51.665023050172898</v>
      </c>
      <c r="AD757" s="779" t="str">
        <f>AB757</f>
        <v xml:space="preserve">  Прочие собственные средства</v>
      </c>
      <c r="AE757" s="237">
        <v>13.63368</v>
      </c>
      <c r="AF757" s="1351"/>
      <c r="AG757" s="1353"/>
      <c r="AH757" s="1353"/>
      <c r="AI757" s="1351"/>
      <c r="AJ757" s="1353"/>
      <c r="AK757" s="1354"/>
      <c r="AL757" s="772"/>
    </row>
    <row r="758" spans="1:38" ht="11.25" customHeight="1">
      <c r="A758" s="1030" t="s">
        <v>1019</v>
      </c>
      <c r="E758" s="557"/>
      <c r="F758" s="1339"/>
      <c r="G758" s="1340"/>
      <c r="H758" s="1335" t="s">
        <v>159</v>
      </c>
      <c r="I758" s="1347"/>
      <c r="J758" s="1363"/>
      <c r="K758" s="1349"/>
      <c r="L758" s="1079"/>
      <c r="M758" s="1080"/>
      <c r="N758" s="1355"/>
      <c r="O758" s="1356"/>
      <c r="P758" s="1359"/>
      <c r="Q758" s="1308"/>
      <c r="R758" s="1308"/>
      <c r="S758" s="1361"/>
      <c r="T758" s="1308"/>
      <c r="U758" s="1308"/>
      <c r="V758" s="1308"/>
      <c r="W758" s="1308"/>
      <c r="X758" s="1308"/>
      <c r="Y758" s="1308"/>
      <c r="Z758" s="229"/>
      <c r="AA758" s="230"/>
      <c r="AB758" s="44" t="s">
        <v>1059</v>
      </c>
      <c r="AC758" s="231"/>
      <c r="AD758" s="231"/>
      <c r="AE758" s="246"/>
      <c r="AF758" s="1350"/>
      <c r="AG758" s="1352"/>
      <c r="AH758" s="1352"/>
      <c r="AI758" s="1350"/>
      <c r="AJ758" s="1352"/>
      <c r="AK758" s="1352"/>
      <c r="AL758" s="772"/>
    </row>
    <row r="759" spans="1:38" ht="11.25" customHeight="1">
      <c r="A759" s="1030" t="s">
        <v>1019</v>
      </c>
      <c r="E759" s="557"/>
      <c r="F759" s="1339"/>
      <c r="G759" s="1340"/>
      <c r="H759" s="1335" t="s">
        <v>159</v>
      </c>
      <c r="I759" s="1347"/>
      <c r="J759" s="1363"/>
      <c r="K759" s="1349"/>
      <c r="L759" s="1079"/>
      <c r="M759" s="1080"/>
      <c r="N759" s="229"/>
      <c r="O759" s="230"/>
      <c r="P759" s="44" t="s">
        <v>1060</v>
      </c>
      <c r="Q759" s="230"/>
      <c r="R759" s="230"/>
      <c r="S759" s="230"/>
      <c r="T759" s="230"/>
      <c r="U759" s="230"/>
      <c r="V759" s="230"/>
      <c r="W759" s="230"/>
      <c r="X759" s="230"/>
      <c r="Y759" s="230"/>
      <c r="Z759" s="230"/>
      <c r="AA759" s="230"/>
      <c r="AB759" s="230"/>
      <c r="AC759" s="230"/>
      <c r="AD759" s="230"/>
      <c r="AE759" s="247"/>
      <c r="AF759" s="1350"/>
      <c r="AG759" s="1352"/>
      <c r="AH759" s="1352"/>
      <c r="AI759" s="1350"/>
      <c r="AJ759" s="1352"/>
      <c r="AK759" s="1352"/>
      <c r="AL759" s="772"/>
    </row>
    <row r="760" spans="1:38" ht="11.25" customHeight="1">
      <c r="A760" s="1030" t="s">
        <v>1019</v>
      </c>
      <c r="B760" s="1030" t="s">
        <v>1051</v>
      </c>
      <c r="E760" s="557"/>
      <c r="F760" s="1339"/>
      <c r="G760" s="1325" t="s">
        <v>103</v>
      </c>
      <c r="H760" s="1335" t="s">
        <v>161</v>
      </c>
      <c r="I760" s="1347" t="s">
        <v>1052</v>
      </c>
      <c r="J760" s="1363" t="s">
        <v>1053</v>
      </c>
      <c r="K760" s="1349" t="s">
        <v>1154</v>
      </c>
      <c r="L760" s="1079" t="s">
        <v>19</v>
      </c>
      <c r="M760" s="1080"/>
      <c r="N760" s="242"/>
      <c r="O760" s="243" t="s">
        <v>384</v>
      </c>
      <c r="P760" s="244"/>
      <c r="Q760" s="244"/>
      <c r="R760" s="244"/>
      <c r="S760" s="244"/>
      <c r="T760" s="244"/>
      <c r="U760" s="244"/>
      <c r="V760" s="244"/>
      <c r="W760" s="244"/>
      <c r="X760" s="244"/>
      <c r="Y760" s="244"/>
      <c r="Z760" s="244"/>
      <c r="AA760" s="244"/>
      <c r="AB760" s="244"/>
      <c r="AC760" s="244"/>
      <c r="AD760" s="244"/>
      <c r="AE760" s="244"/>
      <c r="AF760" s="1350">
        <v>2</v>
      </c>
      <c r="AG760" s="1352" t="s">
        <v>1055</v>
      </c>
      <c r="AH760" s="1352" t="s">
        <v>1079</v>
      </c>
      <c r="AI760" s="1350">
        <v>2</v>
      </c>
      <c r="AJ760" s="1352" t="s">
        <v>1055</v>
      </c>
      <c r="AK760" s="1352" t="s">
        <v>1079</v>
      </c>
      <c r="AL760" s="772"/>
    </row>
    <row r="761" spans="1:38" ht="11.25" customHeight="1">
      <c r="A761" s="1030" t="s">
        <v>1019</v>
      </c>
      <c r="E761" s="557"/>
      <c r="F761" s="1339"/>
      <c r="G761" s="1340"/>
      <c r="H761" s="1335" t="s">
        <v>160</v>
      </c>
      <c r="I761" s="1347"/>
      <c r="J761" s="1363"/>
      <c r="K761" s="1349"/>
      <c r="L761" s="1079"/>
      <c r="M761" s="1080"/>
      <c r="N761" s="1355"/>
      <c r="O761" s="1356">
        <v>1</v>
      </c>
      <c r="P761" s="1357" t="s">
        <v>19</v>
      </c>
      <c r="Q761" s="1308" t="s">
        <v>22</v>
      </c>
      <c r="R761" s="1308" t="s">
        <v>22</v>
      </c>
      <c r="S761" s="1308" t="s">
        <v>22</v>
      </c>
      <c r="T761" s="1308" t="s">
        <v>22</v>
      </c>
      <c r="U761" s="1308" t="s">
        <v>22</v>
      </c>
      <c r="V761" s="1308" t="s">
        <v>22</v>
      </c>
      <c r="W761" s="1308" t="s">
        <v>22</v>
      </c>
      <c r="X761" s="1308" t="s">
        <v>22</v>
      </c>
      <c r="Y761" s="1308"/>
      <c r="Z761" s="229"/>
      <c r="AA761" s="230"/>
      <c r="AB761" s="230"/>
      <c r="AC761" s="231"/>
      <c r="AD761" s="231"/>
      <c r="AE761" s="245"/>
      <c r="AF761" s="1350"/>
      <c r="AG761" s="1352"/>
      <c r="AH761" s="1352"/>
      <c r="AI761" s="1350"/>
      <c r="AJ761" s="1352"/>
      <c r="AK761" s="1352"/>
      <c r="AL761" s="772"/>
    </row>
    <row r="762" spans="1:38" ht="11.25" customHeight="1">
      <c r="A762" s="1030" t="s">
        <v>1019</v>
      </c>
      <c r="E762" s="557"/>
      <c r="F762" s="1339"/>
      <c r="G762" s="1340"/>
      <c r="H762" s="1335" t="s">
        <v>160</v>
      </c>
      <c r="I762" s="1347"/>
      <c r="J762" s="1363"/>
      <c r="K762" s="1349"/>
      <c r="L762" s="1079"/>
      <c r="M762" s="1080"/>
      <c r="N762" s="1355"/>
      <c r="O762" s="1356"/>
      <c r="P762" s="1358"/>
      <c r="Q762" s="1308"/>
      <c r="R762" s="1308"/>
      <c r="S762" s="1361"/>
      <c r="T762" s="1308"/>
      <c r="U762" s="1308"/>
      <c r="V762" s="1308"/>
      <c r="W762" s="1308"/>
      <c r="X762" s="1308"/>
      <c r="Y762" s="1308"/>
      <c r="AA762" s="778">
        <v>1</v>
      </c>
      <c r="AB762" s="779" t="s">
        <v>1119</v>
      </c>
      <c r="AC762" s="237">
        <v>128.43439275881499</v>
      </c>
      <c r="AD762" s="779" t="str">
        <f>AB762</f>
        <v xml:space="preserve">  Прибыль направляемая на инвестиции</v>
      </c>
      <c r="AE762" s="237">
        <v>201.629930654904</v>
      </c>
      <c r="AF762" s="1350"/>
      <c r="AG762" s="1352"/>
      <c r="AH762" s="1352"/>
      <c r="AI762" s="1350"/>
      <c r="AJ762" s="1352"/>
      <c r="AK762" s="1352"/>
      <c r="AL762" s="772"/>
    </row>
    <row r="763" spans="1:38" ht="11.25" customHeight="1">
      <c r="A763" t="s">
        <v>1019</v>
      </c>
      <c r="E763" s="557"/>
      <c r="F763" s="1340"/>
      <c r="G763" s="1340"/>
      <c r="H763" s="1340"/>
      <c r="I763" s="1340"/>
      <c r="J763" s="1340"/>
      <c r="K763" s="1340"/>
      <c r="L763" s="1340"/>
      <c r="M763" s="1340"/>
      <c r="N763" s="1340"/>
      <c r="O763" s="1340"/>
      <c r="P763" s="1340"/>
      <c r="Q763" s="1340"/>
      <c r="R763" s="1340"/>
      <c r="S763" s="1340"/>
      <c r="T763" s="1340"/>
      <c r="U763" s="1340"/>
      <c r="V763" s="1340"/>
      <c r="W763" s="1340"/>
      <c r="X763" s="1340"/>
      <c r="Y763" s="1340"/>
      <c r="Z763" s="181" t="s">
        <v>103</v>
      </c>
      <c r="AA763" s="780" t="s">
        <v>102</v>
      </c>
      <c r="AB763" s="779" t="s">
        <v>1120</v>
      </c>
      <c r="AC763" s="237">
        <v>89.923788140502495</v>
      </c>
      <c r="AD763" s="779" t="str">
        <f>AB763</f>
        <v xml:space="preserve">     Прочие амортизационные отчисления</v>
      </c>
      <c r="AE763" s="237">
        <v>141.17189934509599</v>
      </c>
      <c r="AF763" s="1351"/>
      <c r="AG763" s="1353"/>
      <c r="AH763" s="1353"/>
      <c r="AI763" s="1351"/>
      <c r="AJ763" s="1353"/>
      <c r="AK763" s="1354"/>
      <c r="AL763" s="772"/>
    </row>
    <row r="764" spans="1:38" ht="11.25" customHeight="1">
      <c r="A764" t="s">
        <v>1019</v>
      </c>
      <c r="E764" s="557"/>
      <c r="F764" s="1340"/>
      <c r="G764" s="1340"/>
      <c r="H764" s="1340"/>
      <c r="I764" s="1340"/>
      <c r="J764" s="1340"/>
      <c r="K764" s="1340"/>
      <c r="L764" s="1340"/>
      <c r="M764" s="1340"/>
      <c r="N764" s="1340"/>
      <c r="O764" s="1340"/>
      <c r="P764" s="1340"/>
      <c r="Q764" s="1340"/>
      <c r="R764" s="1340"/>
      <c r="S764" s="1340"/>
      <c r="T764" s="1340"/>
      <c r="U764" s="1340"/>
      <c r="V764" s="1340"/>
      <c r="W764" s="1340"/>
      <c r="X764" s="1340"/>
      <c r="Y764" s="1340"/>
      <c r="Z764" s="181" t="s">
        <v>103</v>
      </c>
      <c r="AA764" s="780" t="s">
        <v>89</v>
      </c>
      <c r="AB764" s="779" t="s">
        <v>1138</v>
      </c>
      <c r="AC764" s="237">
        <v>38.710835300683897</v>
      </c>
      <c r="AD764" s="779" t="str">
        <f>AB764</f>
        <v xml:space="preserve">  Прочие собственные средства</v>
      </c>
      <c r="AE764" s="237">
        <v>8.8097100000000097</v>
      </c>
      <c r="AF764" s="1351"/>
      <c r="AG764" s="1353"/>
      <c r="AH764" s="1353"/>
      <c r="AI764" s="1351"/>
      <c r="AJ764" s="1353"/>
      <c r="AK764" s="1354"/>
      <c r="AL764" s="772"/>
    </row>
    <row r="765" spans="1:38" ht="11.25" customHeight="1">
      <c r="A765" s="1030" t="s">
        <v>1019</v>
      </c>
      <c r="E765" s="557"/>
      <c r="F765" s="1339"/>
      <c r="G765" s="1340"/>
      <c r="H765" s="1335" t="s">
        <v>160</v>
      </c>
      <c r="I765" s="1347"/>
      <c r="J765" s="1363"/>
      <c r="K765" s="1349"/>
      <c r="L765" s="1079"/>
      <c r="M765" s="1080"/>
      <c r="N765" s="1355"/>
      <c r="O765" s="1356"/>
      <c r="P765" s="1359"/>
      <c r="Q765" s="1308"/>
      <c r="R765" s="1308"/>
      <c r="S765" s="1361"/>
      <c r="T765" s="1308"/>
      <c r="U765" s="1308"/>
      <c r="V765" s="1308"/>
      <c r="W765" s="1308"/>
      <c r="X765" s="1308"/>
      <c r="Y765" s="1308"/>
      <c r="Z765" s="229"/>
      <c r="AA765" s="230"/>
      <c r="AB765" s="44" t="s">
        <v>1059</v>
      </c>
      <c r="AC765" s="231"/>
      <c r="AD765" s="231"/>
      <c r="AE765" s="246"/>
      <c r="AF765" s="1350"/>
      <c r="AG765" s="1352"/>
      <c r="AH765" s="1352"/>
      <c r="AI765" s="1350"/>
      <c r="AJ765" s="1352"/>
      <c r="AK765" s="1352"/>
      <c r="AL765" s="772"/>
    </row>
    <row r="766" spans="1:38" ht="11.25" customHeight="1">
      <c r="A766" s="1030" t="s">
        <v>1019</v>
      </c>
      <c r="E766" s="557"/>
      <c r="F766" s="1339"/>
      <c r="G766" s="1340"/>
      <c r="H766" s="1335" t="s">
        <v>160</v>
      </c>
      <c r="I766" s="1347"/>
      <c r="J766" s="1363"/>
      <c r="K766" s="1349"/>
      <c r="L766" s="1079"/>
      <c r="M766" s="1080"/>
      <c r="N766" s="229"/>
      <c r="O766" s="230"/>
      <c r="P766" s="44" t="s">
        <v>1060</v>
      </c>
      <c r="Q766" s="230"/>
      <c r="R766" s="230"/>
      <c r="S766" s="230"/>
      <c r="T766" s="230"/>
      <c r="U766" s="230"/>
      <c r="V766" s="230"/>
      <c r="W766" s="230"/>
      <c r="X766" s="230"/>
      <c r="Y766" s="230"/>
      <c r="Z766" s="230"/>
      <c r="AA766" s="230"/>
      <c r="AB766" s="230"/>
      <c r="AC766" s="230"/>
      <c r="AD766" s="230"/>
      <c r="AE766" s="247"/>
      <c r="AF766" s="1350"/>
      <c r="AG766" s="1352"/>
      <c r="AH766" s="1352"/>
      <c r="AI766" s="1350"/>
      <c r="AJ766" s="1352"/>
      <c r="AK766" s="1352"/>
      <c r="AL766" s="772"/>
    </row>
    <row r="767" spans="1:38" ht="11.25" customHeight="1">
      <c r="A767" s="1030" t="s">
        <v>1019</v>
      </c>
      <c r="B767" s="1030" t="s">
        <v>1051</v>
      </c>
      <c r="E767" s="557"/>
      <c r="F767" s="1339"/>
      <c r="G767" s="1325" t="s">
        <v>103</v>
      </c>
      <c r="H767" s="1335" t="s">
        <v>162</v>
      </c>
      <c r="I767" s="1347" t="s">
        <v>1052</v>
      </c>
      <c r="J767" s="1363" t="s">
        <v>1053</v>
      </c>
      <c r="K767" s="1349" t="s">
        <v>1122</v>
      </c>
      <c r="L767" s="1079" t="s">
        <v>61</v>
      </c>
      <c r="M767" s="1364" t="s">
        <v>1018</v>
      </c>
      <c r="N767" s="242"/>
      <c r="O767" s="243" t="s">
        <v>384</v>
      </c>
      <c r="P767" s="244"/>
      <c r="Q767" s="244"/>
      <c r="R767" s="244"/>
      <c r="S767" s="244"/>
      <c r="T767" s="244"/>
      <c r="U767" s="244"/>
      <c r="V767" s="244"/>
      <c r="W767" s="244"/>
      <c r="X767" s="244"/>
      <c r="Y767" s="244"/>
      <c r="Z767" s="244"/>
      <c r="AA767" s="244"/>
      <c r="AB767" s="244"/>
      <c r="AC767" s="244"/>
      <c r="AD767" s="244"/>
      <c r="AE767" s="244"/>
      <c r="AF767" s="1350">
        <v>1</v>
      </c>
      <c r="AG767" s="1352" t="s">
        <v>1055</v>
      </c>
      <c r="AH767" s="1352" t="s">
        <v>1107</v>
      </c>
      <c r="AI767" s="1350">
        <v>1</v>
      </c>
      <c r="AJ767" s="1352" t="s">
        <v>1055</v>
      </c>
      <c r="AK767" s="1352" t="s">
        <v>1107</v>
      </c>
      <c r="AL767" s="772"/>
    </row>
    <row r="768" spans="1:38" ht="11.25" customHeight="1">
      <c r="A768" s="1030" t="s">
        <v>1019</v>
      </c>
      <c r="E768" s="557"/>
      <c r="F768" s="1339"/>
      <c r="G768" s="1340"/>
      <c r="H768" s="1335" t="s">
        <v>161</v>
      </c>
      <c r="I768" s="1347"/>
      <c r="J768" s="1363"/>
      <c r="K768" s="1349"/>
      <c r="L768" s="1079"/>
      <c r="M768" s="1364"/>
      <c r="N768" s="1355"/>
      <c r="O768" s="1356">
        <v>1</v>
      </c>
      <c r="P768" s="1357" t="s">
        <v>19</v>
      </c>
      <c r="Q768" s="1308" t="s">
        <v>22</v>
      </c>
      <c r="R768" s="1308" t="s">
        <v>22</v>
      </c>
      <c r="S768" s="1308" t="s">
        <v>22</v>
      </c>
      <c r="T768" s="1308" t="s">
        <v>22</v>
      </c>
      <c r="U768" s="1308" t="s">
        <v>22</v>
      </c>
      <c r="V768" s="1308" t="s">
        <v>22</v>
      </c>
      <c r="W768" s="1308" t="s">
        <v>22</v>
      </c>
      <c r="X768" s="1308" t="s">
        <v>22</v>
      </c>
      <c r="Y768" s="1308"/>
      <c r="Z768" s="229"/>
      <c r="AA768" s="230"/>
      <c r="AB768" s="230"/>
      <c r="AC768" s="231"/>
      <c r="AD768" s="231"/>
      <c r="AE768" s="245"/>
      <c r="AF768" s="1350"/>
      <c r="AG768" s="1352"/>
      <c r="AH768" s="1352"/>
      <c r="AI768" s="1350"/>
      <c r="AJ768" s="1352"/>
      <c r="AK768" s="1352"/>
      <c r="AL768" s="772"/>
    </row>
    <row r="769" spans="1:38" ht="11.25" customHeight="1">
      <c r="A769" s="1030" t="s">
        <v>1019</v>
      </c>
      <c r="E769" s="557"/>
      <c r="F769" s="1339"/>
      <c r="G769" s="1340"/>
      <c r="H769" s="1335" t="s">
        <v>161</v>
      </c>
      <c r="I769" s="1347"/>
      <c r="J769" s="1363"/>
      <c r="K769" s="1349"/>
      <c r="L769" s="1079"/>
      <c r="M769" s="1364"/>
      <c r="N769" s="1355"/>
      <c r="O769" s="1356"/>
      <c r="P769" s="1358"/>
      <c r="Q769" s="1308"/>
      <c r="R769" s="1308"/>
      <c r="S769" s="1361"/>
      <c r="T769" s="1308"/>
      <c r="U769" s="1308"/>
      <c r="V769" s="1308"/>
      <c r="W769" s="1308"/>
      <c r="X769" s="1308"/>
      <c r="Y769" s="1308"/>
      <c r="AA769" s="778">
        <v>1</v>
      </c>
      <c r="AB769" s="779" t="s">
        <v>1119</v>
      </c>
      <c r="AC769" s="237">
        <v>1227.65958235833</v>
      </c>
      <c r="AD769" s="779" t="str">
        <f>AB769</f>
        <v xml:space="preserve">  Прибыль направляемая на инвестиции</v>
      </c>
      <c r="AE769" s="237">
        <v>1227.6595823583</v>
      </c>
      <c r="AF769" s="1350"/>
      <c r="AG769" s="1352"/>
      <c r="AH769" s="1352"/>
      <c r="AI769" s="1350"/>
      <c r="AJ769" s="1352"/>
      <c r="AK769" s="1352"/>
      <c r="AL769" s="772"/>
    </row>
    <row r="770" spans="1:38" ht="11.25" customHeight="1">
      <c r="A770" t="s">
        <v>1019</v>
      </c>
      <c r="E770" s="557"/>
      <c r="F770" s="1340"/>
      <c r="G770" s="1340"/>
      <c r="H770" s="1340"/>
      <c r="I770" s="1340"/>
      <c r="J770" s="1340"/>
      <c r="K770" s="1340"/>
      <c r="L770" s="1340"/>
      <c r="M770" s="1365"/>
      <c r="N770" s="1340"/>
      <c r="O770" s="1340"/>
      <c r="P770" s="1340"/>
      <c r="Q770" s="1340"/>
      <c r="R770" s="1340"/>
      <c r="S770" s="1340"/>
      <c r="T770" s="1340"/>
      <c r="U770" s="1340"/>
      <c r="V770" s="1340"/>
      <c r="W770" s="1340"/>
      <c r="X770" s="1340"/>
      <c r="Y770" s="1340"/>
      <c r="Z770" s="181" t="s">
        <v>103</v>
      </c>
      <c r="AA770" s="780" t="s">
        <v>102</v>
      </c>
      <c r="AB770" s="779" t="s">
        <v>1120</v>
      </c>
      <c r="AC770" s="237">
        <v>859.55013934592296</v>
      </c>
      <c r="AD770" s="779" t="str">
        <f>AB770</f>
        <v xml:space="preserve">     Прочие амортизационные отчисления</v>
      </c>
      <c r="AE770" s="237">
        <v>859.55013934589999</v>
      </c>
      <c r="AF770" s="1351"/>
      <c r="AG770" s="1353"/>
      <c r="AH770" s="1353"/>
      <c r="AI770" s="1351"/>
      <c r="AJ770" s="1353"/>
      <c r="AK770" s="1354"/>
      <c r="AL770" s="772"/>
    </row>
    <row r="771" spans="1:38" ht="11.25" customHeight="1">
      <c r="A771" t="s">
        <v>1019</v>
      </c>
      <c r="E771" s="557"/>
      <c r="F771" s="1340"/>
      <c r="G771" s="1340"/>
      <c r="H771" s="1340"/>
      <c r="I771" s="1340"/>
      <c r="J771" s="1340"/>
      <c r="K771" s="1340"/>
      <c r="L771" s="1340"/>
      <c r="M771" s="1365"/>
      <c r="N771" s="1340"/>
      <c r="O771" s="1340"/>
      <c r="P771" s="1340"/>
      <c r="Q771" s="1340"/>
      <c r="R771" s="1340"/>
      <c r="S771" s="1340"/>
      <c r="T771" s="1340"/>
      <c r="U771" s="1340"/>
      <c r="V771" s="1340"/>
      <c r="W771" s="1340"/>
      <c r="X771" s="1340"/>
      <c r="Y771" s="1340"/>
      <c r="Z771" s="181" t="s">
        <v>103</v>
      </c>
      <c r="AA771" s="780" t="s">
        <v>89</v>
      </c>
      <c r="AB771" s="779" t="s">
        <v>1138</v>
      </c>
      <c r="AC771" s="237">
        <v>370.02337829574901</v>
      </c>
      <c r="AD771" s="779" t="str">
        <f>AB771</f>
        <v xml:space="preserve">  Прочие собственные средства</v>
      </c>
      <c r="AE771" s="237">
        <v>370.33407</v>
      </c>
      <c r="AF771" s="1351"/>
      <c r="AG771" s="1353"/>
      <c r="AH771" s="1353"/>
      <c r="AI771" s="1351"/>
      <c r="AJ771" s="1353"/>
      <c r="AK771" s="1354"/>
      <c r="AL771" s="772"/>
    </row>
    <row r="772" spans="1:38" ht="11.25" customHeight="1">
      <c r="A772" t="s">
        <v>1019</v>
      </c>
      <c r="E772" s="557"/>
      <c r="F772" s="1340"/>
      <c r="G772" s="1340"/>
      <c r="H772" s="1340"/>
      <c r="I772" s="1340"/>
      <c r="J772" s="1340"/>
      <c r="K772" s="1340"/>
      <c r="L772" s="1340"/>
      <c r="M772" s="1365"/>
      <c r="N772" s="1340"/>
      <c r="O772" s="1340"/>
      <c r="P772" s="1340"/>
      <c r="Q772" s="1340"/>
      <c r="R772" s="1340"/>
      <c r="S772" s="1340"/>
      <c r="T772" s="1340"/>
      <c r="U772" s="1340"/>
      <c r="V772" s="1340"/>
      <c r="W772" s="1340"/>
      <c r="X772" s="1340"/>
      <c r="Y772" s="1340"/>
      <c r="Z772" s="181" t="s">
        <v>103</v>
      </c>
      <c r="AA772" s="780" t="s">
        <v>90</v>
      </c>
      <c r="AB772" s="779" t="s">
        <v>1057</v>
      </c>
      <c r="AC772" s="237">
        <v>0</v>
      </c>
      <c r="AD772" s="779" t="str">
        <f>AB772</f>
        <v xml:space="preserve">  Кредиты</v>
      </c>
      <c r="AE772" s="237">
        <v>767.60870829580006</v>
      </c>
      <c r="AF772" s="1351"/>
      <c r="AG772" s="1353"/>
      <c r="AH772" s="1353"/>
      <c r="AI772" s="1351"/>
      <c r="AJ772" s="1353"/>
      <c r="AK772" s="1354"/>
      <c r="AL772" s="772"/>
    </row>
    <row r="773" spans="1:38" ht="11.25" customHeight="1">
      <c r="A773" s="1030" t="s">
        <v>1019</v>
      </c>
      <c r="E773" s="557"/>
      <c r="F773" s="1339"/>
      <c r="G773" s="1340"/>
      <c r="H773" s="1335" t="s">
        <v>161</v>
      </c>
      <c r="I773" s="1347"/>
      <c r="J773" s="1363"/>
      <c r="K773" s="1349"/>
      <c r="L773" s="1079"/>
      <c r="M773" s="1364"/>
      <c r="N773" s="1355"/>
      <c r="O773" s="1356"/>
      <c r="P773" s="1359"/>
      <c r="Q773" s="1308"/>
      <c r="R773" s="1308"/>
      <c r="S773" s="1361"/>
      <c r="T773" s="1308"/>
      <c r="U773" s="1308"/>
      <c r="V773" s="1308"/>
      <c r="W773" s="1308"/>
      <c r="X773" s="1308"/>
      <c r="Y773" s="1308"/>
      <c r="Z773" s="229"/>
      <c r="AA773" s="230"/>
      <c r="AB773" s="44" t="s">
        <v>1059</v>
      </c>
      <c r="AC773" s="231"/>
      <c r="AD773" s="231"/>
      <c r="AE773" s="246"/>
      <c r="AF773" s="1350"/>
      <c r="AG773" s="1352"/>
      <c r="AH773" s="1352"/>
      <c r="AI773" s="1350"/>
      <c r="AJ773" s="1352"/>
      <c r="AK773" s="1352"/>
      <c r="AL773" s="772"/>
    </row>
    <row r="774" spans="1:38" ht="11.25" customHeight="1">
      <c r="A774" s="1030" t="s">
        <v>1019</v>
      </c>
      <c r="E774" s="557"/>
      <c r="F774" s="1339"/>
      <c r="G774" s="1340"/>
      <c r="H774" s="1335" t="s">
        <v>161</v>
      </c>
      <c r="I774" s="1347"/>
      <c r="J774" s="1363"/>
      <c r="K774" s="1349"/>
      <c r="L774" s="1079"/>
      <c r="M774" s="1364"/>
      <c r="N774" s="229"/>
      <c r="O774" s="230"/>
      <c r="P774" s="44" t="s">
        <v>1060</v>
      </c>
      <c r="Q774" s="230"/>
      <c r="R774" s="230"/>
      <c r="S774" s="230"/>
      <c r="T774" s="230"/>
      <c r="U774" s="230"/>
      <c r="V774" s="230"/>
      <c r="W774" s="230"/>
      <c r="X774" s="230"/>
      <c r="Y774" s="230"/>
      <c r="Z774" s="230"/>
      <c r="AA774" s="230"/>
      <c r="AB774" s="230"/>
      <c r="AC774" s="230"/>
      <c r="AD774" s="230"/>
      <c r="AE774" s="247"/>
      <c r="AF774" s="1350"/>
      <c r="AG774" s="1352"/>
      <c r="AH774" s="1352"/>
      <c r="AI774" s="1350"/>
      <c r="AJ774" s="1352"/>
      <c r="AK774" s="1352"/>
      <c r="AL774" s="772"/>
    </row>
    <row r="775" spans="1:38" ht="11.25" customHeight="1">
      <c r="A775" s="1030" t="s">
        <v>1019</v>
      </c>
      <c r="B775" s="1030" t="s">
        <v>1051</v>
      </c>
      <c r="E775" s="557"/>
      <c r="F775" s="1339"/>
      <c r="G775" s="1325" t="s">
        <v>103</v>
      </c>
      <c r="H775" s="1335" t="s">
        <v>163</v>
      </c>
      <c r="I775" s="1347" t="s">
        <v>1052</v>
      </c>
      <c r="J775" s="1363" t="s">
        <v>1053</v>
      </c>
      <c r="K775" s="1349" t="s">
        <v>1123</v>
      </c>
      <c r="L775" s="1079" t="s">
        <v>61</v>
      </c>
      <c r="M775" s="1364" t="s">
        <v>1018</v>
      </c>
      <c r="N775" s="242"/>
      <c r="O775" s="243" t="s">
        <v>384</v>
      </c>
      <c r="P775" s="244"/>
      <c r="Q775" s="244"/>
      <c r="R775" s="244"/>
      <c r="S775" s="244"/>
      <c r="T775" s="244"/>
      <c r="U775" s="244"/>
      <c r="V775" s="244"/>
      <c r="W775" s="244"/>
      <c r="X775" s="244"/>
      <c r="Y775" s="244"/>
      <c r="Z775" s="244"/>
      <c r="AA775" s="244"/>
      <c r="AB775" s="244"/>
      <c r="AC775" s="244"/>
      <c r="AD775" s="244"/>
      <c r="AE775" s="244"/>
      <c r="AF775" s="1350">
        <v>2</v>
      </c>
      <c r="AG775" s="1352" t="s">
        <v>1055</v>
      </c>
      <c r="AH775" s="1352" t="s">
        <v>1079</v>
      </c>
      <c r="AI775" s="1350">
        <v>2</v>
      </c>
      <c r="AJ775" s="1352" t="s">
        <v>1055</v>
      </c>
      <c r="AK775" s="1352" t="s">
        <v>1079</v>
      </c>
      <c r="AL775" s="772"/>
    </row>
    <row r="776" spans="1:38" ht="11.25" customHeight="1">
      <c r="A776" s="1030" t="s">
        <v>1019</v>
      </c>
      <c r="E776" s="557"/>
      <c r="F776" s="1339"/>
      <c r="G776" s="1340"/>
      <c r="H776" s="1335" t="s">
        <v>162</v>
      </c>
      <c r="I776" s="1347"/>
      <c r="J776" s="1363"/>
      <c r="K776" s="1349"/>
      <c r="L776" s="1079"/>
      <c r="M776" s="1364"/>
      <c r="N776" s="1355"/>
      <c r="O776" s="1356">
        <v>1</v>
      </c>
      <c r="P776" s="1357" t="s">
        <v>19</v>
      </c>
      <c r="Q776" s="1308" t="s">
        <v>22</v>
      </c>
      <c r="R776" s="1308" t="s">
        <v>22</v>
      </c>
      <c r="S776" s="1308" t="s">
        <v>22</v>
      </c>
      <c r="T776" s="1308" t="s">
        <v>22</v>
      </c>
      <c r="U776" s="1308" t="s">
        <v>22</v>
      </c>
      <c r="V776" s="1308" t="s">
        <v>22</v>
      </c>
      <c r="W776" s="1308" t="s">
        <v>22</v>
      </c>
      <c r="X776" s="1308" t="s">
        <v>22</v>
      </c>
      <c r="Y776" s="1308"/>
      <c r="Z776" s="229"/>
      <c r="AA776" s="230"/>
      <c r="AB776" s="230"/>
      <c r="AC776" s="231"/>
      <c r="AD776" s="231"/>
      <c r="AE776" s="245"/>
      <c r="AF776" s="1350"/>
      <c r="AG776" s="1352"/>
      <c r="AH776" s="1352"/>
      <c r="AI776" s="1350"/>
      <c r="AJ776" s="1352"/>
      <c r="AK776" s="1352"/>
      <c r="AL776" s="772"/>
    </row>
    <row r="777" spans="1:38" ht="11.25" customHeight="1">
      <c r="A777" s="1030" t="s">
        <v>1019</v>
      </c>
      <c r="E777" s="557"/>
      <c r="F777" s="1339"/>
      <c r="G777" s="1340"/>
      <c r="H777" s="1335" t="s">
        <v>162</v>
      </c>
      <c r="I777" s="1347"/>
      <c r="J777" s="1363"/>
      <c r="K777" s="1349"/>
      <c r="L777" s="1079"/>
      <c r="M777" s="1364"/>
      <c r="N777" s="1355"/>
      <c r="O777" s="1356"/>
      <c r="P777" s="1358"/>
      <c r="Q777" s="1308"/>
      <c r="R777" s="1308"/>
      <c r="S777" s="1361"/>
      <c r="T777" s="1308"/>
      <c r="U777" s="1308"/>
      <c r="V777" s="1308"/>
      <c r="W777" s="1308"/>
      <c r="X777" s="1308"/>
      <c r="Y777" s="1308"/>
      <c r="AA777" s="778">
        <v>1</v>
      </c>
      <c r="AB777" s="779" t="s">
        <v>1119</v>
      </c>
      <c r="AC777" s="237">
        <v>49.129335688810798</v>
      </c>
      <c r="AD777" s="779" t="str">
        <f>AB777</f>
        <v xml:space="preserve">  Прибыль направляемая на инвестиции</v>
      </c>
      <c r="AE777" s="237">
        <v>49.129335688799998</v>
      </c>
      <c r="AF777" s="1350"/>
      <c r="AG777" s="1352"/>
      <c r="AH777" s="1352"/>
      <c r="AI777" s="1350"/>
      <c r="AJ777" s="1352"/>
      <c r="AK777" s="1352"/>
      <c r="AL777" s="772"/>
    </row>
    <row r="778" spans="1:38" ht="11.25" customHeight="1">
      <c r="A778" t="s">
        <v>1019</v>
      </c>
      <c r="E778" s="557"/>
      <c r="F778" s="1340"/>
      <c r="G778" s="1340"/>
      <c r="H778" s="1340"/>
      <c r="I778" s="1340"/>
      <c r="J778" s="1340"/>
      <c r="K778" s="1340"/>
      <c r="L778" s="1340"/>
      <c r="M778" s="1365"/>
      <c r="N778" s="1340"/>
      <c r="O778" s="1340"/>
      <c r="P778" s="1340"/>
      <c r="Q778" s="1340"/>
      <c r="R778" s="1340"/>
      <c r="S778" s="1340"/>
      <c r="T778" s="1340"/>
      <c r="U778" s="1340"/>
      <c r="V778" s="1340"/>
      <c r="W778" s="1340"/>
      <c r="X778" s="1340"/>
      <c r="Y778" s="1340"/>
      <c r="Z778" s="181" t="s">
        <v>103</v>
      </c>
      <c r="AA778" s="780" t="s">
        <v>102</v>
      </c>
      <c r="AB778" s="779" t="s">
        <v>1120</v>
      </c>
      <c r="AC778" s="237">
        <v>34.398075772901201</v>
      </c>
      <c r="AD778" s="779" t="str">
        <f>AB778</f>
        <v xml:space="preserve">     Прочие амортизационные отчисления</v>
      </c>
      <c r="AE778" s="237">
        <v>34.3980757729</v>
      </c>
      <c r="AF778" s="1351"/>
      <c r="AG778" s="1353"/>
      <c r="AH778" s="1353"/>
      <c r="AI778" s="1351"/>
      <c r="AJ778" s="1353"/>
      <c r="AK778" s="1354"/>
      <c r="AL778" s="772"/>
    </row>
    <row r="779" spans="1:38" ht="11.25" customHeight="1">
      <c r="A779" t="s">
        <v>1019</v>
      </c>
      <c r="E779" s="557"/>
      <c r="F779" s="1340"/>
      <c r="G779" s="1340"/>
      <c r="H779" s="1340"/>
      <c r="I779" s="1340"/>
      <c r="J779" s="1340"/>
      <c r="K779" s="1340"/>
      <c r="L779" s="1340"/>
      <c r="M779" s="1365"/>
      <c r="N779" s="1340"/>
      <c r="O779" s="1340"/>
      <c r="P779" s="1340"/>
      <c r="Q779" s="1340"/>
      <c r="R779" s="1340"/>
      <c r="S779" s="1340"/>
      <c r="T779" s="1340"/>
      <c r="U779" s="1340"/>
      <c r="V779" s="1340"/>
      <c r="W779" s="1340"/>
      <c r="X779" s="1340"/>
      <c r="Y779" s="1340"/>
      <c r="Z779" s="181" t="s">
        <v>103</v>
      </c>
      <c r="AA779" s="780" t="s">
        <v>89</v>
      </c>
      <c r="AB779" s="779" t="s">
        <v>1138</v>
      </c>
      <c r="AC779" s="237">
        <v>14.807853110288001</v>
      </c>
      <c r="AD779" s="779" t="str">
        <f>AB779</f>
        <v xml:space="preserve">  Прочие собственные средства</v>
      </c>
      <c r="AE779" s="237">
        <v>0</v>
      </c>
      <c r="AF779" s="1351"/>
      <c r="AG779" s="1353"/>
      <c r="AH779" s="1353"/>
      <c r="AI779" s="1351"/>
      <c r="AJ779" s="1353"/>
      <c r="AK779" s="1354"/>
      <c r="AL779" s="772"/>
    </row>
    <row r="780" spans="1:38" ht="11.25" customHeight="1">
      <c r="A780" t="s">
        <v>1019</v>
      </c>
      <c r="E780" s="557"/>
      <c r="F780" s="1340"/>
      <c r="G780" s="1340"/>
      <c r="H780" s="1340"/>
      <c r="I780" s="1340"/>
      <c r="J780" s="1340"/>
      <c r="K780" s="1340"/>
      <c r="L780" s="1340"/>
      <c r="M780" s="1365"/>
      <c r="N780" s="1340"/>
      <c r="O780" s="1340"/>
      <c r="P780" s="1340"/>
      <c r="Q780" s="1340"/>
      <c r="R780" s="1340"/>
      <c r="S780" s="1340"/>
      <c r="T780" s="1340"/>
      <c r="U780" s="1340"/>
      <c r="V780" s="1340"/>
      <c r="W780" s="1340"/>
      <c r="X780" s="1340"/>
      <c r="Y780" s="1340"/>
      <c r="Z780" s="181" t="s">
        <v>103</v>
      </c>
      <c r="AA780" s="780" t="s">
        <v>90</v>
      </c>
      <c r="AB780" s="779" t="s">
        <v>1057</v>
      </c>
      <c r="AC780" s="237">
        <v>0</v>
      </c>
      <c r="AD780" s="779" t="str">
        <f>AB780</f>
        <v xml:space="preserve">  Кредиты</v>
      </c>
      <c r="AE780" s="237">
        <v>1660.1899185382999</v>
      </c>
      <c r="AF780" s="1351"/>
      <c r="AG780" s="1353"/>
      <c r="AH780" s="1353"/>
      <c r="AI780" s="1351"/>
      <c r="AJ780" s="1353"/>
      <c r="AK780" s="1354"/>
      <c r="AL780" s="772"/>
    </row>
    <row r="781" spans="1:38" ht="11.25" customHeight="1">
      <c r="A781" s="1030" t="s">
        <v>1019</v>
      </c>
      <c r="E781" s="557"/>
      <c r="F781" s="1339"/>
      <c r="G781" s="1340"/>
      <c r="H781" s="1335" t="s">
        <v>162</v>
      </c>
      <c r="I781" s="1347"/>
      <c r="J781" s="1363"/>
      <c r="K781" s="1349"/>
      <c r="L781" s="1079"/>
      <c r="M781" s="1364"/>
      <c r="N781" s="1355"/>
      <c r="O781" s="1356"/>
      <c r="P781" s="1359"/>
      <c r="Q781" s="1308"/>
      <c r="R781" s="1308"/>
      <c r="S781" s="1361"/>
      <c r="T781" s="1308"/>
      <c r="U781" s="1308"/>
      <c r="V781" s="1308"/>
      <c r="W781" s="1308"/>
      <c r="X781" s="1308"/>
      <c r="Y781" s="1308"/>
      <c r="Z781" s="229"/>
      <c r="AA781" s="230"/>
      <c r="AB781" s="44" t="s">
        <v>1059</v>
      </c>
      <c r="AC781" s="231"/>
      <c r="AD781" s="231"/>
      <c r="AE781" s="246"/>
      <c r="AF781" s="1350"/>
      <c r="AG781" s="1352"/>
      <c r="AH781" s="1352"/>
      <c r="AI781" s="1350"/>
      <c r="AJ781" s="1352"/>
      <c r="AK781" s="1352"/>
      <c r="AL781" s="772"/>
    </row>
    <row r="782" spans="1:38" ht="11.25" customHeight="1">
      <c r="A782" s="1030" t="s">
        <v>1019</v>
      </c>
      <c r="E782" s="557"/>
      <c r="F782" s="1339"/>
      <c r="G782" s="1340"/>
      <c r="H782" s="1335" t="s">
        <v>162</v>
      </c>
      <c r="I782" s="1347"/>
      <c r="J782" s="1363"/>
      <c r="K782" s="1349"/>
      <c r="L782" s="1079"/>
      <c r="M782" s="1364"/>
      <c r="N782" s="229"/>
      <c r="O782" s="230"/>
      <c r="P782" s="44" t="s">
        <v>1060</v>
      </c>
      <c r="Q782" s="230"/>
      <c r="R782" s="230"/>
      <c r="S782" s="230"/>
      <c r="T782" s="230"/>
      <c r="U782" s="230"/>
      <c r="V782" s="230"/>
      <c r="W782" s="230"/>
      <c r="X782" s="230"/>
      <c r="Y782" s="230"/>
      <c r="Z782" s="230"/>
      <c r="AA782" s="230"/>
      <c r="AB782" s="230"/>
      <c r="AC782" s="230"/>
      <c r="AD782" s="230"/>
      <c r="AE782" s="247"/>
      <c r="AF782" s="1350"/>
      <c r="AG782" s="1352"/>
      <c r="AH782" s="1352"/>
      <c r="AI782" s="1350"/>
      <c r="AJ782" s="1352"/>
      <c r="AK782" s="1352"/>
      <c r="AL782" s="772"/>
    </row>
    <row r="783" spans="1:38" ht="11.25" customHeight="1">
      <c r="A783" s="1030" t="s">
        <v>1019</v>
      </c>
      <c r="B783" s="1030" t="s">
        <v>1051</v>
      </c>
      <c r="E783" s="557"/>
      <c r="F783" s="1339"/>
      <c r="G783" s="1325" t="s">
        <v>103</v>
      </c>
      <c r="H783" s="1335" t="s">
        <v>1127</v>
      </c>
      <c r="I783" s="1347" t="s">
        <v>1052</v>
      </c>
      <c r="J783" s="1363" t="s">
        <v>1053</v>
      </c>
      <c r="K783" s="1349" t="s">
        <v>1124</v>
      </c>
      <c r="L783" s="1079" t="s">
        <v>61</v>
      </c>
      <c r="M783" s="1364" t="s">
        <v>1018</v>
      </c>
      <c r="N783" s="242"/>
      <c r="O783" s="243" t="s">
        <v>384</v>
      </c>
      <c r="P783" s="244"/>
      <c r="Q783" s="244"/>
      <c r="R783" s="244"/>
      <c r="S783" s="244"/>
      <c r="T783" s="244"/>
      <c r="U783" s="244"/>
      <c r="V783" s="244"/>
      <c r="W783" s="244"/>
      <c r="X783" s="244"/>
      <c r="Y783" s="244"/>
      <c r="Z783" s="244"/>
      <c r="AA783" s="244"/>
      <c r="AB783" s="244"/>
      <c r="AC783" s="244"/>
      <c r="AD783" s="244"/>
      <c r="AE783" s="244"/>
      <c r="AF783" s="1350">
        <v>2</v>
      </c>
      <c r="AG783" s="1352" t="s">
        <v>1055</v>
      </c>
      <c r="AH783" s="1352" t="s">
        <v>1079</v>
      </c>
      <c r="AI783" s="1350">
        <v>2</v>
      </c>
      <c r="AJ783" s="1352" t="s">
        <v>1055</v>
      </c>
      <c r="AK783" s="1352" t="s">
        <v>1079</v>
      </c>
      <c r="AL783" s="772"/>
    </row>
    <row r="784" spans="1:38" ht="11.25" customHeight="1">
      <c r="A784" s="1030" t="s">
        <v>1019</v>
      </c>
      <c r="E784" s="557"/>
      <c r="F784" s="1339"/>
      <c r="G784" s="1340"/>
      <c r="H784" s="1335" t="s">
        <v>163</v>
      </c>
      <c r="I784" s="1347"/>
      <c r="J784" s="1363"/>
      <c r="K784" s="1349"/>
      <c r="L784" s="1079"/>
      <c r="M784" s="1364"/>
      <c r="N784" s="1355"/>
      <c r="O784" s="1356">
        <v>1</v>
      </c>
      <c r="P784" s="1357" t="s">
        <v>19</v>
      </c>
      <c r="Q784" s="1308" t="s">
        <v>22</v>
      </c>
      <c r="R784" s="1308" t="s">
        <v>22</v>
      </c>
      <c r="S784" s="1308" t="s">
        <v>22</v>
      </c>
      <c r="T784" s="1308" t="s">
        <v>22</v>
      </c>
      <c r="U784" s="1308" t="s">
        <v>22</v>
      </c>
      <c r="V784" s="1308" t="s">
        <v>22</v>
      </c>
      <c r="W784" s="1308" t="s">
        <v>22</v>
      </c>
      <c r="X784" s="1308" t="s">
        <v>22</v>
      </c>
      <c r="Y784" s="1308"/>
      <c r="Z784" s="229"/>
      <c r="AA784" s="230"/>
      <c r="AB784" s="230"/>
      <c r="AC784" s="231"/>
      <c r="AD784" s="231"/>
      <c r="AE784" s="245"/>
      <c r="AF784" s="1350"/>
      <c r="AG784" s="1352"/>
      <c r="AH784" s="1352"/>
      <c r="AI784" s="1350"/>
      <c r="AJ784" s="1352"/>
      <c r="AK784" s="1352"/>
      <c r="AL784" s="772"/>
    </row>
    <row r="785" spans="1:38" ht="11.25" customHeight="1">
      <c r="A785" s="1030" t="s">
        <v>1019</v>
      </c>
      <c r="E785" s="557"/>
      <c r="F785" s="1339"/>
      <c r="G785" s="1340"/>
      <c r="H785" s="1335" t="s">
        <v>163</v>
      </c>
      <c r="I785" s="1347"/>
      <c r="J785" s="1363"/>
      <c r="K785" s="1349"/>
      <c r="L785" s="1079"/>
      <c r="M785" s="1364"/>
      <c r="N785" s="1355"/>
      <c r="O785" s="1356"/>
      <c r="P785" s="1358"/>
      <c r="Q785" s="1308"/>
      <c r="R785" s="1308"/>
      <c r="S785" s="1361"/>
      <c r="T785" s="1308"/>
      <c r="U785" s="1308"/>
      <c r="V785" s="1308"/>
      <c r="W785" s="1308"/>
      <c r="X785" s="1308"/>
      <c r="Y785" s="1308"/>
      <c r="AA785" s="778">
        <v>1</v>
      </c>
      <c r="AB785" s="779" t="s">
        <v>1119</v>
      </c>
      <c r="AC785" s="237">
        <v>48.143079697977001</v>
      </c>
      <c r="AD785" s="779" t="str">
        <f>AB785</f>
        <v xml:space="preserve">  Прибыль направляемая на инвестиции</v>
      </c>
      <c r="AE785" s="237">
        <v>689.53811399493998</v>
      </c>
      <c r="AF785" s="1350"/>
      <c r="AG785" s="1352"/>
      <c r="AH785" s="1352"/>
      <c r="AI785" s="1350"/>
      <c r="AJ785" s="1352"/>
      <c r="AK785" s="1352"/>
      <c r="AL785" s="772"/>
    </row>
    <row r="786" spans="1:38" ht="11.25" customHeight="1">
      <c r="A786" t="s">
        <v>1019</v>
      </c>
      <c r="E786" s="557"/>
      <c r="F786" s="1340"/>
      <c r="G786" s="1340"/>
      <c r="H786" s="1340"/>
      <c r="I786" s="1340"/>
      <c r="J786" s="1340"/>
      <c r="K786" s="1340"/>
      <c r="L786" s="1340"/>
      <c r="M786" s="1365"/>
      <c r="N786" s="1340"/>
      <c r="O786" s="1340"/>
      <c r="P786" s="1340"/>
      <c r="Q786" s="1340"/>
      <c r="R786" s="1340"/>
      <c r="S786" s="1340"/>
      <c r="T786" s="1340"/>
      <c r="U786" s="1340"/>
      <c r="V786" s="1340"/>
      <c r="W786" s="1340"/>
      <c r="X786" s="1340"/>
      <c r="Y786" s="1340"/>
      <c r="Z786" s="181" t="s">
        <v>103</v>
      </c>
      <c r="AA786" s="780" t="s">
        <v>102</v>
      </c>
      <c r="AB786" s="779" t="s">
        <v>1120</v>
      </c>
      <c r="AC786" s="237">
        <v>33.707545200310797</v>
      </c>
      <c r="AD786" s="779" t="str">
        <f>AB786</f>
        <v xml:space="preserve">     Прочие амортизационные отчисления</v>
      </c>
      <c r="AE786" s="237">
        <v>482.78251600506098</v>
      </c>
      <c r="AF786" s="1351"/>
      <c r="AG786" s="1353"/>
      <c r="AH786" s="1353"/>
      <c r="AI786" s="1351"/>
      <c r="AJ786" s="1353"/>
      <c r="AK786" s="1354"/>
      <c r="AL786" s="772"/>
    </row>
    <row r="787" spans="1:38" ht="11.25" customHeight="1">
      <c r="A787" t="s">
        <v>1019</v>
      </c>
      <c r="E787" s="557"/>
      <c r="F787" s="1340"/>
      <c r="G787" s="1340"/>
      <c r="H787" s="1340"/>
      <c r="I787" s="1340"/>
      <c r="J787" s="1340"/>
      <c r="K787" s="1340"/>
      <c r="L787" s="1340"/>
      <c r="M787" s="1365"/>
      <c r="N787" s="1340"/>
      <c r="O787" s="1340"/>
      <c r="P787" s="1340"/>
      <c r="Q787" s="1340"/>
      <c r="R787" s="1340"/>
      <c r="S787" s="1340"/>
      <c r="T787" s="1340"/>
      <c r="U787" s="1340"/>
      <c r="V787" s="1340"/>
      <c r="W787" s="1340"/>
      <c r="X787" s="1340"/>
      <c r="Y787" s="1340"/>
      <c r="Z787" s="181" t="s">
        <v>103</v>
      </c>
      <c r="AA787" s="780" t="s">
        <v>89</v>
      </c>
      <c r="AB787" s="779" t="s">
        <v>1138</v>
      </c>
      <c r="AC787" s="237">
        <v>14.5105901077123</v>
      </c>
      <c r="AD787" s="779" t="str">
        <f>AB787</f>
        <v xml:space="preserve">  Прочие собственные средства</v>
      </c>
      <c r="AE787" s="237">
        <v>0</v>
      </c>
      <c r="AF787" s="1351"/>
      <c r="AG787" s="1353"/>
      <c r="AH787" s="1353"/>
      <c r="AI787" s="1351"/>
      <c r="AJ787" s="1353"/>
      <c r="AK787" s="1354"/>
      <c r="AL787" s="772"/>
    </row>
    <row r="788" spans="1:38" ht="11.25" customHeight="1">
      <c r="A788" s="1030" t="s">
        <v>1019</v>
      </c>
      <c r="E788" s="557"/>
      <c r="F788" s="1339"/>
      <c r="G788" s="1340"/>
      <c r="H788" s="1335" t="s">
        <v>163</v>
      </c>
      <c r="I788" s="1347"/>
      <c r="J788" s="1363"/>
      <c r="K788" s="1349"/>
      <c r="L788" s="1079"/>
      <c r="M788" s="1364"/>
      <c r="N788" s="1355"/>
      <c r="O788" s="1356"/>
      <c r="P788" s="1359"/>
      <c r="Q788" s="1308"/>
      <c r="R788" s="1308"/>
      <c r="S788" s="1361"/>
      <c r="T788" s="1308"/>
      <c r="U788" s="1308"/>
      <c r="V788" s="1308"/>
      <c r="W788" s="1308"/>
      <c r="X788" s="1308"/>
      <c r="Y788" s="1308"/>
      <c r="Z788" s="229"/>
      <c r="AA788" s="230"/>
      <c r="AB788" s="44" t="s">
        <v>1059</v>
      </c>
      <c r="AC788" s="231"/>
      <c r="AD788" s="231"/>
      <c r="AE788" s="246"/>
      <c r="AF788" s="1350"/>
      <c r="AG788" s="1352"/>
      <c r="AH788" s="1352"/>
      <c r="AI788" s="1350"/>
      <c r="AJ788" s="1352"/>
      <c r="AK788" s="1352"/>
      <c r="AL788" s="772"/>
    </row>
    <row r="789" spans="1:38" ht="11.25" customHeight="1">
      <c r="A789" s="1030" t="s">
        <v>1019</v>
      </c>
      <c r="E789" s="557"/>
      <c r="F789" s="1339"/>
      <c r="G789" s="1340"/>
      <c r="H789" s="1335" t="s">
        <v>163</v>
      </c>
      <c r="I789" s="1347"/>
      <c r="J789" s="1363"/>
      <c r="K789" s="1349"/>
      <c r="L789" s="1079"/>
      <c r="M789" s="1364"/>
      <c r="N789" s="229"/>
      <c r="O789" s="230"/>
      <c r="P789" s="44" t="s">
        <v>1060</v>
      </c>
      <c r="Q789" s="230"/>
      <c r="R789" s="230"/>
      <c r="S789" s="230"/>
      <c r="T789" s="230"/>
      <c r="U789" s="230"/>
      <c r="V789" s="230"/>
      <c r="W789" s="230"/>
      <c r="X789" s="230"/>
      <c r="Y789" s="230"/>
      <c r="Z789" s="230"/>
      <c r="AA789" s="230"/>
      <c r="AB789" s="230"/>
      <c r="AC789" s="230"/>
      <c r="AD789" s="230"/>
      <c r="AE789" s="247"/>
      <c r="AF789" s="1350"/>
      <c r="AG789" s="1352"/>
      <c r="AH789" s="1352"/>
      <c r="AI789" s="1350"/>
      <c r="AJ789" s="1352"/>
      <c r="AK789" s="1352"/>
      <c r="AL789" s="772"/>
    </row>
    <row r="790" spans="1:38" ht="11.25" customHeight="1">
      <c r="A790" s="1030" t="s">
        <v>1019</v>
      </c>
      <c r="B790" s="1030" t="s">
        <v>1051</v>
      </c>
      <c r="E790" s="557"/>
      <c r="F790" s="1339"/>
      <c r="G790" s="1325" t="s">
        <v>103</v>
      </c>
      <c r="H790" s="1335" t="s">
        <v>1129</v>
      </c>
      <c r="I790" s="1347" t="s">
        <v>1052</v>
      </c>
      <c r="J790" s="1363" t="s">
        <v>1053</v>
      </c>
      <c r="K790" s="1349" t="s">
        <v>1125</v>
      </c>
      <c r="L790" s="1079" t="s">
        <v>61</v>
      </c>
      <c r="M790" s="1364" t="s">
        <v>1018</v>
      </c>
      <c r="N790" s="242"/>
      <c r="O790" s="243" t="s">
        <v>384</v>
      </c>
      <c r="P790" s="244"/>
      <c r="Q790" s="244"/>
      <c r="R790" s="244"/>
      <c r="S790" s="244"/>
      <c r="T790" s="244"/>
      <c r="U790" s="244"/>
      <c r="V790" s="244"/>
      <c r="W790" s="244"/>
      <c r="X790" s="244"/>
      <c r="Y790" s="244"/>
      <c r="Z790" s="244"/>
      <c r="AA790" s="244"/>
      <c r="AB790" s="244"/>
      <c r="AC790" s="244"/>
      <c r="AD790" s="244"/>
      <c r="AE790" s="244"/>
      <c r="AF790" s="1350">
        <v>1</v>
      </c>
      <c r="AG790" s="1352" t="s">
        <v>1055</v>
      </c>
      <c r="AH790" s="1352" t="s">
        <v>1107</v>
      </c>
      <c r="AI790" s="1350">
        <v>1</v>
      </c>
      <c r="AJ790" s="1352" t="s">
        <v>1055</v>
      </c>
      <c r="AK790" s="1352" t="s">
        <v>1107</v>
      </c>
      <c r="AL790" s="772"/>
    </row>
    <row r="791" spans="1:38" ht="11.25" customHeight="1">
      <c r="A791" s="1030" t="s">
        <v>1019</v>
      </c>
      <c r="E791" s="557"/>
      <c r="F791" s="1339"/>
      <c r="G791" s="1340"/>
      <c r="H791" s="1335" t="s">
        <v>1127</v>
      </c>
      <c r="I791" s="1347"/>
      <c r="J791" s="1363"/>
      <c r="K791" s="1349"/>
      <c r="L791" s="1079"/>
      <c r="M791" s="1364"/>
      <c r="N791" s="1355"/>
      <c r="O791" s="1356">
        <v>1</v>
      </c>
      <c r="P791" s="1357" t="s">
        <v>19</v>
      </c>
      <c r="Q791" s="1308" t="s">
        <v>22</v>
      </c>
      <c r="R791" s="1308" t="s">
        <v>22</v>
      </c>
      <c r="S791" s="1308" t="s">
        <v>22</v>
      </c>
      <c r="T791" s="1308" t="s">
        <v>22</v>
      </c>
      <c r="U791" s="1308" t="s">
        <v>22</v>
      </c>
      <c r="V791" s="1308" t="s">
        <v>22</v>
      </c>
      <c r="W791" s="1308" t="s">
        <v>22</v>
      </c>
      <c r="X791" s="1308" t="s">
        <v>22</v>
      </c>
      <c r="Y791" s="1308"/>
      <c r="Z791" s="229"/>
      <c r="AA791" s="230"/>
      <c r="AB791" s="230"/>
      <c r="AC791" s="231"/>
      <c r="AD791" s="231"/>
      <c r="AE791" s="245"/>
      <c r="AF791" s="1350"/>
      <c r="AG791" s="1352"/>
      <c r="AH791" s="1352"/>
      <c r="AI791" s="1350"/>
      <c r="AJ791" s="1352"/>
      <c r="AK791" s="1352"/>
      <c r="AL791" s="772"/>
    </row>
    <row r="792" spans="1:38" ht="11.25" customHeight="1">
      <c r="A792" s="1030" t="s">
        <v>1019</v>
      </c>
      <c r="E792" s="557"/>
      <c r="F792" s="1339"/>
      <c r="G792" s="1340"/>
      <c r="H792" s="1335" t="s">
        <v>1127</v>
      </c>
      <c r="I792" s="1347"/>
      <c r="J792" s="1363"/>
      <c r="K792" s="1349"/>
      <c r="L792" s="1079"/>
      <c r="M792" s="1364"/>
      <c r="N792" s="1355"/>
      <c r="O792" s="1356"/>
      <c r="P792" s="1358"/>
      <c r="Q792" s="1308"/>
      <c r="R792" s="1308"/>
      <c r="S792" s="1361"/>
      <c r="T792" s="1308"/>
      <c r="U792" s="1308"/>
      <c r="V792" s="1308"/>
      <c r="W792" s="1308"/>
      <c r="X792" s="1308"/>
      <c r="Y792" s="1308"/>
      <c r="AA792" s="778">
        <v>1</v>
      </c>
      <c r="AB792" s="779" t="s">
        <v>1119</v>
      </c>
      <c r="AC792" s="237">
        <v>5165.26148482792</v>
      </c>
      <c r="AD792" s="779" t="str">
        <f>AB792</f>
        <v xml:space="preserve">  Прибыль направляемая на инвестиции</v>
      </c>
      <c r="AE792" s="237">
        <v>5165.2614848278999</v>
      </c>
      <c r="AF792" s="1350"/>
      <c r="AG792" s="1352"/>
      <c r="AH792" s="1352"/>
      <c r="AI792" s="1350"/>
      <c r="AJ792" s="1352"/>
      <c r="AK792" s="1352"/>
      <c r="AL792" s="772"/>
    </row>
    <row r="793" spans="1:38" ht="11.25" customHeight="1">
      <c r="A793" t="s">
        <v>1019</v>
      </c>
      <c r="E793" s="557"/>
      <c r="F793" s="1340"/>
      <c r="G793" s="1340"/>
      <c r="H793" s="1340"/>
      <c r="I793" s="1340"/>
      <c r="J793" s="1340"/>
      <c r="K793" s="1340"/>
      <c r="L793" s="1340"/>
      <c r="M793" s="1365"/>
      <c r="N793" s="1340"/>
      <c r="O793" s="1340"/>
      <c r="P793" s="1340"/>
      <c r="Q793" s="1340"/>
      <c r="R793" s="1340"/>
      <c r="S793" s="1340"/>
      <c r="T793" s="1340"/>
      <c r="U793" s="1340"/>
      <c r="V793" s="1340"/>
      <c r="W793" s="1340"/>
      <c r="X793" s="1340"/>
      <c r="Y793" s="1340"/>
      <c r="Z793" s="181" t="s">
        <v>103</v>
      </c>
      <c r="AA793" s="780" t="s">
        <v>102</v>
      </c>
      <c r="AB793" s="779" t="s">
        <v>1120</v>
      </c>
      <c r="AC793" s="237">
        <v>3616.4758479000602</v>
      </c>
      <c r="AD793" s="779" t="str">
        <f>AB793</f>
        <v xml:space="preserve">     Прочие амортизационные отчисления</v>
      </c>
      <c r="AE793" s="237">
        <v>3616.4758479000998</v>
      </c>
      <c r="AF793" s="1351"/>
      <c r="AG793" s="1353"/>
      <c r="AH793" s="1353"/>
      <c r="AI793" s="1351"/>
      <c r="AJ793" s="1353"/>
      <c r="AK793" s="1354"/>
      <c r="AL793" s="772"/>
    </row>
    <row r="794" spans="1:38" ht="11.25" customHeight="1">
      <c r="A794" t="s">
        <v>1019</v>
      </c>
      <c r="E794" s="557"/>
      <c r="F794" s="1340"/>
      <c r="G794" s="1340"/>
      <c r="H794" s="1340"/>
      <c r="I794" s="1340"/>
      <c r="J794" s="1340"/>
      <c r="K794" s="1340"/>
      <c r="L794" s="1340"/>
      <c r="M794" s="1365"/>
      <c r="N794" s="1340"/>
      <c r="O794" s="1340"/>
      <c r="P794" s="1340"/>
      <c r="Q794" s="1340"/>
      <c r="R794" s="1340"/>
      <c r="S794" s="1340"/>
      <c r="T794" s="1340"/>
      <c r="U794" s="1340"/>
      <c r="V794" s="1340"/>
      <c r="W794" s="1340"/>
      <c r="X794" s="1340"/>
      <c r="Y794" s="1340"/>
      <c r="Z794" s="181" t="s">
        <v>103</v>
      </c>
      <c r="AA794" s="780" t="s">
        <v>89</v>
      </c>
      <c r="AB794" s="779" t="s">
        <v>1138</v>
      </c>
      <c r="AC794" s="237">
        <v>1556.8383384630199</v>
      </c>
      <c r="AD794" s="779" t="str">
        <f>AB794</f>
        <v xml:space="preserve">  Прочие собственные средства</v>
      </c>
      <c r="AE794" s="237">
        <v>1773.6992</v>
      </c>
      <c r="AF794" s="1351"/>
      <c r="AG794" s="1353"/>
      <c r="AH794" s="1353"/>
      <c r="AI794" s="1351"/>
      <c r="AJ794" s="1353"/>
      <c r="AK794" s="1354"/>
      <c r="AL794" s="772"/>
    </row>
    <row r="795" spans="1:38" ht="11.25" customHeight="1">
      <c r="A795" t="s">
        <v>1019</v>
      </c>
      <c r="E795" s="557"/>
      <c r="F795" s="1340"/>
      <c r="G795" s="1340"/>
      <c r="H795" s="1340"/>
      <c r="I795" s="1340"/>
      <c r="J795" s="1340"/>
      <c r="K795" s="1340"/>
      <c r="L795" s="1340"/>
      <c r="M795" s="1365"/>
      <c r="N795" s="1340"/>
      <c r="O795" s="1340"/>
      <c r="P795" s="1340"/>
      <c r="Q795" s="1340"/>
      <c r="R795" s="1340"/>
      <c r="S795" s="1340"/>
      <c r="T795" s="1340"/>
      <c r="U795" s="1340"/>
      <c r="V795" s="1340"/>
      <c r="W795" s="1340"/>
      <c r="X795" s="1340"/>
      <c r="Y795" s="1340"/>
      <c r="Z795" s="181" t="s">
        <v>103</v>
      </c>
      <c r="AA795" s="780" t="s">
        <v>90</v>
      </c>
      <c r="AB795" s="779" t="s">
        <v>1057</v>
      </c>
      <c r="AC795" s="237">
        <v>0</v>
      </c>
      <c r="AD795" s="779" t="str">
        <f>AB795</f>
        <v xml:space="preserve">  Кредиты</v>
      </c>
      <c r="AE795" s="237">
        <v>945.73827727200205</v>
      </c>
      <c r="AF795" s="1351"/>
      <c r="AG795" s="1353"/>
      <c r="AH795" s="1353"/>
      <c r="AI795" s="1351"/>
      <c r="AJ795" s="1353"/>
      <c r="AK795" s="1354"/>
      <c r="AL795" s="772"/>
    </row>
    <row r="796" spans="1:38" ht="11.25" customHeight="1">
      <c r="A796" s="1030" t="s">
        <v>1019</v>
      </c>
      <c r="E796" s="557"/>
      <c r="F796" s="1339"/>
      <c r="G796" s="1340"/>
      <c r="H796" s="1335" t="s">
        <v>1127</v>
      </c>
      <c r="I796" s="1347"/>
      <c r="J796" s="1363"/>
      <c r="K796" s="1349"/>
      <c r="L796" s="1079"/>
      <c r="M796" s="1364"/>
      <c r="N796" s="1355"/>
      <c r="O796" s="1356"/>
      <c r="P796" s="1359"/>
      <c r="Q796" s="1308"/>
      <c r="R796" s="1308"/>
      <c r="S796" s="1361"/>
      <c r="T796" s="1308"/>
      <c r="U796" s="1308"/>
      <c r="V796" s="1308"/>
      <c r="W796" s="1308"/>
      <c r="X796" s="1308"/>
      <c r="Y796" s="1308"/>
      <c r="Z796" s="229"/>
      <c r="AA796" s="230"/>
      <c r="AB796" s="44" t="s">
        <v>1059</v>
      </c>
      <c r="AC796" s="231"/>
      <c r="AD796" s="231"/>
      <c r="AE796" s="246"/>
      <c r="AF796" s="1350"/>
      <c r="AG796" s="1352"/>
      <c r="AH796" s="1352"/>
      <c r="AI796" s="1350"/>
      <c r="AJ796" s="1352"/>
      <c r="AK796" s="1352"/>
      <c r="AL796" s="772"/>
    </row>
    <row r="797" spans="1:38" ht="11.25" customHeight="1">
      <c r="A797" s="1030" t="s">
        <v>1019</v>
      </c>
      <c r="E797" s="557"/>
      <c r="F797" s="1339"/>
      <c r="G797" s="1340"/>
      <c r="H797" s="1335" t="s">
        <v>1127</v>
      </c>
      <c r="I797" s="1347"/>
      <c r="J797" s="1363"/>
      <c r="K797" s="1349"/>
      <c r="L797" s="1079"/>
      <c r="M797" s="1364"/>
      <c r="N797" s="229"/>
      <c r="O797" s="230"/>
      <c r="P797" s="44" t="s">
        <v>1060</v>
      </c>
      <c r="Q797" s="230"/>
      <c r="R797" s="230"/>
      <c r="S797" s="230"/>
      <c r="T797" s="230"/>
      <c r="U797" s="230"/>
      <c r="V797" s="230"/>
      <c r="W797" s="230"/>
      <c r="X797" s="230"/>
      <c r="Y797" s="230"/>
      <c r="Z797" s="230"/>
      <c r="AA797" s="230"/>
      <c r="AB797" s="230"/>
      <c r="AC797" s="230"/>
      <c r="AD797" s="230"/>
      <c r="AE797" s="247"/>
      <c r="AF797" s="1350"/>
      <c r="AG797" s="1352"/>
      <c r="AH797" s="1352"/>
      <c r="AI797" s="1350"/>
      <c r="AJ797" s="1352"/>
      <c r="AK797" s="1352"/>
      <c r="AL797" s="772"/>
    </row>
    <row r="798" spans="1:38" ht="11.25" customHeight="1">
      <c r="A798" s="1030" t="s">
        <v>1019</v>
      </c>
      <c r="B798" s="1030" t="s">
        <v>1051</v>
      </c>
      <c r="E798" s="557"/>
      <c r="F798" s="1339"/>
      <c r="G798" s="1325" t="s">
        <v>103</v>
      </c>
      <c r="H798" s="1335" t="s">
        <v>1131</v>
      </c>
      <c r="I798" s="1347" t="s">
        <v>1052</v>
      </c>
      <c r="J798" s="1363" t="s">
        <v>1053</v>
      </c>
      <c r="K798" s="1349" t="s">
        <v>1126</v>
      </c>
      <c r="L798" s="1079" t="s">
        <v>61</v>
      </c>
      <c r="M798" s="1364" t="s">
        <v>1018</v>
      </c>
      <c r="N798" s="242"/>
      <c r="O798" s="243" t="s">
        <v>384</v>
      </c>
      <c r="P798" s="244"/>
      <c r="Q798" s="244"/>
      <c r="R798" s="244"/>
      <c r="S798" s="244"/>
      <c r="T798" s="244"/>
      <c r="U798" s="244"/>
      <c r="V798" s="244"/>
      <c r="W798" s="244"/>
      <c r="X798" s="244"/>
      <c r="Y798" s="244"/>
      <c r="Z798" s="244"/>
      <c r="AA798" s="244"/>
      <c r="AB798" s="244"/>
      <c r="AC798" s="244"/>
      <c r="AD798" s="244"/>
      <c r="AE798" s="244"/>
      <c r="AF798" s="1350">
        <v>2</v>
      </c>
      <c r="AG798" s="1352" t="s">
        <v>1055</v>
      </c>
      <c r="AH798" s="1352" t="s">
        <v>1079</v>
      </c>
      <c r="AI798" s="1350">
        <v>2</v>
      </c>
      <c r="AJ798" s="1352" t="s">
        <v>1055</v>
      </c>
      <c r="AK798" s="1352" t="s">
        <v>1079</v>
      </c>
      <c r="AL798" s="772"/>
    </row>
    <row r="799" spans="1:38" ht="11.25" customHeight="1">
      <c r="A799" s="1030" t="s">
        <v>1019</v>
      </c>
      <c r="E799" s="557"/>
      <c r="F799" s="1339"/>
      <c r="G799" s="1340"/>
      <c r="H799" s="1335" t="s">
        <v>1129</v>
      </c>
      <c r="I799" s="1347"/>
      <c r="J799" s="1363"/>
      <c r="K799" s="1349"/>
      <c r="L799" s="1079"/>
      <c r="M799" s="1364"/>
      <c r="N799" s="1355"/>
      <c r="O799" s="1356">
        <v>1</v>
      </c>
      <c r="P799" s="1357" t="s">
        <v>19</v>
      </c>
      <c r="Q799" s="1308" t="s">
        <v>22</v>
      </c>
      <c r="R799" s="1308" t="s">
        <v>22</v>
      </c>
      <c r="S799" s="1308" t="s">
        <v>22</v>
      </c>
      <c r="T799" s="1308" t="s">
        <v>22</v>
      </c>
      <c r="U799" s="1308" t="s">
        <v>22</v>
      </c>
      <c r="V799" s="1308" t="s">
        <v>22</v>
      </c>
      <c r="W799" s="1308" t="s">
        <v>22</v>
      </c>
      <c r="X799" s="1308" t="s">
        <v>22</v>
      </c>
      <c r="Y799" s="1308"/>
      <c r="Z799" s="229"/>
      <c r="AA799" s="230"/>
      <c r="AB799" s="230"/>
      <c r="AC799" s="231"/>
      <c r="AD799" s="231"/>
      <c r="AE799" s="245"/>
      <c r="AF799" s="1350"/>
      <c r="AG799" s="1352"/>
      <c r="AH799" s="1352"/>
      <c r="AI799" s="1350"/>
      <c r="AJ799" s="1352"/>
      <c r="AK799" s="1352"/>
      <c r="AL799" s="772"/>
    </row>
    <row r="800" spans="1:38" ht="11.25" customHeight="1">
      <c r="A800" s="1030" t="s">
        <v>1019</v>
      </c>
      <c r="E800" s="557"/>
      <c r="F800" s="1339"/>
      <c r="G800" s="1340"/>
      <c r="H800" s="1335" t="s">
        <v>1129</v>
      </c>
      <c r="I800" s="1347"/>
      <c r="J800" s="1363"/>
      <c r="K800" s="1349"/>
      <c r="L800" s="1079"/>
      <c r="M800" s="1364"/>
      <c r="N800" s="1355"/>
      <c r="O800" s="1356"/>
      <c r="P800" s="1358"/>
      <c r="Q800" s="1308"/>
      <c r="R800" s="1308"/>
      <c r="S800" s="1361"/>
      <c r="T800" s="1308"/>
      <c r="U800" s="1308"/>
      <c r="V800" s="1308"/>
      <c r="W800" s="1308"/>
      <c r="X800" s="1308"/>
      <c r="Y800" s="1308"/>
      <c r="AA800" s="778">
        <v>1</v>
      </c>
      <c r="AB800" s="779" t="s">
        <v>1119</v>
      </c>
      <c r="AC800" s="237">
        <v>31.857014093940101</v>
      </c>
      <c r="AD800" s="779" t="str">
        <f>AB800</f>
        <v xml:space="preserve">  Прибыль направляемая на инвестиции</v>
      </c>
      <c r="AE800" s="237">
        <v>564.97491342178603</v>
      </c>
      <c r="AF800" s="1350"/>
      <c r="AG800" s="1352"/>
      <c r="AH800" s="1352"/>
      <c r="AI800" s="1350"/>
      <c r="AJ800" s="1352"/>
      <c r="AK800" s="1352"/>
      <c r="AL800" s="772"/>
    </row>
    <row r="801" spans="1:38" ht="11.25" customHeight="1">
      <c r="A801" t="s">
        <v>1019</v>
      </c>
      <c r="E801" s="557"/>
      <c r="F801" s="1340"/>
      <c r="G801" s="1340"/>
      <c r="H801" s="1340"/>
      <c r="I801" s="1340"/>
      <c r="J801" s="1340"/>
      <c r="K801" s="1340"/>
      <c r="L801" s="1340"/>
      <c r="M801" s="1365"/>
      <c r="N801" s="1340"/>
      <c r="O801" s="1340"/>
      <c r="P801" s="1340"/>
      <c r="Q801" s="1340"/>
      <c r="R801" s="1340"/>
      <c r="S801" s="1340"/>
      <c r="T801" s="1340"/>
      <c r="U801" s="1340"/>
      <c r="V801" s="1340"/>
      <c r="W801" s="1340"/>
      <c r="X801" s="1340"/>
      <c r="Y801" s="1340"/>
      <c r="Z801" s="181" t="s">
        <v>103</v>
      </c>
      <c r="AA801" s="780" t="s">
        <v>102</v>
      </c>
      <c r="AB801" s="779" t="s">
        <v>1120</v>
      </c>
      <c r="AC801" s="237">
        <v>22.3047995528119</v>
      </c>
      <c r="AD801" s="779" t="str">
        <f>AB801</f>
        <v xml:space="preserve">     Прочие амортизационные отчисления</v>
      </c>
      <c r="AE801" s="237">
        <v>395.56915657821401</v>
      </c>
      <c r="AF801" s="1351"/>
      <c r="AG801" s="1353"/>
      <c r="AH801" s="1353"/>
      <c r="AI801" s="1351"/>
      <c r="AJ801" s="1353"/>
      <c r="AK801" s="1354"/>
      <c r="AL801" s="772"/>
    </row>
    <row r="802" spans="1:38" ht="11.25" customHeight="1">
      <c r="A802" t="s">
        <v>1019</v>
      </c>
      <c r="E802" s="557"/>
      <c r="F802" s="1340"/>
      <c r="G802" s="1340"/>
      <c r="H802" s="1340"/>
      <c r="I802" s="1340"/>
      <c r="J802" s="1340"/>
      <c r="K802" s="1340"/>
      <c r="L802" s="1340"/>
      <c r="M802" s="1365"/>
      <c r="N802" s="1340"/>
      <c r="O802" s="1340"/>
      <c r="P802" s="1340"/>
      <c r="Q802" s="1340"/>
      <c r="R802" s="1340"/>
      <c r="S802" s="1340"/>
      <c r="T802" s="1340"/>
      <c r="U802" s="1340"/>
      <c r="V802" s="1340"/>
      <c r="W802" s="1340"/>
      <c r="X802" s="1340"/>
      <c r="Y802" s="1340"/>
      <c r="Z802" s="181" t="s">
        <v>103</v>
      </c>
      <c r="AA802" s="780" t="s">
        <v>89</v>
      </c>
      <c r="AB802" s="779" t="s">
        <v>1138</v>
      </c>
      <c r="AC802" s="237">
        <v>9.60187998924801</v>
      </c>
      <c r="AD802" s="779" t="str">
        <f>AB802</f>
        <v xml:space="preserve">  Прочие собственные средства</v>
      </c>
      <c r="AE802" s="237">
        <v>0</v>
      </c>
      <c r="AF802" s="1351"/>
      <c r="AG802" s="1353"/>
      <c r="AH802" s="1353"/>
      <c r="AI802" s="1351"/>
      <c r="AJ802" s="1353"/>
      <c r="AK802" s="1354"/>
      <c r="AL802" s="772"/>
    </row>
    <row r="803" spans="1:38" ht="11.25" customHeight="1">
      <c r="A803" s="1030" t="s">
        <v>1019</v>
      </c>
      <c r="E803" s="557"/>
      <c r="F803" s="1339"/>
      <c r="G803" s="1340"/>
      <c r="H803" s="1335" t="s">
        <v>1129</v>
      </c>
      <c r="I803" s="1347"/>
      <c r="J803" s="1363"/>
      <c r="K803" s="1349"/>
      <c r="L803" s="1079"/>
      <c r="M803" s="1364"/>
      <c r="N803" s="1355"/>
      <c r="O803" s="1356"/>
      <c r="P803" s="1359"/>
      <c r="Q803" s="1308"/>
      <c r="R803" s="1308"/>
      <c r="S803" s="1361"/>
      <c r="T803" s="1308"/>
      <c r="U803" s="1308"/>
      <c r="V803" s="1308"/>
      <c r="W803" s="1308"/>
      <c r="X803" s="1308"/>
      <c r="Y803" s="1308"/>
      <c r="Z803" s="229"/>
      <c r="AA803" s="230"/>
      <c r="AB803" s="44" t="s">
        <v>1059</v>
      </c>
      <c r="AC803" s="231"/>
      <c r="AD803" s="231"/>
      <c r="AE803" s="246"/>
      <c r="AF803" s="1350"/>
      <c r="AG803" s="1352"/>
      <c r="AH803" s="1352"/>
      <c r="AI803" s="1350"/>
      <c r="AJ803" s="1352"/>
      <c r="AK803" s="1352"/>
      <c r="AL803" s="772"/>
    </row>
    <row r="804" spans="1:38" ht="11.25" customHeight="1">
      <c r="A804" s="1030" t="s">
        <v>1019</v>
      </c>
      <c r="E804" s="557"/>
      <c r="F804" s="1339"/>
      <c r="G804" s="1340"/>
      <c r="H804" s="1335" t="s">
        <v>1129</v>
      </c>
      <c r="I804" s="1347"/>
      <c r="J804" s="1363"/>
      <c r="K804" s="1349"/>
      <c r="L804" s="1079"/>
      <c r="M804" s="1364"/>
      <c r="N804" s="229"/>
      <c r="O804" s="230"/>
      <c r="P804" s="44" t="s">
        <v>1060</v>
      </c>
      <c r="Q804" s="230"/>
      <c r="R804" s="230"/>
      <c r="S804" s="230"/>
      <c r="T804" s="230"/>
      <c r="U804" s="230"/>
      <c r="V804" s="230"/>
      <c r="W804" s="230"/>
      <c r="X804" s="230"/>
      <c r="Y804" s="230"/>
      <c r="Z804" s="230"/>
      <c r="AA804" s="230"/>
      <c r="AB804" s="230"/>
      <c r="AC804" s="230"/>
      <c r="AD804" s="230"/>
      <c r="AE804" s="247"/>
      <c r="AF804" s="1350"/>
      <c r="AG804" s="1352"/>
      <c r="AH804" s="1352"/>
      <c r="AI804" s="1350"/>
      <c r="AJ804" s="1352"/>
      <c r="AK804" s="1352"/>
      <c r="AL804" s="772"/>
    </row>
    <row r="805" spans="1:38" ht="11.25" customHeight="1">
      <c r="A805" s="1030" t="s">
        <v>1019</v>
      </c>
      <c r="B805" s="1030" t="s">
        <v>1051</v>
      </c>
      <c r="E805" s="557"/>
      <c r="F805" s="1339"/>
      <c r="G805" s="1325" t="s">
        <v>103</v>
      </c>
      <c r="H805" s="1335" t="s">
        <v>1132</v>
      </c>
      <c r="I805" s="1347" t="s">
        <v>1052</v>
      </c>
      <c r="J805" s="1363" t="s">
        <v>1053</v>
      </c>
      <c r="K805" s="1349" t="s">
        <v>1128</v>
      </c>
      <c r="L805" s="1079" t="s">
        <v>61</v>
      </c>
      <c r="M805" s="1364" t="s">
        <v>1018</v>
      </c>
      <c r="N805" s="242"/>
      <c r="O805" s="243" t="s">
        <v>384</v>
      </c>
      <c r="P805" s="244"/>
      <c r="Q805" s="244"/>
      <c r="R805" s="244"/>
      <c r="S805" s="244"/>
      <c r="T805" s="244"/>
      <c r="U805" s="244"/>
      <c r="V805" s="244"/>
      <c r="W805" s="244"/>
      <c r="X805" s="244"/>
      <c r="Y805" s="244"/>
      <c r="Z805" s="244"/>
      <c r="AA805" s="244"/>
      <c r="AB805" s="244"/>
      <c r="AC805" s="244"/>
      <c r="AD805" s="244"/>
      <c r="AE805" s="244"/>
      <c r="AF805" s="1350">
        <v>2</v>
      </c>
      <c r="AG805" s="1352" t="s">
        <v>1055</v>
      </c>
      <c r="AH805" s="1352" t="s">
        <v>1079</v>
      </c>
      <c r="AI805" s="1350">
        <v>2</v>
      </c>
      <c r="AJ805" s="1352" t="s">
        <v>1055</v>
      </c>
      <c r="AK805" s="1352" t="s">
        <v>1079</v>
      </c>
      <c r="AL805" s="772"/>
    </row>
    <row r="806" spans="1:38" ht="11.25" customHeight="1">
      <c r="A806" s="1030" t="s">
        <v>1019</v>
      </c>
      <c r="E806" s="557"/>
      <c r="F806" s="1339"/>
      <c r="G806" s="1340"/>
      <c r="H806" s="1335" t="s">
        <v>1131</v>
      </c>
      <c r="I806" s="1347"/>
      <c r="J806" s="1363"/>
      <c r="K806" s="1349"/>
      <c r="L806" s="1079"/>
      <c r="M806" s="1364"/>
      <c r="N806" s="1355"/>
      <c r="O806" s="1356">
        <v>1</v>
      </c>
      <c r="P806" s="1357" t="s">
        <v>19</v>
      </c>
      <c r="Q806" s="1308" t="s">
        <v>22</v>
      </c>
      <c r="R806" s="1308" t="s">
        <v>22</v>
      </c>
      <c r="S806" s="1308" t="s">
        <v>22</v>
      </c>
      <c r="T806" s="1308" t="s">
        <v>22</v>
      </c>
      <c r="U806" s="1308" t="s">
        <v>22</v>
      </c>
      <c r="V806" s="1308" t="s">
        <v>22</v>
      </c>
      <c r="W806" s="1308" t="s">
        <v>22</v>
      </c>
      <c r="X806" s="1308" t="s">
        <v>22</v>
      </c>
      <c r="Y806" s="1308"/>
      <c r="Z806" s="229"/>
      <c r="AA806" s="230"/>
      <c r="AB806" s="230"/>
      <c r="AC806" s="231"/>
      <c r="AD806" s="231"/>
      <c r="AE806" s="245"/>
      <c r="AF806" s="1350"/>
      <c r="AG806" s="1352"/>
      <c r="AH806" s="1352"/>
      <c r="AI806" s="1350"/>
      <c r="AJ806" s="1352"/>
      <c r="AK806" s="1352"/>
      <c r="AL806" s="772"/>
    </row>
    <row r="807" spans="1:38" ht="11.25" customHeight="1">
      <c r="A807" s="1030" t="s">
        <v>1019</v>
      </c>
      <c r="E807" s="557"/>
      <c r="F807" s="1339"/>
      <c r="G807" s="1340"/>
      <c r="H807" s="1335" t="s">
        <v>1131</v>
      </c>
      <c r="I807" s="1347"/>
      <c r="J807" s="1363"/>
      <c r="K807" s="1349"/>
      <c r="L807" s="1079"/>
      <c r="M807" s="1364"/>
      <c r="N807" s="1355"/>
      <c r="O807" s="1356"/>
      <c r="P807" s="1358"/>
      <c r="Q807" s="1308"/>
      <c r="R807" s="1308"/>
      <c r="S807" s="1361"/>
      <c r="T807" s="1308"/>
      <c r="U807" s="1308"/>
      <c r="V807" s="1308"/>
      <c r="W807" s="1308"/>
      <c r="X807" s="1308"/>
      <c r="Y807" s="1308"/>
      <c r="AA807" s="778">
        <v>1</v>
      </c>
      <c r="AB807" s="779" t="s">
        <v>1119</v>
      </c>
      <c r="AC807" s="237">
        <v>140.3361031016</v>
      </c>
      <c r="AD807" s="779" t="str">
        <f>AB807</f>
        <v xml:space="preserve">  Прибыль направляемая на инвестиции</v>
      </c>
      <c r="AE807" s="237">
        <v>151.321414055791</v>
      </c>
      <c r="AF807" s="1350"/>
      <c r="AG807" s="1352"/>
      <c r="AH807" s="1352"/>
      <c r="AI807" s="1350"/>
      <c r="AJ807" s="1352"/>
      <c r="AK807" s="1352"/>
      <c r="AL807" s="772"/>
    </row>
    <row r="808" spans="1:38" ht="11.25" customHeight="1">
      <c r="A808" t="s">
        <v>1019</v>
      </c>
      <c r="E808" s="557"/>
      <c r="F808" s="1340"/>
      <c r="G808" s="1340"/>
      <c r="H808" s="1340"/>
      <c r="I808" s="1340"/>
      <c r="J808" s="1340"/>
      <c r="K808" s="1340"/>
      <c r="L808" s="1340"/>
      <c r="M808" s="1365"/>
      <c r="N808" s="1340"/>
      <c r="O808" s="1340"/>
      <c r="P808" s="1340"/>
      <c r="Q808" s="1340"/>
      <c r="R808" s="1340"/>
      <c r="S808" s="1340"/>
      <c r="T808" s="1340"/>
      <c r="U808" s="1340"/>
      <c r="V808" s="1340"/>
      <c r="W808" s="1340"/>
      <c r="X808" s="1340"/>
      <c r="Y808" s="1340"/>
      <c r="Z808" s="181" t="s">
        <v>103</v>
      </c>
      <c r="AA808" s="780" t="s">
        <v>102</v>
      </c>
      <c r="AB808" s="779" t="s">
        <v>1120</v>
      </c>
      <c r="AC808" s="237">
        <v>98.256812156772398</v>
      </c>
      <c r="AD808" s="779" t="str">
        <f>AB808</f>
        <v xml:space="preserve">     Прочие амортизационные отчисления</v>
      </c>
      <c r="AE808" s="237">
        <v>105.948215944209</v>
      </c>
      <c r="AF808" s="1351"/>
      <c r="AG808" s="1353"/>
      <c r="AH808" s="1353"/>
      <c r="AI808" s="1351"/>
      <c r="AJ808" s="1353"/>
      <c r="AK808" s="1354"/>
      <c r="AL808" s="772"/>
    </row>
    <row r="809" spans="1:38" ht="11.25" customHeight="1">
      <c r="A809" t="s">
        <v>1019</v>
      </c>
      <c r="E809" s="557"/>
      <c r="F809" s="1340"/>
      <c r="G809" s="1340"/>
      <c r="H809" s="1340"/>
      <c r="I809" s="1340"/>
      <c r="J809" s="1340"/>
      <c r="K809" s="1340"/>
      <c r="L809" s="1340"/>
      <c r="M809" s="1365"/>
      <c r="N809" s="1340"/>
      <c r="O809" s="1340"/>
      <c r="P809" s="1340"/>
      <c r="Q809" s="1340"/>
      <c r="R809" s="1340"/>
      <c r="S809" s="1340"/>
      <c r="T809" s="1340"/>
      <c r="U809" s="1340"/>
      <c r="V809" s="1340"/>
      <c r="W809" s="1340"/>
      <c r="X809" s="1340"/>
      <c r="Y809" s="1340"/>
      <c r="Z809" s="181" t="s">
        <v>103</v>
      </c>
      <c r="AA809" s="780" t="s">
        <v>89</v>
      </c>
      <c r="AB809" s="779" t="s">
        <v>1138</v>
      </c>
      <c r="AC809" s="237">
        <v>42.298076529294697</v>
      </c>
      <c r="AD809" s="779" t="str">
        <f>AB809</f>
        <v xml:space="preserve">  Прочие собственные средства</v>
      </c>
      <c r="AE809" s="237">
        <v>39.535510000000002</v>
      </c>
      <c r="AF809" s="1351"/>
      <c r="AG809" s="1353"/>
      <c r="AH809" s="1353"/>
      <c r="AI809" s="1351"/>
      <c r="AJ809" s="1353"/>
      <c r="AK809" s="1354"/>
      <c r="AL809" s="772"/>
    </row>
    <row r="810" spans="1:38" ht="11.25" customHeight="1">
      <c r="A810" s="1030" t="s">
        <v>1019</v>
      </c>
      <c r="E810" s="557"/>
      <c r="F810" s="1339"/>
      <c r="G810" s="1340"/>
      <c r="H810" s="1335" t="s">
        <v>1131</v>
      </c>
      <c r="I810" s="1347"/>
      <c r="J810" s="1363"/>
      <c r="K810" s="1349"/>
      <c r="L810" s="1079"/>
      <c r="M810" s="1364"/>
      <c r="N810" s="1355"/>
      <c r="O810" s="1356"/>
      <c r="P810" s="1359"/>
      <c r="Q810" s="1308"/>
      <c r="R810" s="1308"/>
      <c r="S810" s="1361"/>
      <c r="T810" s="1308"/>
      <c r="U810" s="1308"/>
      <c r="V810" s="1308"/>
      <c r="W810" s="1308"/>
      <c r="X810" s="1308"/>
      <c r="Y810" s="1308"/>
      <c r="Z810" s="229"/>
      <c r="AA810" s="230"/>
      <c r="AB810" s="44" t="s">
        <v>1059</v>
      </c>
      <c r="AC810" s="231"/>
      <c r="AD810" s="231"/>
      <c r="AE810" s="246"/>
      <c r="AF810" s="1350"/>
      <c r="AG810" s="1352"/>
      <c r="AH810" s="1352"/>
      <c r="AI810" s="1350"/>
      <c r="AJ810" s="1352"/>
      <c r="AK810" s="1352"/>
      <c r="AL810" s="772"/>
    </row>
    <row r="811" spans="1:38" ht="11.25" customHeight="1">
      <c r="A811" s="1030" t="s">
        <v>1019</v>
      </c>
      <c r="E811" s="557"/>
      <c r="F811" s="1339"/>
      <c r="G811" s="1340"/>
      <c r="H811" s="1335" t="s">
        <v>1131</v>
      </c>
      <c r="I811" s="1347"/>
      <c r="J811" s="1363"/>
      <c r="K811" s="1349"/>
      <c r="L811" s="1079"/>
      <c r="M811" s="1364"/>
      <c r="N811" s="229"/>
      <c r="O811" s="230"/>
      <c r="P811" s="44" t="s">
        <v>1060</v>
      </c>
      <c r="Q811" s="230"/>
      <c r="R811" s="230"/>
      <c r="S811" s="230"/>
      <c r="T811" s="230"/>
      <c r="U811" s="230"/>
      <c r="V811" s="230"/>
      <c r="W811" s="230"/>
      <c r="X811" s="230"/>
      <c r="Y811" s="230"/>
      <c r="Z811" s="230"/>
      <c r="AA811" s="230"/>
      <c r="AB811" s="230"/>
      <c r="AC811" s="230"/>
      <c r="AD811" s="230"/>
      <c r="AE811" s="247"/>
      <c r="AF811" s="1350"/>
      <c r="AG811" s="1352"/>
      <c r="AH811" s="1352"/>
      <c r="AI811" s="1350"/>
      <c r="AJ811" s="1352"/>
      <c r="AK811" s="1352"/>
      <c r="AL811" s="772"/>
    </row>
    <row r="812" spans="1:38" ht="11.25" customHeight="1">
      <c r="A812" s="1030" t="s">
        <v>1019</v>
      </c>
      <c r="B812" s="1030" t="s">
        <v>1051</v>
      </c>
      <c r="E812" s="557"/>
      <c r="F812" s="1339"/>
      <c r="G812" s="1325" t="s">
        <v>103</v>
      </c>
      <c r="H812" s="1335" t="s">
        <v>1134</v>
      </c>
      <c r="I812" s="1347" t="s">
        <v>1052</v>
      </c>
      <c r="J812" s="1363" t="s">
        <v>1053</v>
      </c>
      <c r="K812" s="1349" t="s">
        <v>1130</v>
      </c>
      <c r="L812" s="1079" t="s">
        <v>61</v>
      </c>
      <c r="M812" s="1364" t="s">
        <v>1018</v>
      </c>
      <c r="N812" s="242"/>
      <c r="O812" s="243" t="s">
        <v>384</v>
      </c>
      <c r="P812" s="244"/>
      <c r="Q812" s="244"/>
      <c r="R812" s="244"/>
      <c r="S812" s="244"/>
      <c r="T812" s="244"/>
      <c r="U812" s="244"/>
      <c r="V812" s="244"/>
      <c r="W812" s="244"/>
      <c r="X812" s="244"/>
      <c r="Y812" s="244"/>
      <c r="Z812" s="244"/>
      <c r="AA812" s="244"/>
      <c r="AB812" s="244"/>
      <c r="AC812" s="244"/>
      <c r="AD812" s="244"/>
      <c r="AE812" s="244"/>
      <c r="AF812" s="1350">
        <v>1</v>
      </c>
      <c r="AG812" s="1352" t="s">
        <v>1055</v>
      </c>
      <c r="AH812" s="1352" t="s">
        <v>1107</v>
      </c>
      <c r="AI812" s="1350">
        <v>1</v>
      </c>
      <c r="AJ812" s="1352" t="s">
        <v>1055</v>
      </c>
      <c r="AK812" s="1352" t="s">
        <v>1107</v>
      </c>
      <c r="AL812" s="772"/>
    </row>
    <row r="813" spans="1:38" ht="11.25" customHeight="1">
      <c r="A813" s="1030" t="s">
        <v>1019</v>
      </c>
      <c r="E813" s="557"/>
      <c r="F813" s="1339"/>
      <c r="G813" s="1340"/>
      <c r="H813" s="1335" t="s">
        <v>1132</v>
      </c>
      <c r="I813" s="1347"/>
      <c r="J813" s="1363"/>
      <c r="K813" s="1349"/>
      <c r="L813" s="1079"/>
      <c r="M813" s="1364"/>
      <c r="N813" s="1355"/>
      <c r="O813" s="1356">
        <v>1</v>
      </c>
      <c r="P813" s="1357" t="s">
        <v>19</v>
      </c>
      <c r="Q813" s="1308" t="s">
        <v>22</v>
      </c>
      <c r="R813" s="1308" t="s">
        <v>22</v>
      </c>
      <c r="S813" s="1308" t="s">
        <v>22</v>
      </c>
      <c r="T813" s="1308" t="s">
        <v>22</v>
      </c>
      <c r="U813" s="1308" t="s">
        <v>22</v>
      </c>
      <c r="V813" s="1308" t="s">
        <v>22</v>
      </c>
      <c r="W813" s="1308" t="s">
        <v>22</v>
      </c>
      <c r="X813" s="1308" t="s">
        <v>22</v>
      </c>
      <c r="Y813" s="1308"/>
      <c r="Z813" s="229"/>
      <c r="AA813" s="230"/>
      <c r="AB813" s="230"/>
      <c r="AC813" s="231"/>
      <c r="AD813" s="231"/>
      <c r="AE813" s="245"/>
      <c r="AF813" s="1350"/>
      <c r="AG813" s="1352"/>
      <c r="AH813" s="1352"/>
      <c r="AI813" s="1350"/>
      <c r="AJ813" s="1352"/>
      <c r="AK813" s="1352"/>
      <c r="AL813" s="772"/>
    </row>
    <row r="814" spans="1:38" ht="11.25" customHeight="1">
      <c r="A814" s="1030" t="s">
        <v>1019</v>
      </c>
      <c r="E814" s="557"/>
      <c r="F814" s="1339"/>
      <c r="G814" s="1340"/>
      <c r="H814" s="1335" t="s">
        <v>1132</v>
      </c>
      <c r="I814" s="1347"/>
      <c r="J814" s="1363"/>
      <c r="K814" s="1349"/>
      <c r="L814" s="1079"/>
      <c r="M814" s="1364"/>
      <c r="N814" s="1355"/>
      <c r="O814" s="1356"/>
      <c r="P814" s="1358"/>
      <c r="Q814" s="1308"/>
      <c r="R814" s="1308"/>
      <c r="S814" s="1361"/>
      <c r="T814" s="1308"/>
      <c r="U814" s="1308"/>
      <c r="V814" s="1308"/>
      <c r="W814" s="1308"/>
      <c r="X814" s="1308"/>
      <c r="Y814" s="1308"/>
      <c r="AA814" s="778">
        <v>1</v>
      </c>
      <c r="AB814" s="779" t="s">
        <v>1119</v>
      </c>
      <c r="AC814" s="237">
        <v>15665.146555052899</v>
      </c>
      <c r="AD814" s="779" t="str">
        <f>AB814</f>
        <v xml:space="preserve">  Прибыль направляемая на инвестиции</v>
      </c>
      <c r="AE814" s="237">
        <v>15665.146555052899</v>
      </c>
      <c r="AF814" s="1350"/>
      <c r="AG814" s="1352"/>
      <c r="AH814" s="1352"/>
      <c r="AI814" s="1350"/>
      <c r="AJ814" s="1352"/>
      <c r="AK814" s="1352"/>
      <c r="AL814" s="772"/>
    </row>
    <row r="815" spans="1:38" ht="11.25" customHeight="1">
      <c r="A815" t="s">
        <v>1019</v>
      </c>
      <c r="E815" s="557"/>
      <c r="F815" s="1340"/>
      <c r="G815" s="1340"/>
      <c r="H815" s="1340"/>
      <c r="I815" s="1340"/>
      <c r="J815" s="1340"/>
      <c r="K815" s="1340"/>
      <c r="L815" s="1340"/>
      <c r="M815" s="1365"/>
      <c r="N815" s="1340"/>
      <c r="O815" s="1340"/>
      <c r="P815" s="1340"/>
      <c r="Q815" s="1340"/>
      <c r="R815" s="1340"/>
      <c r="S815" s="1340"/>
      <c r="T815" s="1340"/>
      <c r="U815" s="1340"/>
      <c r="V815" s="1340"/>
      <c r="W815" s="1340"/>
      <c r="X815" s="1340"/>
      <c r="Y815" s="1340"/>
      <c r="Z815" s="181" t="s">
        <v>103</v>
      </c>
      <c r="AA815" s="780" t="s">
        <v>102</v>
      </c>
      <c r="AB815" s="779" t="s">
        <v>1120</v>
      </c>
      <c r="AC815" s="237">
        <v>10968.007009242599</v>
      </c>
      <c r="AD815" s="779" t="str">
        <f>AB815</f>
        <v xml:space="preserve">     Прочие амортизационные отчисления</v>
      </c>
      <c r="AE815" s="237">
        <v>10968.007009242599</v>
      </c>
      <c r="AF815" s="1351"/>
      <c r="AG815" s="1353"/>
      <c r="AH815" s="1353"/>
      <c r="AI815" s="1351"/>
      <c r="AJ815" s="1353"/>
      <c r="AK815" s="1354"/>
      <c r="AL815" s="772"/>
    </row>
    <row r="816" spans="1:38" ht="11.25" customHeight="1">
      <c r="A816" t="s">
        <v>1019</v>
      </c>
      <c r="E816" s="557"/>
      <c r="F816" s="1340"/>
      <c r="G816" s="1340"/>
      <c r="H816" s="1340"/>
      <c r="I816" s="1340"/>
      <c r="J816" s="1340"/>
      <c r="K816" s="1340"/>
      <c r="L816" s="1340"/>
      <c r="M816" s="1365"/>
      <c r="N816" s="1340"/>
      <c r="O816" s="1340"/>
      <c r="P816" s="1340"/>
      <c r="Q816" s="1340"/>
      <c r="R816" s="1340"/>
      <c r="S816" s="1340"/>
      <c r="T816" s="1340"/>
      <c r="U816" s="1340"/>
      <c r="V816" s="1340"/>
      <c r="W816" s="1340"/>
      <c r="X816" s="1340"/>
      <c r="Y816" s="1340"/>
      <c r="Z816" s="181" t="s">
        <v>103</v>
      </c>
      <c r="AA816" s="780" t="s">
        <v>89</v>
      </c>
      <c r="AB816" s="779" t="s">
        <v>1138</v>
      </c>
      <c r="AC816" s="237">
        <v>4721.5616878611399</v>
      </c>
      <c r="AD816" s="779" t="str">
        <f>AB816</f>
        <v xml:space="preserve">  Прочие собственные средства</v>
      </c>
      <c r="AE816" s="237">
        <v>5086.30843</v>
      </c>
      <c r="AF816" s="1351"/>
      <c r="AG816" s="1353"/>
      <c r="AH816" s="1353"/>
      <c r="AI816" s="1351"/>
      <c r="AJ816" s="1353"/>
      <c r="AK816" s="1354"/>
      <c r="AL816" s="772"/>
    </row>
    <row r="817" spans="1:38" ht="11.25" customHeight="1">
      <c r="A817" t="s">
        <v>1019</v>
      </c>
      <c r="E817" s="557"/>
      <c r="F817" s="1340"/>
      <c r="G817" s="1340"/>
      <c r="H817" s="1340"/>
      <c r="I817" s="1340"/>
      <c r="J817" s="1340"/>
      <c r="K817" s="1340"/>
      <c r="L817" s="1340"/>
      <c r="M817" s="1365"/>
      <c r="N817" s="1340"/>
      <c r="O817" s="1340"/>
      <c r="P817" s="1340"/>
      <c r="Q817" s="1340"/>
      <c r="R817" s="1340"/>
      <c r="S817" s="1340"/>
      <c r="T817" s="1340"/>
      <c r="U817" s="1340"/>
      <c r="V817" s="1340"/>
      <c r="W817" s="1340"/>
      <c r="X817" s="1340"/>
      <c r="Y817" s="1340"/>
      <c r="Z817" s="181" t="s">
        <v>103</v>
      </c>
      <c r="AA817" s="780" t="s">
        <v>90</v>
      </c>
      <c r="AB817" s="779" t="s">
        <v>1057</v>
      </c>
      <c r="AC817" s="237">
        <v>0</v>
      </c>
      <c r="AD817" s="779" t="str">
        <f>AB817</f>
        <v xml:space="preserve">  Кредиты</v>
      </c>
      <c r="AE817" s="237">
        <v>3975.9001757044998</v>
      </c>
      <c r="AF817" s="1351"/>
      <c r="AG817" s="1353"/>
      <c r="AH817" s="1353"/>
      <c r="AI817" s="1351"/>
      <c r="AJ817" s="1353"/>
      <c r="AK817" s="1354"/>
      <c r="AL817" s="772"/>
    </row>
    <row r="818" spans="1:38" ht="11.25" customHeight="1">
      <c r="A818" s="1030" t="s">
        <v>1019</v>
      </c>
      <c r="E818" s="557"/>
      <c r="F818" s="1339"/>
      <c r="G818" s="1340"/>
      <c r="H818" s="1335" t="s">
        <v>1132</v>
      </c>
      <c r="I818" s="1347"/>
      <c r="J818" s="1363"/>
      <c r="K818" s="1349"/>
      <c r="L818" s="1079"/>
      <c r="M818" s="1364"/>
      <c r="N818" s="1355"/>
      <c r="O818" s="1356"/>
      <c r="P818" s="1359"/>
      <c r="Q818" s="1308"/>
      <c r="R818" s="1308"/>
      <c r="S818" s="1361"/>
      <c r="T818" s="1308"/>
      <c r="U818" s="1308"/>
      <c r="V818" s="1308"/>
      <c r="W818" s="1308"/>
      <c r="X818" s="1308"/>
      <c r="Y818" s="1308"/>
      <c r="Z818" s="229"/>
      <c r="AA818" s="230"/>
      <c r="AB818" s="44" t="s">
        <v>1059</v>
      </c>
      <c r="AC818" s="231"/>
      <c r="AD818" s="231"/>
      <c r="AE818" s="246"/>
      <c r="AF818" s="1350"/>
      <c r="AG818" s="1352"/>
      <c r="AH818" s="1352"/>
      <c r="AI818" s="1350"/>
      <c r="AJ818" s="1352"/>
      <c r="AK818" s="1352"/>
      <c r="AL818" s="772"/>
    </row>
    <row r="819" spans="1:38" ht="11.25" customHeight="1">
      <c r="A819" s="1030" t="s">
        <v>1019</v>
      </c>
      <c r="E819" s="557"/>
      <c r="F819" s="1339"/>
      <c r="G819" s="1340"/>
      <c r="H819" s="1335" t="s">
        <v>1132</v>
      </c>
      <c r="I819" s="1347"/>
      <c r="J819" s="1363"/>
      <c r="K819" s="1349"/>
      <c r="L819" s="1079"/>
      <c r="M819" s="1364"/>
      <c r="N819" s="229"/>
      <c r="O819" s="230"/>
      <c r="P819" s="44" t="s">
        <v>1060</v>
      </c>
      <c r="Q819" s="230"/>
      <c r="R819" s="230"/>
      <c r="S819" s="230"/>
      <c r="T819" s="230"/>
      <c r="U819" s="230"/>
      <c r="V819" s="230"/>
      <c r="W819" s="230"/>
      <c r="X819" s="230"/>
      <c r="Y819" s="230"/>
      <c r="Z819" s="230"/>
      <c r="AA819" s="230"/>
      <c r="AB819" s="230"/>
      <c r="AC819" s="230"/>
      <c r="AD819" s="230"/>
      <c r="AE819" s="247"/>
      <c r="AF819" s="1350"/>
      <c r="AG819" s="1352"/>
      <c r="AH819" s="1352"/>
      <c r="AI819" s="1350"/>
      <c r="AJ819" s="1352"/>
      <c r="AK819" s="1352"/>
      <c r="AL819" s="772"/>
    </row>
    <row r="820" spans="1:38" ht="11.25" customHeight="1">
      <c r="A820" s="1030" t="s">
        <v>1019</v>
      </c>
      <c r="B820" s="1030" t="s">
        <v>1051</v>
      </c>
      <c r="E820" s="557"/>
      <c r="F820" s="1339"/>
      <c r="G820" s="1325" t="s">
        <v>103</v>
      </c>
      <c r="H820" s="1335" t="s">
        <v>1136</v>
      </c>
      <c r="I820" s="1347" t="s">
        <v>1052</v>
      </c>
      <c r="J820" s="1363" t="s">
        <v>1053</v>
      </c>
      <c r="K820" s="1349" t="s">
        <v>1141</v>
      </c>
      <c r="L820" s="1079" t="s">
        <v>61</v>
      </c>
      <c r="M820" s="1364" t="s">
        <v>1018</v>
      </c>
      <c r="N820" s="242"/>
      <c r="O820" s="243" t="s">
        <v>384</v>
      </c>
      <c r="P820" s="244"/>
      <c r="Q820" s="244"/>
      <c r="R820" s="244"/>
      <c r="S820" s="244"/>
      <c r="T820" s="244"/>
      <c r="U820" s="244"/>
      <c r="V820" s="244"/>
      <c r="W820" s="244"/>
      <c r="X820" s="244"/>
      <c r="Y820" s="244"/>
      <c r="Z820" s="244"/>
      <c r="AA820" s="244"/>
      <c r="AB820" s="244"/>
      <c r="AC820" s="244"/>
      <c r="AD820" s="244"/>
      <c r="AE820" s="244"/>
      <c r="AF820" s="1350">
        <v>2</v>
      </c>
      <c r="AG820" s="1352" t="s">
        <v>1055</v>
      </c>
      <c r="AH820" s="1352" t="s">
        <v>1079</v>
      </c>
      <c r="AI820" s="1350">
        <v>2</v>
      </c>
      <c r="AJ820" s="1352" t="s">
        <v>1055</v>
      </c>
      <c r="AK820" s="1352" t="s">
        <v>1079</v>
      </c>
      <c r="AL820" s="772"/>
    </row>
    <row r="821" spans="1:38" ht="11.25" customHeight="1">
      <c r="A821" s="1030" t="s">
        <v>1019</v>
      </c>
      <c r="E821" s="557"/>
      <c r="F821" s="1339"/>
      <c r="G821" s="1340"/>
      <c r="H821" s="1335" t="s">
        <v>1134</v>
      </c>
      <c r="I821" s="1347"/>
      <c r="J821" s="1363"/>
      <c r="K821" s="1349"/>
      <c r="L821" s="1079"/>
      <c r="M821" s="1364"/>
      <c r="N821" s="1355"/>
      <c r="O821" s="1356">
        <v>1</v>
      </c>
      <c r="P821" s="1357" t="s">
        <v>19</v>
      </c>
      <c r="Q821" s="1308" t="s">
        <v>22</v>
      </c>
      <c r="R821" s="1308" t="s">
        <v>22</v>
      </c>
      <c r="S821" s="1308" t="s">
        <v>22</v>
      </c>
      <c r="T821" s="1308" t="s">
        <v>22</v>
      </c>
      <c r="U821" s="1308" t="s">
        <v>22</v>
      </c>
      <c r="V821" s="1308" t="s">
        <v>22</v>
      </c>
      <c r="W821" s="1308" t="s">
        <v>22</v>
      </c>
      <c r="X821" s="1308" t="s">
        <v>22</v>
      </c>
      <c r="Y821" s="1308"/>
      <c r="Z821" s="229"/>
      <c r="AA821" s="230"/>
      <c r="AB821" s="230"/>
      <c r="AC821" s="231"/>
      <c r="AD821" s="231"/>
      <c r="AE821" s="245"/>
      <c r="AF821" s="1350"/>
      <c r="AG821" s="1352"/>
      <c r="AH821" s="1352"/>
      <c r="AI821" s="1350"/>
      <c r="AJ821" s="1352"/>
      <c r="AK821" s="1352"/>
      <c r="AL821" s="772"/>
    </row>
    <row r="822" spans="1:38" ht="11.25" customHeight="1">
      <c r="A822" s="1030" t="s">
        <v>1019</v>
      </c>
      <c r="E822" s="557"/>
      <c r="F822" s="1339"/>
      <c r="G822" s="1340"/>
      <c r="H822" s="1335" t="s">
        <v>1134</v>
      </c>
      <c r="I822" s="1347"/>
      <c r="J822" s="1363"/>
      <c r="K822" s="1349"/>
      <c r="L822" s="1079"/>
      <c r="M822" s="1364"/>
      <c r="N822" s="1355"/>
      <c r="O822" s="1356"/>
      <c r="P822" s="1358"/>
      <c r="Q822" s="1308"/>
      <c r="R822" s="1308"/>
      <c r="S822" s="1361"/>
      <c r="T822" s="1308"/>
      <c r="U822" s="1308"/>
      <c r="V822" s="1308"/>
      <c r="W822" s="1308"/>
      <c r="X822" s="1308"/>
      <c r="Y822" s="1308"/>
      <c r="AA822" s="778">
        <v>1</v>
      </c>
      <c r="AB822" s="779" t="s">
        <v>1119</v>
      </c>
      <c r="AC822" s="237">
        <v>934.59632683636403</v>
      </c>
      <c r="AD822" s="779" t="str">
        <f>AB822</f>
        <v xml:space="preserve">  Прибыль направляемая на инвестиции</v>
      </c>
      <c r="AE822" s="237">
        <v>1443.0627566958699</v>
      </c>
      <c r="AF822" s="1350"/>
      <c r="AG822" s="1352"/>
      <c r="AH822" s="1352"/>
      <c r="AI822" s="1350"/>
      <c r="AJ822" s="1352"/>
      <c r="AK822" s="1352"/>
      <c r="AL822" s="772"/>
    </row>
    <row r="823" spans="1:38" ht="11.25" customHeight="1">
      <c r="A823" t="s">
        <v>1019</v>
      </c>
      <c r="E823" s="557"/>
      <c r="F823" s="1340"/>
      <c r="G823" s="1340"/>
      <c r="H823" s="1340"/>
      <c r="I823" s="1340"/>
      <c r="J823" s="1340"/>
      <c r="K823" s="1340"/>
      <c r="L823" s="1340"/>
      <c r="M823" s="1365"/>
      <c r="N823" s="1340"/>
      <c r="O823" s="1340"/>
      <c r="P823" s="1340"/>
      <c r="Q823" s="1340"/>
      <c r="R823" s="1340"/>
      <c r="S823" s="1340"/>
      <c r="T823" s="1340"/>
      <c r="U823" s="1340"/>
      <c r="V823" s="1340"/>
      <c r="W823" s="1340"/>
      <c r="X823" s="1340"/>
      <c r="Y823" s="1340"/>
      <c r="Z823" s="181" t="s">
        <v>103</v>
      </c>
      <c r="AA823" s="780" t="s">
        <v>102</v>
      </c>
      <c r="AB823" s="779" t="s">
        <v>1120</v>
      </c>
      <c r="AC823" s="237">
        <v>654.36087862499005</v>
      </c>
      <c r="AD823" s="779" t="str">
        <f>AB823</f>
        <v xml:space="preserve">     Прочие амортизационные отчисления</v>
      </c>
      <c r="AE823" s="237">
        <v>1010.36542330413</v>
      </c>
      <c r="AF823" s="1351"/>
      <c r="AG823" s="1353"/>
      <c r="AH823" s="1353"/>
      <c r="AI823" s="1351"/>
      <c r="AJ823" s="1353"/>
      <c r="AK823" s="1354"/>
      <c r="AL823" s="772"/>
    </row>
    <row r="824" spans="1:38" ht="11.25" customHeight="1">
      <c r="A824" t="s">
        <v>1019</v>
      </c>
      <c r="E824" s="557"/>
      <c r="F824" s="1340"/>
      <c r="G824" s="1340"/>
      <c r="H824" s="1340"/>
      <c r="I824" s="1340"/>
      <c r="J824" s="1340"/>
      <c r="K824" s="1340"/>
      <c r="L824" s="1340"/>
      <c r="M824" s="1365"/>
      <c r="N824" s="1340"/>
      <c r="O824" s="1340"/>
      <c r="P824" s="1340"/>
      <c r="Q824" s="1340"/>
      <c r="R824" s="1340"/>
      <c r="S824" s="1340"/>
      <c r="T824" s="1340"/>
      <c r="U824" s="1340"/>
      <c r="V824" s="1340"/>
      <c r="W824" s="1340"/>
      <c r="X824" s="1340"/>
      <c r="Y824" s="1340"/>
      <c r="Z824" s="181" t="s">
        <v>103</v>
      </c>
      <c r="AA824" s="780" t="s">
        <v>89</v>
      </c>
      <c r="AB824" s="779" t="s">
        <v>1138</v>
      </c>
      <c r="AC824" s="237">
        <v>281.69249453864501</v>
      </c>
      <c r="AD824" s="779" t="str">
        <f>AB824</f>
        <v xml:space="preserve">  Прочие собственные средства</v>
      </c>
      <c r="AE824" s="237">
        <v>137.41896</v>
      </c>
      <c r="AF824" s="1351"/>
      <c r="AG824" s="1353"/>
      <c r="AH824" s="1353"/>
      <c r="AI824" s="1351"/>
      <c r="AJ824" s="1353"/>
      <c r="AK824" s="1354"/>
      <c r="AL824" s="772"/>
    </row>
    <row r="825" spans="1:38" ht="11.25" customHeight="1">
      <c r="A825" s="1030" t="s">
        <v>1019</v>
      </c>
      <c r="E825" s="557"/>
      <c r="F825" s="1339"/>
      <c r="G825" s="1340"/>
      <c r="H825" s="1335" t="s">
        <v>1134</v>
      </c>
      <c r="I825" s="1347"/>
      <c r="J825" s="1363"/>
      <c r="K825" s="1349"/>
      <c r="L825" s="1079"/>
      <c r="M825" s="1364"/>
      <c r="N825" s="1355"/>
      <c r="O825" s="1356"/>
      <c r="P825" s="1359"/>
      <c r="Q825" s="1308"/>
      <c r="R825" s="1308"/>
      <c r="S825" s="1361"/>
      <c r="T825" s="1308"/>
      <c r="U825" s="1308"/>
      <c r="V825" s="1308"/>
      <c r="W825" s="1308"/>
      <c r="X825" s="1308"/>
      <c r="Y825" s="1308"/>
      <c r="Z825" s="229"/>
      <c r="AA825" s="230"/>
      <c r="AB825" s="44" t="s">
        <v>1059</v>
      </c>
      <c r="AC825" s="231"/>
      <c r="AD825" s="231"/>
      <c r="AE825" s="246"/>
      <c r="AF825" s="1350"/>
      <c r="AG825" s="1352"/>
      <c r="AH825" s="1352"/>
      <c r="AI825" s="1350"/>
      <c r="AJ825" s="1352"/>
      <c r="AK825" s="1352"/>
      <c r="AL825" s="772"/>
    </row>
    <row r="826" spans="1:38" ht="11.25" customHeight="1">
      <c r="A826" s="1030" t="s">
        <v>1019</v>
      </c>
      <c r="E826" s="557"/>
      <c r="F826" s="1339"/>
      <c r="G826" s="1340"/>
      <c r="H826" s="1335" t="s">
        <v>1134</v>
      </c>
      <c r="I826" s="1347"/>
      <c r="J826" s="1363"/>
      <c r="K826" s="1349"/>
      <c r="L826" s="1079"/>
      <c r="M826" s="1364"/>
      <c r="N826" s="229"/>
      <c r="O826" s="230"/>
      <c r="P826" s="44" t="s">
        <v>1060</v>
      </c>
      <c r="Q826" s="230"/>
      <c r="R826" s="230"/>
      <c r="S826" s="230"/>
      <c r="T826" s="230"/>
      <c r="U826" s="230"/>
      <c r="V826" s="230"/>
      <c r="W826" s="230"/>
      <c r="X826" s="230"/>
      <c r="Y826" s="230"/>
      <c r="Z826" s="230"/>
      <c r="AA826" s="230"/>
      <c r="AB826" s="230"/>
      <c r="AC826" s="230"/>
      <c r="AD826" s="230"/>
      <c r="AE826" s="247"/>
      <c r="AF826" s="1350"/>
      <c r="AG826" s="1352"/>
      <c r="AH826" s="1352"/>
      <c r="AI826" s="1350"/>
      <c r="AJ826" s="1352"/>
      <c r="AK826" s="1352"/>
      <c r="AL826" s="772"/>
    </row>
    <row r="827" spans="1:38" ht="11.25" customHeight="1">
      <c r="A827" s="1030" t="s">
        <v>1019</v>
      </c>
      <c r="B827" s="1030" t="s">
        <v>1051</v>
      </c>
      <c r="E827" s="557"/>
      <c r="F827" s="1339"/>
      <c r="G827" s="1325" t="s">
        <v>103</v>
      </c>
      <c r="H827" s="1335" t="s">
        <v>1143</v>
      </c>
      <c r="I827" s="1347" t="s">
        <v>1052</v>
      </c>
      <c r="J827" s="1363" t="s">
        <v>1053</v>
      </c>
      <c r="K827" s="1349" t="s">
        <v>1155</v>
      </c>
      <c r="L827" s="1079" t="s">
        <v>19</v>
      </c>
      <c r="M827" s="1080"/>
      <c r="N827" s="242"/>
      <c r="O827" s="243" t="s">
        <v>384</v>
      </c>
      <c r="P827" s="244"/>
      <c r="Q827" s="244"/>
      <c r="R827" s="244"/>
      <c r="S827" s="244"/>
      <c r="T827" s="244"/>
      <c r="U827" s="244"/>
      <c r="V827" s="244"/>
      <c r="W827" s="244"/>
      <c r="X827" s="244"/>
      <c r="Y827" s="244"/>
      <c r="Z827" s="244"/>
      <c r="AA827" s="244"/>
      <c r="AB827" s="244"/>
      <c r="AC827" s="244"/>
      <c r="AD827" s="244"/>
      <c r="AE827" s="244"/>
      <c r="AF827" s="1350">
        <v>3</v>
      </c>
      <c r="AG827" s="1352" t="s">
        <v>1055</v>
      </c>
      <c r="AH827" s="1352" t="s">
        <v>1152</v>
      </c>
      <c r="AI827" s="1350">
        <v>3</v>
      </c>
      <c r="AJ827" s="1352" t="s">
        <v>1055</v>
      </c>
      <c r="AK827" s="1352" t="s">
        <v>1152</v>
      </c>
      <c r="AL827" s="772"/>
    </row>
    <row r="828" spans="1:38" ht="11.25" customHeight="1">
      <c r="A828" s="1030" t="s">
        <v>1019</v>
      </c>
      <c r="E828" s="557"/>
      <c r="F828" s="1339"/>
      <c r="G828" s="1340"/>
      <c r="H828" s="1335" t="s">
        <v>1136</v>
      </c>
      <c r="I828" s="1347"/>
      <c r="J828" s="1363"/>
      <c r="K828" s="1349"/>
      <c r="L828" s="1079"/>
      <c r="M828" s="1080"/>
      <c r="N828" s="1355"/>
      <c r="O828" s="1356">
        <v>1</v>
      </c>
      <c r="P828" s="1357" t="s">
        <v>19</v>
      </c>
      <c r="Q828" s="1308" t="s">
        <v>22</v>
      </c>
      <c r="R828" s="1308" t="s">
        <v>22</v>
      </c>
      <c r="S828" s="1308" t="s">
        <v>22</v>
      </c>
      <c r="T828" s="1308" t="s">
        <v>22</v>
      </c>
      <c r="U828" s="1308" t="s">
        <v>22</v>
      </c>
      <c r="V828" s="1308" t="s">
        <v>22</v>
      </c>
      <c r="W828" s="1308" t="s">
        <v>22</v>
      </c>
      <c r="X828" s="1308" t="s">
        <v>22</v>
      </c>
      <c r="Y828" s="1308"/>
      <c r="Z828" s="229"/>
      <c r="AA828" s="230"/>
      <c r="AB828" s="230"/>
      <c r="AC828" s="231"/>
      <c r="AD828" s="231"/>
      <c r="AE828" s="245"/>
      <c r="AF828" s="1350"/>
      <c r="AG828" s="1352"/>
      <c r="AH828" s="1352"/>
      <c r="AI828" s="1350"/>
      <c r="AJ828" s="1352"/>
      <c r="AK828" s="1352"/>
      <c r="AL828" s="772"/>
    </row>
    <row r="829" spans="1:38" ht="11.25" customHeight="1">
      <c r="A829" s="1030" t="s">
        <v>1019</v>
      </c>
      <c r="E829" s="557"/>
      <c r="F829" s="1339"/>
      <c r="G829" s="1340"/>
      <c r="H829" s="1335" t="s">
        <v>1136</v>
      </c>
      <c r="I829" s="1347"/>
      <c r="J829" s="1363"/>
      <c r="K829" s="1349"/>
      <c r="L829" s="1079"/>
      <c r="M829" s="1080"/>
      <c r="N829" s="1355"/>
      <c r="O829" s="1356"/>
      <c r="P829" s="1358"/>
      <c r="Q829" s="1308"/>
      <c r="R829" s="1308"/>
      <c r="S829" s="1361"/>
      <c r="T829" s="1308"/>
      <c r="U829" s="1308"/>
      <c r="V829" s="1308"/>
      <c r="W829" s="1308"/>
      <c r="X829" s="1308"/>
      <c r="Y829" s="1308"/>
      <c r="AA829" s="778">
        <v>1</v>
      </c>
      <c r="AB829" s="779" t="s">
        <v>1119</v>
      </c>
      <c r="AC829" s="237">
        <v>675.76012555220404</v>
      </c>
      <c r="AD829" s="779" t="str">
        <f>AB829</f>
        <v xml:space="preserve">  Прибыль направляемая на инвестиции</v>
      </c>
      <c r="AE829" s="237">
        <v>893.54770038518495</v>
      </c>
      <c r="AF829" s="1350"/>
      <c r="AG829" s="1352"/>
      <c r="AH829" s="1352"/>
      <c r="AI829" s="1350"/>
      <c r="AJ829" s="1352"/>
      <c r="AK829" s="1352"/>
      <c r="AL829" s="772"/>
    </row>
    <row r="830" spans="1:38" ht="11.25" customHeight="1">
      <c r="A830" t="s">
        <v>1019</v>
      </c>
      <c r="E830" s="557"/>
      <c r="F830" s="1340"/>
      <c r="G830" s="1340"/>
      <c r="H830" s="1340"/>
      <c r="I830" s="1340"/>
      <c r="J830" s="1340"/>
      <c r="K830" s="1340"/>
      <c r="L830" s="1340"/>
      <c r="M830" s="1340"/>
      <c r="N830" s="1340"/>
      <c r="O830" s="1340"/>
      <c r="P830" s="1340"/>
      <c r="Q830" s="1340"/>
      <c r="R830" s="1340"/>
      <c r="S830" s="1340"/>
      <c r="T830" s="1340"/>
      <c r="U830" s="1340"/>
      <c r="V830" s="1340"/>
      <c r="W830" s="1340"/>
      <c r="X830" s="1340"/>
      <c r="Y830" s="1340"/>
      <c r="Z830" s="181" t="s">
        <v>103</v>
      </c>
      <c r="AA830" s="780" t="s">
        <v>102</v>
      </c>
      <c r="AB830" s="779" t="s">
        <v>1120</v>
      </c>
      <c r="AC830" s="237">
        <v>473.13580933161097</v>
      </c>
      <c r="AD830" s="779" t="str">
        <f>AB830</f>
        <v xml:space="preserve">     Прочие амортизационные отчисления</v>
      </c>
      <c r="AE830" s="237">
        <v>625.62053961481502</v>
      </c>
      <c r="AF830" s="1351"/>
      <c r="AG830" s="1353"/>
      <c r="AH830" s="1353"/>
      <c r="AI830" s="1351"/>
      <c r="AJ830" s="1353"/>
      <c r="AK830" s="1354"/>
      <c r="AL830" s="772"/>
    </row>
    <row r="831" spans="1:38" ht="11.25" customHeight="1">
      <c r="A831" t="s">
        <v>1019</v>
      </c>
      <c r="E831" s="557"/>
      <c r="F831" s="1340"/>
      <c r="G831" s="1340"/>
      <c r="H831" s="1340"/>
      <c r="I831" s="1340"/>
      <c r="J831" s="1340"/>
      <c r="K831" s="1340"/>
      <c r="L831" s="1340"/>
      <c r="M831" s="1340"/>
      <c r="N831" s="1340"/>
      <c r="O831" s="1340"/>
      <c r="P831" s="1340"/>
      <c r="Q831" s="1340"/>
      <c r="R831" s="1340"/>
      <c r="S831" s="1340"/>
      <c r="T831" s="1340"/>
      <c r="U831" s="1340"/>
      <c r="V831" s="1340"/>
      <c r="W831" s="1340"/>
      <c r="X831" s="1340"/>
      <c r="Y831" s="1340"/>
      <c r="Z831" s="181" t="s">
        <v>103</v>
      </c>
      <c r="AA831" s="780" t="s">
        <v>89</v>
      </c>
      <c r="AB831" s="779" t="s">
        <v>1138</v>
      </c>
      <c r="AC831" s="237">
        <v>203.677833959514</v>
      </c>
      <c r="AD831" s="779" t="str">
        <f>AB831</f>
        <v xml:space="preserve">  Прочие собственные средства</v>
      </c>
      <c r="AE831" s="237">
        <v>32.429939999999903</v>
      </c>
      <c r="AF831" s="1351"/>
      <c r="AG831" s="1353"/>
      <c r="AH831" s="1353"/>
      <c r="AI831" s="1351"/>
      <c r="AJ831" s="1353"/>
      <c r="AK831" s="1354"/>
      <c r="AL831" s="772"/>
    </row>
    <row r="832" spans="1:38" ht="11.25" customHeight="1">
      <c r="A832" s="1030" t="s">
        <v>1019</v>
      </c>
      <c r="E832" s="557"/>
      <c r="F832" s="1339"/>
      <c r="G832" s="1340"/>
      <c r="H832" s="1335" t="s">
        <v>1136</v>
      </c>
      <c r="I832" s="1347"/>
      <c r="J832" s="1363"/>
      <c r="K832" s="1349"/>
      <c r="L832" s="1079"/>
      <c r="M832" s="1080"/>
      <c r="N832" s="1355"/>
      <c r="O832" s="1356"/>
      <c r="P832" s="1359"/>
      <c r="Q832" s="1308"/>
      <c r="R832" s="1308"/>
      <c r="S832" s="1361"/>
      <c r="T832" s="1308"/>
      <c r="U832" s="1308"/>
      <c r="V832" s="1308"/>
      <c r="W832" s="1308"/>
      <c r="X832" s="1308"/>
      <c r="Y832" s="1308"/>
      <c r="Z832" s="229"/>
      <c r="AA832" s="230"/>
      <c r="AB832" s="44" t="s">
        <v>1059</v>
      </c>
      <c r="AC832" s="231"/>
      <c r="AD832" s="231"/>
      <c r="AE832" s="246"/>
      <c r="AF832" s="1350"/>
      <c r="AG832" s="1352"/>
      <c r="AH832" s="1352"/>
      <c r="AI832" s="1350"/>
      <c r="AJ832" s="1352"/>
      <c r="AK832" s="1352"/>
      <c r="AL832" s="772"/>
    </row>
    <row r="833" spans="1:38" ht="11.25" customHeight="1">
      <c r="A833" s="1030" t="s">
        <v>1019</v>
      </c>
      <c r="E833" s="557"/>
      <c r="F833" s="1339"/>
      <c r="G833" s="1340"/>
      <c r="H833" s="1335" t="s">
        <v>1136</v>
      </c>
      <c r="I833" s="1347"/>
      <c r="J833" s="1363"/>
      <c r="K833" s="1349"/>
      <c r="L833" s="1079"/>
      <c r="M833" s="1080"/>
      <c r="N833" s="229"/>
      <c r="O833" s="230"/>
      <c r="P833" s="44" t="s">
        <v>1060</v>
      </c>
      <c r="Q833" s="230"/>
      <c r="R833" s="230"/>
      <c r="S833" s="230"/>
      <c r="T833" s="230"/>
      <c r="U833" s="230"/>
      <c r="V833" s="230"/>
      <c r="W833" s="230"/>
      <c r="X833" s="230"/>
      <c r="Y833" s="230"/>
      <c r="Z833" s="230"/>
      <c r="AA833" s="230"/>
      <c r="AB833" s="230"/>
      <c r="AC833" s="230"/>
      <c r="AD833" s="230"/>
      <c r="AE833" s="247"/>
      <c r="AF833" s="1350"/>
      <c r="AG833" s="1352"/>
      <c r="AH833" s="1352"/>
      <c r="AI833" s="1350"/>
      <c r="AJ833" s="1352"/>
      <c r="AK833" s="1352"/>
      <c r="AL833" s="772"/>
    </row>
    <row r="834" spans="1:38" ht="11.25" customHeight="1">
      <c r="A834" s="1030" t="s">
        <v>1019</v>
      </c>
      <c r="B834" s="1030" t="s">
        <v>1051</v>
      </c>
      <c r="E834" s="557"/>
      <c r="F834" s="1339"/>
      <c r="G834" s="1325" t="s">
        <v>103</v>
      </c>
      <c r="H834" s="1335" t="s">
        <v>1144</v>
      </c>
      <c r="I834" s="1347" t="s">
        <v>1052</v>
      </c>
      <c r="J834" s="1363" t="s">
        <v>1093</v>
      </c>
      <c r="K834" s="1349" t="s">
        <v>1094</v>
      </c>
      <c r="L834" s="1079" t="s">
        <v>61</v>
      </c>
      <c r="M834" s="1364" t="s">
        <v>1018</v>
      </c>
      <c r="N834" s="242"/>
      <c r="O834" s="243" t="s">
        <v>384</v>
      </c>
      <c r="P834" s="244"/>
      <c r="Q834" s="244"/>
      <c r="R834" s="244"/>
      <c r="S834" s="244"/>
      <c r="T834" s="244"/>
      <c r="U834" s="244"/>
      <c r="V834" s="244"/>
      <c r="W834" s="244"/>
      <c r="X834" s="244"/>
      <c r="Y834" s="244"/>
      <c r="Z834" s="244"/>
      <c r="AA834" s="244"/>
      <c r="AB834" s="244"/>
      <c r="AC834" s="244"/>
      <c r="AD834" s="244"/>
      <c r="AE834" s="244"/>
      <c r="AF834" s="1350">
        <v>8</v>
      </c>
      <c r="AG834" s="1352" t="s">
        <v>1055</v>
      </c>
      <c r="AH834" s="1352" t="s">
        <v>1095</v>
      </c>
      <c r="AI834" s="1350">
        <v>8</v>
      </c>
      <c r="AJ834" s="1352" t="s">
        <v>1055</v>
      </c>
      <c r="AK834" s="1352" t="s">
        <v>1095</v>
      </c>
      <c r="AL834" s="772"/>
    </row>
    <row r="835" spans="1:38" ht="11.25" customHeight="1">
      <c r="A835" s="1030" t="s">
        <v>1019</v>
      </c>
      <c r="E835" s="557"/>
      <c r="F835" s="1339"/>
      <c r="G835" s="1340"/>
      <c r="H835" s="1335" t="s">
        <v>1143</v>
      </c>
      <c r="I835" s="1347"/>
      <c r="J835" s="1363"/>
      <c r="K835" s="1349"/>
      <c r="L835" s="1079"/>
      <c r="M835" s="1364"/>
      <c r="N835" s="1355"/>
      <c r="O835" s="1356">
        <v>1</v>
      </c>
      <c r="P835" s="1357" t="s">
        <v>19</v>
      </c>
      <c r="Q835" s="1308" t="s">
        <v>22</v>
      </c>
      <c r="R835" s="1308" t="s">
        <v>22</v>
      </c>
      <c r="S835" s="1308" t="s">
        <v>22</v>
      </c>
      <c r="T835" s="1308" t="s">
        <v>22</v>
      </c>
      <c r="U835" s="1308" t="s">
        <v>22</v>
      </c>
      <c r="V835" s="1308" t="s">
        <v>22</v>
      </c>
      <c r="W835" s="1308" t="s">
        <v>22</v>
      </c>
      <c r="X835" s="1308" t="s">
        <v>22</v>
      </c>
      <c r="Y835" s="1308"/>
      <c r="Z835" s="229"/>
      <c r="AA835" s="230"/>
      <c r="AB835" s="230"/>
      <c r="AC835" s="231"/>
      <c r="AD835" s="231"/>
      <c r="AE835" s="245"/>
      <c r="AF835" s="1350"/>
      <c r="AG835" s="1352"/>
      <c r="AH835" s="1352"/>
      <c r="AI835" s="1350"/>
      <c r="AJ835" s="1352"/>
      <c r="AK835" s="1352"/>
      <c r="AL835" s="772"/>
    </row>
    <row r="836" spans="1:38" ht="11.25" customHeight="1">
      <c r="A836" s="1030" t="s">
        <v>1019</v>
      </c>
      <c r="E836" s="557"/>
      <c r="F836" s="1339"/>
      <c r="G836" s="1340"/>
      <c r="H836" s="1335" t="s">
        <v>1143</v>
      </c>
      <c r="I836" s="1347"/>
      <c r="J836" s="1363"/>
      <c r="K836" s="1349"/>
      <c r="L836" s="1079"/>
      <c r="M836" s="1364"/>
      <c r="N836" s="1355"/>
      <c r="O836" s="1356"/>
      <c r="P836" s="1358"/>
      <c r="Q836" s="1308"/>
      <c r="R836" s="1308"/>
      <c r="S836" s="1361"/>
      <c r="T836" s="1308"/>
      <c r="U836" s="1308"/>
      <c r="V836" s="1308"/>
      <c r="W836" s="1308"/>
      <c r="X836" s="1308"/>
      <c r="Y836" s="1308"/>
      <c r="AA836" s="778">
        <v>1</v>
      </c>
      <c r="AB836" s="779" t="s">
        <v>1119</v>
      </c>
      <c r="AC836" s="237">
        <v>16626.5623756395</v>
      </c>
      <c r="AD836" s="779" t="str">
        <f>AB836</f>
        <v xml:space="preserve">  Прибыль направляемая на инвестиции</v>
      </c>
      <c r="AE836" s="237">
        <v>16626.5623756395</v>
      </c>
      <c r="AF836" s="1350"/>
      <c r="AG836" s="1352"/>
      <c r="AH836" s="1352"/>
      <c r="AI836" s="1350"/>
      <c r="AJ836" s="1352"/>
      <c r="AK836" s="1352"/>
      <c r="AL836" s="772"/>
    </row>
    <row r="837" spans="1:38" ht="11.25" customHeight="1">
      <c r="A837" t="s">
        <v>1019</v>
      </c>
      <c r="E837" s="557"/>
      <c r="F837" s="1340"/>
      <c r="G837" s="1340"/>
      <c r="H837" s="1340"/>
      <c r="I837" s="1340"/>
      <c r="J837" s="1340"/>
      <c r="K837" s="1340"/>
      <c r="L837" s="1340"/>
      <c r="M837" s="1365"/>
      <c r="N837" s="1340"/>
      <c r="O837" s="1340"/>
      <c r="P837" s="1340"/>
      <c r="Q837" s="1340"/>
      <c r="R837" s="1340"/>
      <c r="S837" s="1340"/>
      <c r="T837" s="1340"/>
      <c r="U837" s="1340"/>
      <c r="V837" s="1340"/>
      <c r="W837" s="1340"/>
      <c r="X837" s="1340"/>
      <c r="Y837" s="1340"/>
      <c r="Z837" s="181" t="s">
        <v>103</v>
      </c>
      <c r="AA837" s="780" t="s">
        <v>102</v>
      </c>
      <c r="AB837" s="779" t="s">
        <v>1120</v>
      </c>
      <c r="AC837" s="237">
        <v>11641.1456499781</v>
      </c>
      <c r="AD837" s="779" t="str">
        <f>AB837</f>
        <v xml:space="preserve">     Прочие амортизационные отчисления</v>
      </c>
      <c r="AE837" s="237">
        <v>11641.1456499781</v>
      </c>
      <c r="AF837" s="1351"/>
      <c r="AG837" s="1353"/>
      <c r="AH837" s="1353"/>
      <c r="AI837" s="1351"/>
      <c r="AJ837" s="1353"/>
      <c r="AK837" s="1354"/>
      <c r="AL837" s="772"/>
    </row>
    <row r="838" spans="1:38" ht="11.25" customHeight="1">
      <c r="A838" t="s">
        <v>1019</v>
      </c>
      <c r="E838" s="557"/>
      <c r="F838" s="1340"/>
      <c r="G838" s="1340"/>
      <c r="H838" s="1340"/>
      <c r="I838" s="1340"/>
      <c r="J838" s="1340"/>
      <c r="K838" s="1340"/>
      <c r="L838" s="1340"/>
      <c r="M838" s="1365"/>
      <c r="N838" s="1340"/>
      <c r="O838" s="1340"/>
      <c r="P838" s="1340"/>
      <c r="Q838" s="1340"/>
      <c r="R838" s="1340"/>
      <c r="S838" s="1340"/>
      <c r="T838" s="1340"/>
      <c r="U838" s="1340"/>
      <c r="V838" s="1340"/>
      <c r="W838" s="1340"/>
      <c r="X838" s="1340"/>
      <c r="Y838" s="1340"/>
      <c r="Z838" s="181" t="s">
        <v>103</v>
      </c>
      <c r="AA838" s="780" t="s">
        <v>89</v>
      </c>
      <c r="AB838" s="779" t="s">
        <v>1138</v>
      </c>
      <c r="AC838" s="237">
        <v>5011.3377259360104</v>
      </c>
      <c r="AD838" s="779" t="str">
        <f>AB838</f>
        <v xml:space="preserve">  Прочие собственные средства</v>
      </c>
      <c r="AE838" s="237">
        <v>5175.0790500000003</v>
      </c>
      <c r="AF838" s="1351"/>
      <c r="AG838" s="1353"/>
      <c r="AH838" s="1353"/>
      <c r="AI838" s="1351"/>
      <c r="AJ838" s="1353"/>
      <c r="AK838" s="1354"/>
      <c r="AL838" s="772"/>
    </row>
    <row r="839" spans="1:38" ht="11.25" customHeight="1">
      <c r="A839" t="s">
        <v>1019</v>
      </c>
      <c r="E839" s="557"/>
      <c r="F839" s="1340"/>
      <c r="G839" s="1340"/>
      <c r="H839" s="1340"/>
      <c r="I839" s="1340"/>
      <c r="J839" s="1340"/>
      <c r="K839" s="1340"/>
      <c r="L839" s="1340"/>
      <c r="M839" s="1365"/>
      <c r="N839" s="1340"/>
      <c r="O839" s="1340"/>
      <c r="P839" s="1340"/>
      <c r="Q839" s="1340"/>
      <c r="R839" s="1340"/>
      <c r="S839" s="1340"/>
      <c r="T839" s="1340"/>
      <c r="U839" s="1340"/>
      <c r="V839" s="1340"/>
      <c r="W839" s="1340"/>
      <c r="X839" s="1340"/>
      <c r="Y839" s="1340"/>
      <c r="Z839" s="181" t="s">
        <v>103</v>
      </c>
      <c r="AA839" s="780" t="s">
        <v>90</v>
      </c>
      <c r="AB839" s="779" t="s">
        <v>1057</v>
      </c>
      <c r="AC839" s="237">
        <v>0</v>
      </c>
      <c r="AD839" s="779" t="str">
        <f>AB839</f>
        <v xml:space="preserve">  Кредиты</v>
      </c>
      <c r="AE839" s="237">
        <v>1611.1326043823999</v>
      </c>
      <c r="AF839" s="1351"/>
      <c r="AG839" s="1353"/>
      <c r="AH839" s="1353"/>
      <c r="AI839" s="1351"/>
      <c r="AJ839" s="1353"/>
      <c r="AK839" s="1354"/>
      <c r="AL839" s="772"/>
    </row>
    <row r="840" spans="1:38" ht="11.25" customHeight="1">
      <c r="A840" s="1030" t="s">
        <v>1019</v>
      </c>
      <c r="E840" s="557"/>
      <c r="F840" s="1339"/>
      <c r="G840" s="1340"/>
      <c r="H840" s="1335" t="s">
        <v>1143</v>
      </c>
      <c r="I840" s="1347"/>
      <c r="J840" s="1363"/>
      <c r="K840" s="1349"/>
      <c r="L840" s="1079"/>
      <c r="M840" s="1364"/>
      <c r="N840" s="1355"/>
      <c r="O840" s="1356"/>
      <c r="P840" s="1359"/>
      <c r="Q840" s="1308"/>
      <c r="R840" s="1308"/>
      <c r="S840" s="1361"/>
      <c r="T840" s="1308"/>
      <c r="U840" s="1308"/>
      <c r="V840" s="1308"/>
      <c r="W840" s="1308"/>
      <c r="X840" s="1308"/>
      <c r="Y840" s="1308"/>
      <c r="Z840" s="229"/>
      <c r="AA840" s="230"/>
      <c r="AB840" s="44" t="s">
        <v>1059</v>
      </c>
      <c r="AC840" s="231"/>
      <c r="AD840" s="231"/>
      <c r="AE840" s="246"/>
      <c r="AF840" s="1350"/>
      <c r="AG840" s="1352"/>
      <c r="AH840" s="1352"/>
      <c r="AI840" s="1350"/>
      <c r="AJ840" s="1352"/>
      <c r="AK840" s="1352"/>
      <c r="AL840" s="772"/>
    </row>
    <row r="841" spans="1:38" ht="11.25" customHeight="1">
      <c r="A841" s="1030" t="s">
        <v>1019</v>
      </c>
      <c r="E841" s="557"/>
      <c r="F841" s="1339"/>
      <c r="G841" s="1340"/>
      <c r="H841" s="1335" t="s">
        <v>1143</v>
      </c>
      <c r="I841" s="1347"/>
      <c r="J841" s="1363"/>
      <c r="K841" s="1349"/>
      <c r="L841" s="1079"/>
      <c r="M841" s="1364"/>
      <c r="N841" s="229"/>
      <c r="O841" s="230"/>
      <c r="P841" s="44" t="s">
        <v>1060</v>
      </c>
      <c r="Q841" s="230"/>
      <c r="R841" s="230"/>
      <c r="S841" s="230"/>
      <c r="T841" s="230"/>
      <c r="U841" s="230"/>
      <c r="V841" s="230"/>
      <c r="W841" s="230"/>
      <c r="X841" s="230"/>
      <c r="Y841" s="230"/>
      <c r="Z841" s="230"/>
      <c r="AA841" s="230"/>
      <c r="AB841" s="230"/>
      <c r="AC841" s="230"/>
      <c r="AD841" s="230"/>
      <c r="AE841" s="247"/>
      <c r="AF841" s="1350"/>
      <c r="AG841" s="1352"/>
      <c r="AH841" s="1352"/>
      <c r="AI841" s="1350"/>
      <c r="AJ841" s="1352"/>
      <c r="AK841" s="1352"/>
      <c r="AL841" s="772"/>
    </row>
    <row r="842" spans="1:38" ht="11.25" customHeight="1">
      <c r="A842" s="1030" t="s">
        <v>1019</v>
      </c>
      <c r="B842" s="1030" t="s">
        <v>22</v>
      </c>
      <c r="E842" s="557"/>
      <c r="F842" s="1339"/>
      <c r="G842" s="1325" t="s">
        <v>103</v>
      </c>
      <c r="H842" s="1335" t="s">
        <v>1145</v>
      </c>
      <c r="I842" s="1347" t="s">
        <v>1061</v>
      </c>
      <c r="J842" s="1360" t="s">
        <v>22</v>
      </c>
      <c r="K842" s="1349" t="s">
        <v>1156</v>
      </c>
      <c r="L842" s="1079" t="s">
        <v>19</v>
      </c>
      <c r="M842" s="1080"/>
      <c r="N842" s="242"/>
      <c r="O842" s="243" t="s">
        <v>384</v>
      </c>
      <c r="P842" s="244"/>
      <c r="Q842" s="244"/>
      <c r="R842" s="244"/>
      <c r="S842" s="244"/>
      <c r="T842" s="244"/>
      <c r="U842" s="244"/>
      <c r="V842" s="244"/>
      <c r="W842" s="244"/>
      <c r="X842" s="244"/>
      <c r="Y842" s="244"/>
      <c r="Z842" s="244"/>
      <c r="AA842" s="244"/>
      <c r="AB842" s="244"/>
      <c r="AC842" s="244"/>
      <c r="AD842" s="244"/>
      <c r="AE842" s="244"/>
      <c r="AF842" s="1350">
        <v>1</v>
      </c>
      <c r="AG842" s="1352" t="s">
        <v>1055</v>
      </c>
      <c r="AH842" s="1352" t="s">
        <v>1107</v>
      </c>
      <c r="AI842" s="1350">
        <v>1</v>
      </c>
      <c r="AJ842" s="1352" t="s">
        <v>1055</v>
      </c>
      <c r="AK842" s="1352" t="s">
        <v>1107</v>
      </c>
      <c r="AL842" s="772"/>
    </row>
    <row r="843" spans="1:38" ht="11.25" customHeight="1">
      <c r="A843" s="1030" t="s">
        <v>1019</v>
      </c>
      <c r="E843" s="557"/>
      <c r="F843" s="1339"/>
      <c r="G843" s="1340"/>
      <c r="H843" s="1335" t="s">
        <v>1144</v>
      </c>
      <c r="I843" s="1347"/>
      <c r="J843" s="1360"/>
      <c r="K843" s="1349"/>
      <c r="L843" s="1079"/>
      <c r="M843" s="1080"/>
      <c r="N843" s="1355"/>
      <c r="O843" s="1356">
        <v>1</v>
      </c>
      <c r="P843" s="1357" t="s">
        <v>19</v>
      </c>
      <c r="Q843" s="1308" t="s">
        <v>22</v>
      </c>
      <c r="R843" s="1308" t="s">
        <v>22</v>
      </c>
      <c r="S843" s="1308" t="s">
        <v>22</v>
      </c>
      <c r="T843" s="1308" t="s">
        <v>22</v>
      </c>
      <c r="U843" s="1308" t="s">
        <v>22</v>
      </c>
      <c r="V843" s="1308" t="s">
        <v>22</v>
      </c>
      <c r="W843" s="1308" t="s">
        <v>22</v>
      </c>
      <c r="X843" s="1308" t="s">
        <v>22</v>
      </c>
      <c r="Y843" s="1308"/>
      <c r="Z843" s="229"/>
      <c r="AA843" s="230"/>
      <c r="AB843" s="230"/>
      <c r="AC843" s="231"/>
      <c r="AD843" s="231"/>
      <c r="AE843" s="245"/>
      <c r="AF843" s="1350"/>
      <c r="AG843" s="1352"/>
      <c r="AH843" s="1352"/>
      <c r="AI843" s="1350"/>
      <c r="AJ843" s="1352"/>
      <c r="AK843" s="1352"/>
      <c r="AL843" s="772"/>
    </row>
    <row r="844" spans="1:38" ht="11.25" customHeight="1">
      <c r="A844" s="1030" t="s">
        <v>1019</v>
      </c>
      <c r="E844" s="557"/>
      <c r="F844" s="1339"/>
      <c r="G844" s="1340"/>
      <c r="H844" s="1335" t="s">
        <v>1144</v>
      </c>
      <c r="I844" s="1347"/>
      <c r="J844" s="1360"/>
      <c r="K844" s="1349"/>
      <c r="L844" s="1079"/>
      <c r="M844" s="1080"/>
      <c r="N844" s="1355"/>
      <c r="O844" s="1356"/>
      <c r="P844" s="1358"/>
      <c r="Q844" s="1308"/>
      <c r="R844" s="1308"/>
      <c r="S844" s="1361"/>
      <c r="T844" s="1308"/>
      <c r="U844" s="1308"/>
      <c r="V844" s="1308"/>
      <c r="W844" s="1308"/>
      <c r="X844" s="1308"/>
      <c r="Y844" s="1308"/>
      <c r="AA844" s="778">
        <v>1</v>
      </c>
      <c r="AB844" s="779" t="s">
        <v>1119</v>
      </c>
      <c r="AC844" s="237">
        <v>1148.98806125743</v>
      </c>
      <c r="AD844" s="779" t="str">
        <f>AB844</f>
        <v xml:space="preserve">  Прибыль направляемая на инвестиции</v>
      </c>
      <c r="AE844" s="237">
        <v>1160.1910140929101</v>
      </c>
      <c r="AF844" s="1350"/>
      <c r="AG844" s="1352"/>
      <c r="AH844" s="1352"/>
      <c r="AI844" s="1350"/>
      <c r="AJ844" s="1352"/>
      <c r="AK844" s="1352"/>
      <c r="AL844" s="772"/>
    </row>
    <row r="845" spans="1:38" ht="11.25" customHeight="1">
      <c r="A845" t="s">
        <v>1019</v>
      </c>
      <c r="E845" s="557"/>
      <c r="F845" s="1340"/>
      <c r="G845" s="1340"/>
      <c r="H845" s="1340"/>
      <c r="I845" s="1340"/>
      <c r="J845" s="1340"/>
      <c r="K845" s="1340"/>
      <c r="L845" s="1340"/>
      <c r="M845" s="1340"/>
      <c r="N845" s="1340"/>
      <c r="O845" s="1340"/>
      <c r="P845" s="1340"/>
      <c r="Q845" s="1340"/>
      <c r="R845" s="1340"/>
      <c r="S845" s="1340"/>
      <c r="T845" s="1340"/>
      <c r="U845" s="1340"/>
      <c r="V845" s="1340"/>
      <c r="W845" s="1340"/>
      <c r="X845" s="1340"/>
      <c r="Y845" s="1340"/>
      <c r="Z845" s="181" t="s">
        <v>103</v>
      </c>
      <c r="AA845" s="780" t="s">
        <v>102</v>
      </c>
      <c r="AB845" s="779" t="s">
        <v>1120</v>
      </c>
      <c r="AC845" s="237">
        <v>804.46799939721302</v>
      </c>
      <c r="AD845" s="779" t="str">
        <f>AB845</f>
        <v xml:space="preserve">     Прочие амортизационные отчисления</v>
      </c>
      <c r="AE845" s="237">
        <v>812.31178590709203</v>
      </c>
      <c r="AF845" s="1351"/>
      <c r="AG845" s="1353"/>
      <c r="AH845" s="1353"/>
      <c r="AI845" s="1351"/>
      <c r="AJ845" s="1353"/>
      <c r="AK845" s="1354"/>
      <c r="AL845" s="772"/>
    </row>
    <row r="846" spans="1:38" ht="11.25" customHeight="1">
      <c r="A846" t="s">
        <v>1019</v>
      </c>
      <c r="E846" s="557"/>
      <c r="F846" s="1340"/>
      <c r="G846" s="1340"/>
      <c r="H846" s="1340"/>
      <c r="I846" s="1340"/>
      <c r="J846" s="1340"/>
      <c r="K846" s="1340"/>
      <c r="L846" s="1340"/>
      <c r="M846" s="1340"/>
      <c r="N846" s="1340"/>
      <c r="O846" s="1340"/>
      <c r="P846" s="1340"/>
      <c r="Q846" s="1340"/>
      <c r="R846" s="1340"/>
      <c r="S846" s="1340"/>
      <c r="T846" s="1340"/>
      <c r="U846" s="1340"/>
      <c r="V846" s="1340"/>
      <c r="W846" s="1340"/>
      <c r="X846" s="1340"/>
      <c r="Y846" s="1340"/>
      <c r="Z846" s="181" t="s">
        <v>103</v>
      </c>
      <c r="AA846" s="780" t="s">
        <v>89</v>
      </c>
      <c r="AB846" s="779" t="s">
        <v>1138</v>
      </c>
      <c r="AC846" s="237">
        <v>346.31134734536101</v>
      </c>
      <c r="AD846" s="779" t="str">
        <f>AB846</f>
        <v xml:space="preserve">  Прочие собственные средства</v>
      </c>
      <c r="AE846" s="237">
        <v>229.01191</v>
      </c>
      <c r="AF846" s="1351"/>
      <c r="AG846" s="1353"/>
      <c r="AH846" s="1353"/>
      <c r="AI846" s="1351"/>
      <c r="AJ846" s="1353"/>
      <c r="AK846" s="1354"/>
      <c r="AL846" s="772"/>
    </row>
    <row r="847" spans="1:38" ht="11.25" customHeight="1">
      <c r="A847" s="1030" t="s">
        <v>1019</v>
      </c>
      <c r="E847" s="557"/>
      <c r="F847" s="1339"/>
      <c r="G847" s="1340"/>
      <c r="H847" s="1335" t="s">
        <v>1144</v>
      </c>
      <c r="I847" s="1347"/>
      <c r="J847" s="1360"/>
      <c r="K847" s="1349"/>
      <c r="L847" s="1079"/>
      <c r="M847" s="1080"/>
      <c r="N847" s="1355"/>
      <c r="O847" s="1356"/>
      <c r="P847" s="1359"/>
      <c r="Q847" s="1308"/>
      <c r="R847" s="1308"/>
      <c r="S847" s="1361"/>
      <c r="T847" s="1308"/>
      <c r="U847" s="1308"/>
      <c r="V847" s="1308"/>
      <c r="W847" s="1308"/>
      <c r="X847" s="1308"/>
      <c r="Y847" s="1308"/>
      <c r="Z847" s="229"/>
      <c r="AA847" s="230"/>
      <c r="AB847" s="44" t="s">
        <v>1059</v>
      </c>
      <c r="AC847" s="231"/>
      <c r="AD847" s="231"/>
      <c r="AE847" s="246"/>
      <c r="AF847" s="1350"/>
      <c r="AG847" s="1352"/>
      <c r="AH847" s="1352"/>
      <c r="AI847" s="1350"/>
      <c r="AJ847" s="1352"/>
      <c r="AK847" s="1352"/>
      <c r="AL847" s="772"/>
    </row>
    <row r="848" spans="1:38" ht="11.25" customHeight="1">
      <c r="A848" s="1030" t="s">
        <v>1019</v>
      </c>
      <c r="E848" s="557"/>
      <c r="F848" s="1339"/>
      <c r="G848" s="1340"/>
      <c r="H848" s="1335" t="s">
        <v>1144</v>
      </c>
      <c r="I848" s="1347"/>
      <c r="J848" s="1360"/>
      <c r="K848" s="1349"/>
      <c r="L848" s="1079"/>
      <c r="M848" s="1080"/>
      <c r="N848" s="229"/>
      <c r="O848" s="230"/>
      <c r="P848" s="44" t="s">
        <v>1060</v>
      </c>
      <c r="Q848" s="230"/>
      <c r="R848" s="230"/>
      <c r="S848" s="230"/>
      <c r="T848" s="230"/>
      <c r="U848" s="230"/>
      <c r="V848" s="230"/>
      <c r="W848" s="230"/>
      <c r="X848" s="230"/>
      <c r="Y848" s="230"/>
      <c r="Z848" s="230"/>
      <c r="AA848" s="230"/>
      <c r="AB848" s="230"/>
      <c r="AC848" s="230"/>
      <c r="AD848" s="230"/>
      <c r="AE848" s="247"/>
      <c r="AF848" s="1350"/>
      <c r="AG848" s="1352"/>
      <c r="AH848" s="1352"/>
      <c r="AI848" s="1350"/>
      <c r="AJ848" s="1352"/>
      <c r="AK848" s="1352"/>
      <c r="AL848" s="772"/>
    </row>
    <row r="849" spans="1:38" ht="11.25" customHeight="1">
      <c r="A849" t="s">
        <v>1019</v>
      </c>
      <c r="B849" t="s">
        <v>1086</v>
      </c>
      <c r="E849" s="557"/>
      <c r="F849" s="1339"/>
      <c r="G849" s="1325" t="s">
        <v>103</v>
      </c>
      <c r="H849" s="1335" t="s">
        <v>105</v>
      </c>
      <c r="I849" s="1347" t="s">
        <v>1087</v>
      </c>
      <c r="J849" s="1363" t="s">
        <v>1116</v>
      </c>
      <c r="K849" s="1349" t="s">
        <v>1157</v>
      </c>
      <c r="L849" s="1079" t="s">
        <v>19</v>
      </c>
      <c r="M849" s="1080"/>
      <c r="N849" s="242"/>
      <c r="O849" s="243" t="s">
        <v>384</v>
      </c>
      <c r="P849" s="244"/>
      <c r="Q849" s="244"/>
      <c r="R849" s="244"/>
      <c r="S849" s="244"/>
      <c r="T849" s="244"/>
      <c r="U849" s="244"/>
      <c r="V849" s="244"/>
      <c r="W849" s="244"/>
      <c r="X849" s="244"/>
      <c r="Y849" s="244"/>
      <c r="Z849" s="244"/>
      <c r="AA849" s="244"/>
      <c r="AB849" s="244"/>
      <c r="AC849" s="244"/>
      <c r="AD849" s="244"/>
      <c r="AE849" s="244"/>
      <c r="AF849" s="1350">
        <v>1</v>
      </c>
      <c r="AG849" s="1352" t="s">
        <v>1055</v>
      </c>
      <c r="AH849" s="1352" t="s">
        <v>1107</v>
      </c>
      <c r="AI849" s="1350">
        <v>1</v>
      </c>
      <c r="AJ849" s="1352" t="s">
        <v>1055</v>
      </c>
      <c r="AK849" s="1352" t="s">
        <v>1107</v>
      </c>
      <c r="AL849" s="772"/>
    </row>
    <row r="850" spans="1:38" ht="11.25" customHeight="1">
      <c r="A850" t="s">
        <v>1019</v>
      </c>
      <c r="E850" s="557"/>
      <c r="F850" s="1339"/>
      <c r="G850" s="1340"/>
      <c r="H850" s="1335" t="s">
        <v>1145</v>
      </c>
      <c r="I850" s="1347"/>
      <c r="J850" s="1363"/>
      <c r="K850" s="1349"/>
      <c r="L850" s="1079"/>
      <c r="M850" s="1080"/>
      <c r="N850" s="1355"/>
      <c r="O850" s="1356">
        <v>1</v>
      </c>
      <c r="P850" s="1357" t="s">
        <v>19</v>
      </c>
      <c r="Q850" s="1308" t="s">
        <v>22</v>
      </c>
      <c r="R850" s="1308" t="s">
        <v>22</v>
      </c>
      <c r="S850" s="1308" t="s">
        <v>22</v>
      </c>
      <c r="T850" s="1308" t="s">
        <v>22</v>
      </c>
      <c r="U850" s="1308" t="s">
        <v>22</v>
      </c>
      <c r="V850" s="1308" t="s">
        <v>22</v>
      </c>
      <c r="W850" s="1308" t="s">
        <v>22</v>
      </c>
      <c r="X850" s="1308" t="s">
        <v>22</v>
      </c>
      <c r="Y850" s="1308"/>
      <c r="Z850" s="229"/>
      <c r="AA850" s="230"/>
      <c r="AB850" s="230"/>
      <c r="AC850" s="231"/>
      <c r="AD850" s="231"/>
      <c r="AE850" s="245"/>
      <c r="AF850" s="1350"/>
      <c r="AG850" s="1352"/>
      <c r="AH850" s="1352"/>
      <c r="AI850" s="1350"/>
      <c r="AJ850" s="1352"/>
      <c r="AK850" s="1352"/>
      <c r="AL850" s="772"/>
    </row>
    <row r="851" spans="1:38" ht="11.25" customHeight="1">
      <c r="A851" t="s">
        <v>1019</v>
      </c>
      <c r="E851" s="557"/>
      <c r="F851" s="1339"/>
      <c r="G851" s="1340"/>
      <c r="H851" s="1335" t="s">
        <v>1145</v>
      </c>
      <c r="I851" s="1347"/>
      <c r="J851" s="1363"/>
      <c r="K851" s="1349"/>
      <c r="L851" s="1079"/>
      <c r="M851" s="1080"/>
      <c r="N851" s="1355"/>
      <c r="O851" s="1356"/>
      <c r="P851" s="1358"/>
      <c r="Q851" s="1308"/>
      <c r="R851" s="1308"/>
      <c r="S851" s="1361"/>
      <c r="T851" s="1308"/>
      <c r="U851" s="1308"/>
      <c r="V851" s="1308"/>
      <c r="W851" s="1308"/>
      <c r="X851" s="1308"/>
      <c r="Y851" s="1308"/>
      <c r="AA851" s="778">
        <v>1</v>
      </c>
      <c r="AB851" s="779" t="s">
        <v>1118</v>
      </c>
      <c r="AC851" s="237">
        <v>641.95996078999997</v>
      </c>
      <c r="AD851" s="779" t="str">
        <f>AB851</f>
        <v xml:space="preserve">  Средства, полученные за счет платы за подключение (технологическое присоединение)</v>
      </c>
      <c r="AE851" s="237">
        <v>144.58065999999999</v>
      </c>
      <c r="AF851" s="1350"/>
      <c r="AG851" s="1352"/>
      <c r="AH851" s="1352"/>
      <c r="AI851" s="1350"/>
      <c r="AJ851" s="1352"/>
      <c r="AK851" s="1352"/>
      <c r="AL851" s="772"/>
    </row>
    <row r="852" spans="1:38" ht="11.25" customHeight="1">
      <c r="A852" t="s">
        <v>1019</v>
      </c>
      <c r="E852" s="557"/>
      <c r="F852" s="1340"/>
      <c r="G852" s="1340"/>
      <c r="H852" s="1340"/>
      <c r="I852" s="1340"/>
      <c r="J852" s="1340"/>
      <c r="K852" s="1340"/>
      <c r="L852" s="1340"/>
      <c r="M852" s="1340"/>
      <c r="N852" s="1340"/>
      <c r="O852" s="1340"/>
      <c r="P852" s="1340"/>
      <c r="Q852" s="1340"/>
      <c r="R852" s="1340"/>
      <c r="S852" s="1340"/>
      <c r="T852" s="1340"/>
      <c r="U852" s="1340"/>
      <c r="V852" s="1340"/>
      <c r="W852" s="1340"/>
      <c r="X852" s="1340"/>
      <c r="Y852" s="1340"/>
      <c r="Z852" s="181" t="s">
        <v>103</v>
      </c>
      <c r="AA852" s="780" t="s">
        <v>102</v>
      </c>
      <c r="AB852" s="779" t="s">
        <v>1138</v>
      </c>
      <c r="AC852" s="237">
        <v>125.70197</v>
      </c>
      <c r="AD852" s="779" t="str">
        <f>AB852</f>
        <v xml:space="preserve">  Прочие собственные средства</v>
      </c>
      <c r="AE852" s="237">
        <v>6.9265100000000004</v>
      </c>
      <c r="AF852" s="1351"/>
      <c r="AG852" s="1353"/>
      <c r="AH852" s="1353"/>
      <c r="AI852" s="1351"/>
      <c r="AJ852" s="1353"/>
      <c r="AK852" s="1354"/>
      <c r="AL852" s="772"/>
    </row>
    <row r="853" spans="1:38" ht="11.25" customHeight="1">
      <c r="A853" t="s">
        <v>1019</v>
      </c>
      <c r="E853" s="557"/>
      <c r="F853" s="1339"/>
      <c r="G853" s="1340"/>
      <c r="H853" s="1335" t="s">
        <v>1145</v>
      </c>
      <c r="I853" s="1347"/>
      <c r="J853" s="1363"/>
      <c r="K853" s="1349"/>
      <c r="L853" s="1079"/>
      <c r="M853" s="1080"/>
      <c r="N853" s="1355"/>
      <c r="O853" s="1356"/>
      <c r="P853" s="1359"/>
      <c r="Q853" s="1308"/>
      <c r="R853" s="1308"/>
      <c r="S853" s="1361"/>
      <c r="T853" s="1308"/>
      <c r="U853" s="1308"/>
      <c r="V853" s="1308"/>
      <c r="W853" s="1308"/>
      <c r="X853" s="1308"/>
      <c r="Y853" s="1308"/>
      <c r="Z853" s="229"/>
      <c r="AA853" s="230"/>
      <c r="AB853" s="44" t="s">
        <v>1059</v>
      </c>
      <c r="AC853" s="231"/>
      <c r="AD853" s="231"/>
      <c r="AE853" s="246"/>
      <c r="AF853" s="1350"/>
      <c r="AG853" s="1352"/>
      <c r="AH853" s="1352"/>
      <c r="AI853" s="1350"/>
      <c r="AJ853" s="1352"/>
      <c r="AK853" s="1352"/>
      <c r="AL853" s="772"/>
    </row>
    <row r="854" spans="1:38" ht="11.25" customHeight="1">
      <c r="A854" t="s">
        <v>1019</v>
      </c>
      <c r="E854" s="557"/>
      <c r="F854" s="1339"/>
      <c r="G854" s="1340"/>
      <c r="H854" s="1335" t="s">
        <v>1145</v>
      </c>
      <c r="I854" s="1347"/>
      <c r="J854" s="1363"/>
      <c r="K854" s="1349"/>
      <c r="L854" s="1079"/>
      <c r="M854" s="1080"/>
      <c r="N854" s="229"/>
      <c r="O854" s="230"/>
      <c r="P854" s="44" t="s">
        <v>1060</v>
      </c>
      <c r="Q854" s="230"/>
      <c r="R854" s="230"/>
      <c r="S854" s="230"/>
      <c r="T854" s="230"/>
      <c r="U854" s="230"/>
      <c r="V854" s="230"/>
      <c r="W854" s="230"/>
      <c r="X854" s="230"/>
      <c r="Y854" s="230"/>
      <c r="Z854" s="230"/>
      <c r="AA854" s="230"/>
      <c r="AB854" s="230"/>
      <c r="AC854" s="230"/>
      <c r="AD854" s="230"/>
      <c r="AE854" s="247"/>
      <c r="AF854" s="1350"/>
      <c r="AG854" s="1352"/>
      <c r="AH854" s="1352"/>
      <c r="AI854" s="1350"/>
      <c r="AJ854" s="1352"/>
      <c r="AK854" s="1352"/>
      <c r="AL854" s="772"/>
    </row>
    <row r="855" spans="1:38" ht="11.25" customHeight="1">
      <c r="A855" t="s">
        <v>1019</v>
      </c>
      <c r="B855" t="s">
        <v>1086</v>
      </c>
      <c r="E855" s="557"/>
      <c r="F855" s="1339"/>
      <c r="G855" s="1325" t="s">
        <v>103</v>
      </c>
      <c r="H855" s="1335" t="s">
        <v>1158</v>
      </c>
      <c r="I855" s="1347" t="s">
        <v>1087</v>
      </c>
      <c r="J855" s="1363" t="s">
        <v>1116</v>
      </c>
      <c r="K855" s="1349" t="s">
        <v>1159</v>
      </c>
      <c r="L855" s="1079" t="s">
        <v>19</v>
      </c>
      <c r="M855" s="1080"/>
      <c r="N855" s="242"/>
      <c r="O855" s="243" t="s">
        <v>384</v>
      </c>
      <c r="P855" s="244"/>
      <c r="Q855" s="244"/>
      <c r="R855" s="244"/>
      <c r="S855" s="244"/>
      <c r="T855" s="244"/>
      <c r="U855" s="244"/>
      <c r="V855" s="244"/>
      <c r="W855" s="244"/>
      <c r="X855" s="244"/>
      <c r="Y855" s="244"/>
      <c r="Z855" s="244"/>
      <c r="AA855" s="244"/>
      <c r="AB855" s="244"/>
      <c r="AC855" s="244"/>
      <c r="AD855" s="244"/>
      <c r="AE855" s="244"/>
      <c r="AF855" s="1350">
        <v>1</v>
      </c>
      <c r="AG855" s="1352" t="s">
        <v>1055</v>
      </c>
      <c r="AH855" s="1352" t="s">
        <v>1107</v>
      </c>
      <c r="AI855" s="1350">
        <v>1</v>
      </c>
      <c r="AJ855" s="1352" t="s">
        <v>1055</v>
      </c>
      <c r="AK855" s="1352" t="s">
        <v>1107</v>
      </c>
      <c r="AL855" s="772"/>
    </row>
    <row r="856" spans="1:38" ht="11.25" customHeight="1">
      <c r="A856" t="s">
        <v>1019</v>
      </c>
      <c r="E856" s="557"/>
      <c r="F856" s="1339"/>
      <c r="G856" s="1340"/>
      <c r="H856" s="1335" t="s">
        <v>105</v>
      </c>
      <c r="I856" s="1347"/>
      <c r="J856" s="1363"/>
      <c r="K856" s="1349"/>
      <c r="L856" s="1079"/>
      <c r="M856" s="1080"/>
      <c r="N856" s="1355"/>
      <c r="O856" s="1356">
        <v>1</v>
      </c>
      <c r="P856" s="1357" t="s">
        <v>19</v>
      </c>
      <c r="Q856" s="1308" t="s">
        <v>22</v>
      </c>
      <c r="R856" s="1308" t="s">
        <v>22</v>
      </c>
      <c r="S856" s="1308" t="s">
        <v>22</v>
      </c>
      <c r="T856" s="1308" t="s">
        <v>22</v>
      </c>
      <c r="U856" s="1308" t="s">
        <v>22</v>
      </c>
      <c r="V856" s="1308" t="s">
        <v>22</v>
      </c>
      <c r="W856" s="1308" t="s">
        <v>22</v>
      </c>
      <c r="X856" s="1308" t="s">
        <v>22</v>
      </c>
      <c r="Y856" s="1308"/>
      <c r="Z856" s="229"/>
      <c r="AA856" s="230"/>
      <c r="AB856" s="230"/>
      <c r="AC856" s="231"/>
      <c r="AD856" s="231"/>
      <c r="AE856" s="245"/>
      <c r="AF856" s="1350"/>
      <c r="AG856" s="1352"/>
      <c r="AH856" s="1352"/>
      <c r="AI856" s="1350"/>
      <c r="AJ856" s="1352"/>
      <c r="AK856" s="1352"/>
      <c r="AL856" s="772"/>
    </row>
    <row r="857" spans="1:38" ht="11.25" customHeight="1">
      <c r="A857" t="s">
        <v>1019</v>
      </c>
      <c r="E857" s="557"/>
      <c r="F857" s="1339"/>
      <c r="G857" s="1340"/>
      <c r="H857" s="1335" t="s">
        <v>105</v>
      </c>
      <c r="I857" s="1347"/>
      <c r="J857" s="1363"/>
      <c r="K857" s="1349"/>
      <c r="L857" s="1079"/>
      <c r="M857" s="1080"/>
      <c r="N857" s="1355"/>
      <c r="O857" s="1356"/>
      <c r="P857" s="1358"/>
      <c r="Q857" s="1308"/>
      <c r="R857" s="1308"/>
      <c r="S857" s="1361"/>
      <c r="T857" s="1308"/>
      <c r="U857" s="1308"/>
      <c r="V857" s="1308"/>
      <c r="W857" s="1308"/>
      <c r="X857" s="1308"/>
      <c r="Y857" s="1308"/>
      <c r="AA857" s="778">
        <v>1</v>
      </c>
      <c r="AB857" s="779" t="s">
        <v>1118</v>
      </c>
      <c r="AC857" s="237">
        <v>1315.69193895833</v>
      </c>
      <c r="AD857" s="779" t="str">
        <f>AB857</f>
        <v xml:space="preserve">  Средства, полученные за счет платы за подключение (технологическое присоединение)</v>
      </c>
      <c r="AE857" s="237">
        <v>193.41687999999999</v>
      </c>
      <c r="AF857" s="1350"/>
      <c r="AG857" s="1352"/>
      <c r="AH857" s="1352"/>
      <c r="AI857" s="1350"/>
      <c r="AJ857" s="1352"/>
      <c r="AK857" s="1352"/>
      <c r="AL857" s="772"/>
    </row>
    <row r="858" spans="1:38" ht="11.25" customHeight="1">
      <c r="A858" t="s">
        <v>1019</v>
      </c>
      <c r="E858" s="557"/>
      <c r="F858" s="1340"/>
      <c r="G858" s="1340"/>
      <c r="H858" s="1340"/>
      <c r="I858" s="1340"/>
      <c r="J858" s="1340"/>
      <c r="K858" s="1340"/>
      <c r="L858" s="1340"/>
      <c r="M858" s="1340"/>
      <c r="N858" s="1340"/>
      <c r="O858" s="1340"/>
      <c r="P858" s="1340"/>
      <c r="Q858" s="1340"/>
      <c r="R858" s="1340"/>
      <c r="S858" s="1340"/>
      <c r="T858" s="1340"/>
      <c r="U858" s="1340"/>
      <c r="V858" s="1340"/>
      <c r="W858" s="1340"/>
      <c r="X858" s="1340"/>
      <c r="Y858" s="1340"/>
      <c r="Z858" s="181" t="s">
        <v>103</v>
      </c>
      <c r="AA858" s="780" t="s">
        <v>102</v>
      </c>
      <c r="AB858" s="779" t="s">
        <v>1138</v>
      </c>
      <c r="AC858" s="237">
        <v>257.62520833333298</v>
      </c>
      <c r="AD858" s="779" t="str">
        <f>AB858</f>
        <v xml:space="preserve">  Прочие собственные средства</v>
      </c>
      <c r="AE858" s="237">
        <v>7.6714100000000096</v>
      </c>
      <c r="AF858" s="1351"/>
      <c r="AG858" s="1353"/>
      <c r="AH858" s="1353"/>
      <c r="AI858" s="1351"/>
      <c r="AJ858" s="1353"/>
      <c r="AK858" s="1354"/>
      <c r="AL858" s="772"/>
    </row>
    <row r="859" spans="1:38" ht="11.25" customHeight="1">
      <c r="A859" t="s">
        <v>1019</v>
      </c>
      <c r="E859" s="557"/>
      <c r="F859" s="1339"/>
      <c r="G859" s="1340"/>
      <c r="H859" s="1335" t="s">
        <v>105</v>
      </c>
      <c r="I859" s="1347"/>
      <c r="J859" s="1363"/>
      <c r="K859" s="1349"/>
      <c r="L859" s="1079"/>
      <c r="M859" s="1080"/>
      <c r="N859" s="1355"/>
      <c r="O859" s="1356"/>
      <c r="P859" s="1359"/>
      <c r="Q859" s="1308"/>
      <c r="R859" s="1308"/>
      <c r="S859" s="1361"/>
      <c r="T859" s="1308"/>
      <c r="U859" s="1308"/>
      <c r="V859" s="1308"/>
      <c r="W859" s="1308"/>
      <c r="X859" s="1308"/>
      <c r="Y859" s="1308"/>
      <c r="Z859" s="229"/>
      <c r="AA859" s="230"/>
      <c r="AB859" s="44" t="s">
        <v>1059</v>
      </c>
      <c r="AC859" s="231"/>
      <c r="AD859" s="231"/>
      <c r="AE859" s="246"/>
      <c r="AF859" s="1350"/>
      <c r="AG859" s="1352"/>
      <c r="AH859" s="1352"/>
      <c r="AI859" s="1350"/>
      <c r="AJ859" s="1352"/>
      <c r="AK859" s="1352"/>
      <c r="AL859" s="772"/>
    </row>
    <row r="860" spans="1:38" ht="11.25" customHeight="1">
      <c r="A860" t="s">
        <v>1019</v>
      </c>
      <c r="E860" s="557"/>
      <c r="F860" s="1339"/>
      <c r="G860" s="1340"/>
      <c r="H860" s="1335" t="s">
        <v>105</v>
      </c>
      <c r="I860" s="1347"/>
      <c r="J860" s="1363"/>
      <c r="K860" s="1349"/>
      <c r="L860" s="1079"/>
      <c r="M860" s="1080"/>
      <c r="N860" s="229"/>
      <c r="O860" s="230"/>
      <c r="P860" s="44" t="s">
        <v>1060</v>
      </c>
      <c r="Q860" s="230"/>
      <c r="R860" s="230"/>
      <c r="S860" s="230"/>
      <c r="T860" s="230"/>
      <c r="U860" s="230"/>
      <c r="V860" s="230"/>
      <c r="W860" s="230"/>
      <c r="X860" s="230"/>
      <c r="Y860" s="230"/>
      <c r="Z860" s="230"/>
      <c r="AA860" s="230"/>
      <c r="AB860" s="230"/>
      <c r="AC860" s="230"/>
      <c r="AD860" s="230"/>
      <c r="AE860" s="247"/>
      <c r="AF860" s="1350"/>
      <c r="AG860" s="1352"/>
      <c r="AH860" s="1352"/>
      <c r="AI860" s="1350"/>
      <c r="AJ860" s="1352"/>
      <c r="AK860" s="1352"/>
      <c r="AL860" s="772"/>
    </row>
    <row r="861" spans="1:38" ht="11.25" customHeight="1">
      <c r="A861" t="s">
        <v>1019</v>
      </c>
      <c r="B861" t="s">
        <v>1086</v>
      </c>
      <c r="E861" s="557"/>
      <c r="F861" s="1339"/>
      <c r="G861" s="1325" t="s">
        <v>103</v>
      </c>
      <c r="H861" s="1335" t="s">
        <v>1160</v>
      </c>
      <c r="I861" s="1347" t="s">
        <v>1087</v>
      </c>
      <c r="J861" s="1363" t="s">
        <v>1116</v>
      </c>
      <c r="K861" s="1349" t="s">
        <v>1161</v>
      </c>
      <c r="L861" s="1079" t="s">
        <v>19</v>
      </c>
      <c r="M861" s="1080"/>
      <c r="N861" s="242"/>
      <c r="O861" s="243" t="s">
        <v>384</v>
      </c>
      <c r="P861" s="244"/>
      <c r="Q861" s="244"/>
      <c r="R861" s="244"/>
      <c r="S861" s="244"/>
      <c r="T861" s="244"/>
      <c r="U861" s="244"/>
      <c r="V861" s="244"/>
      <c r="W861" s="244"/>
      <c r="X861" s="244"/>
      <c r="Y861" s="244"/>
      <c r="Z861" s="244"/>
      <c r="AA861" s="244"/>
      <c r="AB861" s="244"/>
      <c r="AC861" s="244"/>
      <c r="AD861" s="244"/>
      <c r="AE861" s="244"/>
      <c r="AF861" s="1350">
        <v>1</v>
      </c>
      <c r="AG861" s="1352" t="s">
        <v>1055</v>
      </c>
      <c r="AH861" s="1352" t="s">
        <v>1107</v>
      </c>
      <c r="AI861" s="1350">
        <v>1</v>
      </c>
      <c r="AJ861" s="1352" t="s">
        <v>1055</v>
      </c>
      <c r="AK861" s="1352" t="s">
        <v>1107</v>
      </c>
      <c r="AL861" s="772"/>
    </row>
    <row r="862" spans="1:38" ht="11.25" customHeight="1">
      <c r="A862" t="s">
        <v>1019</v>
      </c>
      <c r="E862" s="557"/>
      <c r="F862" s="1339"/>
      <c r="G862" s="1340"/>
      <c r="H862" s="1335" t="s">
        <v>1158</v>
      </c>
      <c r="I862" s="1347"/>
      <c r="J862" s="1363"/>
      <c r="K862" s="1349"/>
      <c r="L862" s="1079"/>
      <c r="M862" s="1080"/>
      <c r="N862" s="1355"/>
      <c r="O862" s="1356">
        <v>1</v>
      </c>
      <c r="P862" s="1357" t="s">
        <v>19</v>
      </c>
      <c r="Q862" s="1308" t="s">
        <v>22</v>
      </c>
      <c r="R862" s="1308" t="s">
        <v>22</v>
      </c>
      <c r="S862" s="1308" t="s">
        <v>22</v>
      </c>
      <c r="T862" s="1308" t="s">
        <v>22</v>
      </c>
      <c r="U862" s="1308" t="s">
        <v>22</v>
      </c>
      <c r="V862" s="1308" t="s">
        <v>22</v>
      </c>
      <c r="W862" s="1308" t="s">
        <v>22</v>
      </c>
      <c r="X862" s="1308" t="s">
        <v>22</v>
      </c>
      <c r="Y862" s="1308"/>
      <c r="Z862" s="229"/>
      <c r="AA862" s="230"/>
      <c r="AB862" s="230"/>
      <c r="AC862" s="231"/>
      <c r="AD862" s="231"/>
      <c r="AE862" s="245"/>
      <c r="AF862" s="1350"/>
      <c r="AG862" s="1352"/>
      <c r="AH862" s="1352"/>
      <c r="AI862" s="1350"/>
      <c r="AJ862" s="1352"/>
      <c r="AK862" s="1352"/>
      <c r="AL862" s="772"/>
    </row>
    <row r="863" spans="1:38" ht="11.25" customHeight="1">
      <c r="A863" t="s">
        <v>1019</v>
      </c>
      <c r="E863" s="557"/>
      <c r="F863" s="1339"/>
      <c r="G863" s="1340"/>
      <c r="H863" s="1335" t="s">
        <v>1158</v>
      </c>
      <c r="I863" s="1347"/>
      <c r="J863" s="1363"/>
      <c r="K863" s="1349"/>
      <c r="L863" s="1079"/>
      <c r="M863" s="1080"/>
      <c r="N863" s="1355"/>
      <c r="O863" s="1356"/>
      <c r="P863" s="1358"/>
      <c r="Q863" s="1308"/>
      <c r="R863" s="1308"/>
      <c r="S863" s="1361"/>
      <c r="T863" s="1308"/>
      <c r="U863" s="1308"/>
      <c r="V863" s="1308"/>
      <c r="W863" s="1308"/>
      <c r="X863" s="1308"/>
      <c r="Y863" s="1308"/>
      <c r="AA863" s="778">
        <v>1</v>
      </c>
      <c r="AB863" s="779" t="s">
        <v>1118</v>
      </c>
      <c r="AC863" s="237">
        <v>238.58556603166701</v>
      </c>
      <c r="AD863" s="779" t="str">
        <f>AB863</f>
        <v xml:space="preserve">  Средства, полученные за счет платы за подключение (технологическое присоединение)</v>
      </c>
      <c r="AE863" s="237">
        <v>51.223759999999999</v>
      </c>
      <c r="AF863" s="1350"/>
      <c r="AG863" s="1352"/>
      <c r="AH863" s="1352"/>
      <c r="AI863" s="1350"/>
      <c r="AJ863" s="1352"/>
      <c r="AK863" s="1352"/>
      <c r="AL863" s="772"/>
    </row>
    <row r="864" spans="1:38" ht="11.25" customHeight="1">
      <c r="A864" t="s">
        <v>1019</v>
      </c>
      <c r="E864" s="557"/>
      <c r="F864" s="1340"/>
      <c r="G864" s="1340"/>
      <c r="H864" s="1340"/>
      <c r="I864" s="1340"/>
      <c r="J864" s="1340"/>
      <c r="K864" s="1340"/>
      <c r="L864" s="1340"/>
      <c r="M864" s="1340"/>
      <c r="N864" s="1340"/>
      <c r="O864" s="1340"/>
      <c r="P864" s="1340"/>
      <c r="Q864" s="1340"/>
      <c r="R864" s="1340"/>
      <c r="S864" s="1340"/>
      <c r="T864" s="1340"/>
      <c r="U864" s="1340"/>
      <c r="V864" s="1340"/>
      <c r="W864" s="1340"/>
      <c r="X864" s="1340"/>
      <c r="Y864" s="1340"/>
      <c r="Z864" s="181" t="s">
        <v>103</v>
      </c>
      <c r="AA864" s="780" t="s">
        <v>102</v>
      </c>
      <c r="AB864" s="779" t="s">
        <v>1138</v>
      </c>
      <c r="AC864" s="237">
        <v>46.717361666666697</v>
      </c>
      <c r="AD864" s="779" t="str">
        <f>AB864</f>
        <v xml:space="preserve">  Прочие собственные средства</v>
      </c>
      <c r="AE864" s="237">
        <v>7.28545</v>
      </c>
      <c r="AF864" s="1351"/>
      <c r="AG864" s="1353"/>
      <c r="AH864" s="1353"/>
      <c r="AI864" s="1351"/>
      <c r="AJ864" s="1353"/>
      <c r="AK864" s="1354"/>
      <c r="AL864" s="772"/>
    </row>
    <row r="865" spans="1:38" ht="11.25" customHeight="1">
      <c r="A865" t="s">
        <v>1019</v>
      </c>
      <c r="E865" s="557"/>
      <c r="F865" s="1339"/>
      <c r="G865" s="1340"/>
      <c r="H865" s="1335" t="s">
        <v>1158</v>
      </c>
      <c r="I865" s="1347"/>
      <c r="J865" s="1363"/>
      <c r="K865" s="1349"/>
      <c r="L865" s="1079"/>
      <c r="M865" s="1080"/>
      <c r="N865" s="1355"/>
      <c r="O865" s="1356"/>
      <c r="P865" s="1359"/>
      <c r="Q865" s="1308"/>
      <c r="R865" s="1308"/>
      <c r="S865" s="1361"/>
      <c r="T865" s="1308"/>
      <c r="U865" s="1308"/>
      <c r="V865" s="1308"/>
      <c r="W865" s="1308"/>
      <c r="X865" s="1308"/>
      <c r="Y865" s="1308"/>
      <c r="Z865" s="229"/>
      <c r="AA865" s="230"/>
      <c r="AB865" s="44" t="s">
        <v>1059</v>
      </c>
      <c r="AC865" s="231"/>
      <c r="AD865" s="231"/>
      <c r="AE865" s="246"/>
      <c r="AF865" s="1350"/>
      <c r="AG865" s="1352"/>
      <c r="AH865" s="1352"/>
      <c r="AI865" s="1350"/>
      <c r="AJ865" s="1352"/>
      <c r="AK865" s="1352"/>
      <c r="AL865" s="772"/>
    </row>
    <row r="866" spans="1:38" ht="11.25" customHeight="1">
      <c r="A866" t="s">
        <v>1019</v>
      </c>
      <c r="E866" s="557"/>
      <c r="F866" s="1339"/>
      <c r="G866" s="1340"/>
      <c r="H866" s="1335" t="s">
        <v>1158</v>
      </c>
      <c r="I866" s="1347"/>
      <c r="J866" s="1363"/>
      <c r="K866" s="1349"/>
      <c r="L866" s="1079"/>
      <c r="M866" s="1080"/>
      <c r="N866" s="229"/>
      <c r="O866" s="230"/>
      <c r="P866" s="44" t="s">
        <v>1060</v>
      </c>
      <c r="Q866" s="230"/>
      <c r="R866" s="230"/>
      <c r="S866" s="230"/>
      <c r="T866" s="230"/>
      <c r="U866" s="230"/>
      <c r="V866" s="230"/>
      <c r="W866" s="230"/>
      <c r="X866" s="230"/>
      <c r="Y866" s="230"/>
      <c r="Z866" s="230"/>
      <c r="AA866" s="230"/>
      <c r="AB866" s="230"/>
      <c r="AC866" s="230"/>
      <c r="AD866" s="230"/>
      <c r="AE866" s="247"/>
      <c r="AF866" s="1350"/>
      <c r="AG866" s="1352"/>
      <c r="AH866" s="1352"/>
      <c r="AI866" s="1350"/>
      <c r="AJ866" s="1352"/>
      <c r="AK866" s="1352"/>
      <c r="AL866" s="772"/>
    </row>
    <row r="867" spans="1:38" ht="11.25" customHeight="1">
      <c r="A867" t="s">
        <v>1019</v>
      </c>
      <c r="B867" t="s">
        <v>1086</v>
      </c>
      <c r="E867" s="557"/>
      <c r="F867" s="1339"/>
      <c r="G867" s="1325" t="s">
        <v>103</v>
      </c>
      <c r="H867" s="1335" t="s">
        <v>1162</v>
      </c>
      <c r="I867" s="1347" t="s">
        <v>1087</v>
      </c>
      <c r="J867" s="1363" t="s">
        <v>1116</v>
      </c>
      <c r="K867" s="1349" t="s">
        <v>1163</v>
      </c>
      <c r="L867" s="1079" t="s">
        <v>19</v>
      </c>
      <c r="M867" s="1080"/>
      <c r="N867" s="242"/>
      <c r="O867" s="243" t="s">
        <v>384</v>
      </c>
      <c r="P867" s="244"/>
      <c r="Q867" s="244"/>
      <c r="R867" s="244"/>
      <c r="S867" s="244"/>
      <c r="T867" s="244"/>
      <c r="U867" s="244"/>
      <c r="V867" s="244"/>
      <c r="W867" s="244"/>
      <c r="X867" s="244"/>
      <c r="Y867" s="244"/>
      <c r="Z867" s="244"/>
      <c r="AA867" s="244"/>
      <c r="AB867" s="244"/>
      <c r="AC867" s="244"/>
      <c r="AD867" s="244"/>
      <c r="AE867" s="244"/>
      <c r="AF867" s="1350">
        <v>1</v>
      </c>
      <c r="AG867" s="1352" t="s">
        <v>1055</v>
      </c>
      <c r="AH867" s="1352" t="s">
        <v>1107</v>
      </c>
      <c r="AI867" s="1350">
        <v>1</v>
      </c>
      <c r="AJ867" s="1352" t="s">
        <v>1055</v>
      </c>
      <c r="AK867" s="1352" t="s">
        <v>1107</v>
      </c>
      <c r="AL867" s="772"/>
    </row>
    <row r="868" spans="1:38" ht="11.25" customHeight="1">
      <c r="A868" t="s">
        <v>1019</v>
      </c>
      <c r="E868" s="557"/>
      <c r="F868" s="1339"/>
      <c r="G868" s="1340"/>
      <c r="H868" s="1335" t="s">
        <v>1160</v>
      </c>
      <c r="I868" s="1347"/>
      <c r="J868" s="1363"/>
      <c r="K868" s="1349"/>
      <c r="L868" s="1079"/>
      <c r="M868" s="1080"/>
      <c r="N868" s="1355"/>
      <c r="O868" s="1356">
        <v>1</v>
      </c>
      <c r="P868" s="1357" t="s">
        <v>19</v>
      </c>
      <c r="Q868" s="1308" t="s">
        <v>22</v>
      </c>
      <c r="R868" s="1308" t="s">
        <v>22</v>
      </c>
      <c r="S868" s="1308" t="s">
        <v>22</v>
      </c>
      <c r="T868" s="1308" t="s">
        <v>22</v>
      </c>
      <c r="U868" s="1308" t="s">
        <v>22</v>
      </c>
      <c r="V868" s="1308" t="s">
        <v>22</v>
      </c>
      <c r="W868" s="1308" t="s">
        <v>22</v>
      </c>
      <c r="X868" s="1308" t="s">
        <v>22</v>
      </c>
      <c r="Y868" s="1308"/>
      <c r="Z868" s="229"/>
      <c r="AA868" s="230"/>
      <c r="AB868" s="230"/>
      <c r="AC868" s="231"/>
      <c r="AD868" s="231"/>
      <c r="AE868" s="245"/>
      <c r="AF868" s="1350"/>
      <c r="AG868" s="1352"/>
      <c r="AH868" s="1352"/>
      <c r="AI868" s="1350"/>
      <c r="AJ868" s="1352"/>
      <c r="AK868" s="1352"/>
      <c r="AL868" s="772"/>
    </row>
    <row r="869" spans="1:38" ht="11.25" customHeight="1">
      <c r="A869" t="s">
        <v>1019</v>
      </c>
      <c r="E869" s="557"/>
      <c r="F869" s="1339"/>
      <c r="G869" s="1340"/>
      <c r="H869" s="1335" t="s">
        <v>1160</v>
      </c>
      <c r="I869" s="1347"/>
      <c r="J869" s="1363"/>
      <c r="K869" s="1349"/>
      <c r="L869" s="1079"/>
      <c r="M869" s="1080"/>
      <c r="N869" s="1355"/>
      <c r="O869" s="1356"/>
      <c r="P869" s="1358"/>
      <c r="Q869" s="1308"/>
      <c r="R869" s="1308"/>
      <c r="S869" s="1361"/>
      <c r="T869" s="1308"/>
      <c r="U869" s="1308"/>
      <c r="V869" s="1308"/>
      <c r="W869" s="1308"/>
      <c r="X869" s="1308"/>
      <c r="Y869" s="1308"/>
      <c r="AA869" s="778">
        <v>1</v>
      </c>
      <c r="AB869" s="779" t="s">
        <v>1118</v>
      </c>
      <c r="AC869" s="237">
        <v>1252.21959797</v>
      </c>
      <c r="AD869" s="779" t="str">
        <f>AB869</f>
        <v xml:space="preserve">  Средства, полученные за счет платы за подключение (технологическое присоединение)</v>
      </c>
      <c r="AE869" s="237">
        <v>600.18781999999999</v>
      </c>
      <c r="AF869" s="1350"/>
      <c r="AG869" s="1352"/>
      <c r="AH869" s="1352"/>
      <c r="AI869" s="1350"/>
      <c r="AJ869" s="1352"/>
      <c r="AK869" s="1352"/>
      <c r="AL869" s="772"/>
    </row>
    <row r="870" spans="1:38" ht="11.25" customHeight="1">
      <c r="A870" t="s">
        <v>1019</v>
      </c>
      <c r="E870" s="557"/>
      <c r="F870" s="1340"/>
      <c r="G870" s="1340"/>
      <c r="H870" s="1340"/>
      <c r="I870" s="1340"/>
      <c r="J870" s="1340"/>
      <c r="K870" s="1340"/>
      <c r="L870" s="1340"/>
      <c r="M870" s="1340"/>
      <c r="N870" s="1340"/>
      <c r="O870" s="1340"/>
      <c r="P870" s="1340"/>
      <c r="Q870" s="1340"/>
      <c r="R870" s="1340"/>
      <c r="S870" s="1340"/>
      <c r="T870" s="1340"/>
      <c r="U870" s="1340"/>
      <c r="V870" s="1340"/>
      <c r="W870" s="1340"/>
      <c r="X870" s="1340"/>
      <c r="Y870" s="1340"/>
      <c r="Z870" s="181" t="s">
        <v>103</v>
      </c>
      <c r="AA870" s="780" t="s">
        <v>102</v>
      </c>
      <c r="AB870" s="779" t="s">
        <v>1138</v>
      </c>
      <c r="AC870" s="237">
        <v>245.19671</v>
      </c>
      <c r="AD870" s="779" t="str">
        <f>AB870</f>
        <v xml:space="preserve">  Прочие собственные средства</v>
      </c>
      <c r="AE870" s="237">
        <v>102.89932</v>
      </c>
      <c r="AF870" s="1351"/>
      <c r="AG870" s="1353"/>
      <c r="AH870" s="1353"/>
      <c r="AI870" s="1351"/>
      <c r="AJ870" s="1353"/>
      <c r="AK870" s="1354"/>
      <c r="AL870" s="772"/>
    </row>
    <row r="871" spans="1:38" ht="11.25" customHeight="1">
      <c r="A871" t="s">
        <v>1019</v>
      </c>
      <c r="E871" s="557"/>
      <c r="F871" s="1339"/>
      <c r="G871" s="1340"/>
      <c r="H871" s="1335" t="s">
        <v>1160</v>
      </c>
      <c r="I871" s="1347"/>
      <c r="J871" s="1363"/>
      <c r="K871" s="1349"/>
      <c r="L871" s="1079"/>
      <c r="M871" s="1080"/>
      <c r="N871" s="1355"/>
      <c r="O871" s="1356"/>
      <c r="P871" s="1359"/>
      <c r="Q871" s="1308"/>
      <c r="R871" s="1308"/>
      <c r="S871" s="1361"/>
      <c r="T871" s="1308"/>
      <c r="U871" s="1308"/>
      <c r="V871" s="1308"/>
      <c r="W871" s="1308"/>
      <c r="X871" s="1308"/>
      <c r="Y871" s="1308"/>
      <c r="Z871" s="229"/>
      <c r="AA871" s="230"/>
      <c r="AB871" s="44" t="s">
        <v>1059</v>
      </c>
      <c r="AC871" s="231"/>
      <c r="AD871" s="231"/>
      <c r="AE871" s="246"/>
      <c r="AF871" s="1350"/>
      <c r="AG871" s="1352"/>
      <c r="AH871" s="1352"/>
      <c r="AI871" s="1350"/>
      <c r="AJ871" s="1352"/>
      <c r="AK871" s="1352"/>
      <c r="AL871" s="772"/>
    </row>
    <row r="872" spans="1:38" ht="11.25" customHeight="1">
      <c r="A872" t="s">
        <v>1019</v>
      </c>
      <c r="E872" s="557"/>
      <c r="F872" s="1339"/>
      <c r="G872" s="1340"/>
      <c r="H872" s="1335" t="s">
        <v>1160</v>
      </c>
      <c r="I872" s="1347"/>
      <c r="J872" s="1363"/>
      <c r="K872" s="1349"/>
      <c r="L872" s="1079"/>
      <c r="M872" s="1080"/>
      <c r="N872" s="229"/>
      <c r="O872" s="230"/>
      <c r="P872" s="44" t="s">
        <v>1060</v>
      </c>
      <c r="Q872" s="230"/>
      <c r="R872" s="230"/>
      <c r="S872" s="230"/>
      <c r="T872" s="230"/>
      <c r="U872" s="230"/>
      <c r="V872" s="230"/>
      <c r="W872" s="230"/>
      <c r="X872" s="230"/>
      <c r="Y872" s="230"/>
      <c r="Z872" s="230"/>
      <c r="AA872" s="230"/>
      <c r="AB872" s="230"/>
      <c r="AC872" s="230"/>
      <c r="AD872" s="230"/>
      <c r="AE872" s="247"/>
      <c r="AF872" s="1350"/>
      <c r="AG872" s="1352"/>
      <c r="AH872" s="1352"/>
      <c r="AI872" s="1350"/>
      <c r="AJ872" s="1352"/>
      <c r="AK872" s="1352"/>
      <c r="AL872" s="772"/>
    </row>
    <row r="873" spans="1:38" ht="11.25" customHeight="1">
      <c r="A873" t="s">
        <v>1019</v>
      </c>
      <c r="B873" t="s">
        <v>1086</v>
      </c>
      <c r="E873" s="557"/>
      <c r="F873" s="1339"/>
      <c r="G873" s="1325" t="s">
        <v>103</v>
      </c>
      <c r="H873" s="1335" t="s">
        <v>1164</v>
      </c>
      <c r="I873" s="1347" t="s">
        <v>1087</v>
      </c>
      <c r="J873" s="1363" t="s">
        <v>1116</v>
      </c>
      <c r="K873" s="1349" t="s">
        <v>1165</v>
      </c>
      <c r="L873" s="1079" t="s">
        <v>19</v>
      </c>
      <c r="M873" s="1080"/>
      <c r="N873" s="242"/>
      <c r="O873" s="243" t="s">
        <v>384</v>
      </c>
      <c r="P873" s="244"/>
      <c r="Q873" s="244"/>
      <c r="R873" s="244"/>
      <c r="S873" s="244"/>
      <c r="T873" s="244"/>
      <c r="U873" s="244"/>
      <c r="V873" s="244"/>
      <c r="W873" s="244"/>
      <c r="X873" s="244"/>
      <c r="Y873" s="244"/>
      <c r="Z873" s="244"/>
      <c r="AA873" s="244"/>
      <c r="AB873" s="244"/>
      <c r="AC873" s="244"/>
      <c r="AD873" s="244"/>
      <c r="AE873" s="244"/>
      <c r="AF873" s="1350">
        <v>1</v>
      </c>
      <c r="AG873" s="1352" t="s">
        <v>1055</v>
      </c>
      <c r="AH873" s="1352" t="s">
        <v>1107</v>
      </c>
      <c r="AI873" s="1350">
        <v>1</v>
      </c>
      <c r="AJ873" s="1352" t="s">
        <v>1055</v>
      </c>
      <c r="AK873" s="1352" t="s">
        <v>1107</v>
      </c>
      <c r="AL873" s="772"/>
    </row>
    <row r="874" spans="1:38" ht="11.25" customHeight="1">
      <c r="A874" t="s">
        <v>1019</v>
      </c>
      <c r="E874" s="557"/>
      <c r="F874" s="1339"/>
      <c r="G874" s="1340"/>
      <c r="H874" s="1335" t="s">
        <v>1162</v>
      </c>
      <c r="I874" s="1347"/>
      <c r="J874" s="1363"/>
      <c r="K874" s="1349"/>
      <c r="L874" s="1079"/>
      <c r="M874" s="1080"/>
      <c r="N874" s="1355"/>
      <c r="O874" s="1356">
        <v>1</v>
      </c>
      <c r="P874" s="1357" t="s">
        <v>19</v>
      </c>
      <c r="Q874" s="1308" t="s">
        <v>22</v>
      </c>
      <c r="R874" s="1308" t="s">
        <v>22</v>
      </c>
      <c r="S874" s="1308" t="s">
        <v>22</v>
      </c>
      <c r="T874" s="1308" t="s">
        <v>22</v>
      </c>
      <c r="U874" s="1308" t="s">
        <v>22</v>
      </c>
      <c r="V874" s="1308" t="s">
        <v>22</v>
      </c>
      <c r="W874" s="1308" t="s">
        <v>22</v>
      </c>
      <c r="X874" s="1308" t="s">
        <v>22</v>
      </c>
      <c r="Y874" s="1308"/>
      <c r="Z874" s="229"/>
      <c r="AA874" s="230"/>
      <c r="AB874" s="230"/>
      <c r="AC874" s="231"/>
      <c r="AD874" s="231"/>
      <c r="AE874" s="245"/>
      <c r="AF874" s="1350"/>
      <c r="AG874" s="1352"/>
      <c r="AH874" s="1352"/>
      <c r="AI874" s="1350"/>
      <c r="AJ874" s="1352"/>
      <c r="AK874" s="1352"/>
      <c r="AL874" s="772"/>
    </row>
    <row r="875" spans="1:38" ht="11.25" customHeight="1">
      <c r="A875" t="s">
        <v>1019</v>
      </c>
      <c r="E875" s="557"/>
      <c r="F875" s="1339"/>
      <c r="G875" s="1340"/>
      <c r="H875" s="1335" t="s">
        <v>1162</v>
      </c>
      <c r="I875" s="1347"/>
      <c r="J875" s="1363"/>
      <c r="K875" s="1349"/>
      <c r="L875" s="1079"/>
      <c r="M875" s="1080"/>
      <c r="N875" s="1355"/>
      <c r="O875" s="1356"/>
      <c r="P875" s="1358"/>
      <c r="Q875" s="1308"/>
      <c r="R875" s="1308"/>
      <c r="S875" s="1361"/>
      <c r="T875" s="1308"/>
      <c r="U875" s="1308"/>
      <c r="V875" s="1308"/>
      <c r="W875" s="1308"/>
      <c r="X875" s="1308"/>
      <c r="Y875" s="1308"/>
      <c r="AA875" s="778">
        <v>1</v>
      </c>
      <c r="AB875" s="779" t="s">
        <v>1118</v>
      </c>
      <c r="AC875" s="237">
        <v>1129.29159702833</v>
      </c>
      <c r="AD875" s="779" t="str">
        <f>AB875</f>
        <v xml:space="preserve">  Средства, полученные за счет платы за подключение (технологическое присоединение)</v>
      </c>
      <c r="AE875" s="237">
        <v>1170.71318</v>
      </c>
      <c r="AF875" s="1350"/>
      <c r="AG875" s="1352"/>
      <c r="AH875" s="1352"/>
      <c r="AI875" s="1350"/>
      <c r="AJ875" s="1352"/>
      <c r="AK875" s="1352"/>
      <c r="AL875" s="772"/>
    </row>
    <row r="876" spans="1:38" ht="11.25" customHeight="1">
      <c r="A876" t="s">
        <v>1019</v>
      </c>
      <c r="E876" s="557"/>
      <c r="F876" s="1340"/>
      <c r="G876" s="1340"/>
      <c r="H876" s="1340"/>
      <c r="I876" s="1340"/>
      <c r="J876" s="1340"/>
      <c r="K876" s="1340"/>
      <c r="L876" s="1340"/>
      <c r="M876" s="1340"/>
      <c r="N876" s="1340"/>
      <c r="O876" s="1340"/>
      <c r="P876" s="1340"/>
      <c r="Q876" s="1340"/>
      <c r="R876" s="1340"/>
      <c r="S876" s="1340"/>
      <c r="T876" s="1340"/>
      <c r="U876" s="1340"/>
      <c r="V876" s="1340"/>
      <c r="W876" s="1340"/>
      <c r="X876" s="1340"/>
      <c r="Y876" s="1340"/>
      <c r="Z876" s="181" t="s">
        <v>103</v>
      </c>
      <c r="AA876" s="780" t="s">
        <v>102</v>
      </c>
      <c r="AB876" s="779" t="s">
        <v>1138</v>
      </c>
      <c r="AC876" s="237">
        <v>221.12621833333299</v>
      </c>
      <c r="AD876" s="779" t="str">
        <f>AB876</f>
        <v xml:space="preserve">  Прочие собственные средства</v>
      </c>
      <c r="AE876" s="237">
        <v>206.44981000000001</v>
      </c>
      <c r="AF876" s="1351"/>
      <c r="AG876" s="1353"/>
      <c r="AH876" s="1353"/>
      <c r="AI876" s="1351"/>
      <c r="AJ876" s="1353"/>
      <c r="AK876" s="1354"/>
      <c r="AL876" s="772"/>
    </row>
    <row r="877" spans="1:38" ht="11.25" customHeight="1">
      <c r="A877" t="s">
        <v>1019</v>
      </c>
      <c r="E877" s="557"/>
      <c r="F877" s="1339"/>
      <c r="G877" s="1340"/>
      <c r="H877" s="1335" t="s">
        <v>1162</v>
      </c>
      <c r="I877" s="1347"/>
      <c r="J877" s="1363"/>
      <c r="K877" s="1349"/>
      <c r="L877" s="1079"/>
      <c r="M877" s="1080"/>
      <c r="N877" s="1355"/>
      <c r="O877" s="1356"/>
      <c r="P877" s="1359"/>
      <c r="Q877" s="1308"/>
      <c r="R877" s="1308"/>
      <c r="S877" s="1361"/>
      <c r="T877" s="1308"/>
      <c r="U877" s="1308"/>
      <c r="V877" s="1308"/>
      <c r="W877" s="1308"/>
      <c r="X877" s="1308"/>
      <c r="Y877" s="1308"/>
      <c r="Z877" s="229"/>
      <c r="AA877" s="230"/>
      <c r="AB877" s="44" t="s">
        <v>1059</v>
      </c>
      <c r="AC877" s="231"/>
      <c r="AD877" s="231"/>
      <c r="AE877" s="246"/>
      <c r="AF877" s="1350"/>
      <c r="AG877" s="1352"/>
      <c r="AH877" s="1352"/>
      <c r="AI877" s="1350"/>
      <c r="AJ877" s="1352"/>
      <c r="AK877" s="1352"/>
      <c r="AL877" s="772"/>
    </row>
    <row r="878" spans="1:38" ht="11.25" customHeight="1">
      <c r="A878" t="s">
        <v>1019</v>
      </c>
      <c r="E878" s="557"/>
      <c r="F878" s="1339"/>
      <c r="G878" s="1340"/>
      <c r="H878" s="1335" t="s">
        <v>1162</v>
      </c>
      <c r="I878" s="1347"/>
      <c r="J878" s="1363"/>
      <c r="K878" s="1349"/>
      <c r="L878" s="1079"/>
      <c r="M878" s="1080"/>
      <c r="N878" s="229"/>
      <c r="O878" s="230"/>
      <c r="P878" s="44" t="s">
        <v>1060</v>
      </c>
      <c r="Q878" s="230"/>
      <c r="R878" s="230"/>
      <c r="S878" s="230"/>
      <c r="T878" s="230"/>
      <c r="U878" s="230"/>
      <c r="V878" s="230"/>
      <c r="W878" s="230"/>
      <c r="X878" s="230"/>
      <c r="Y878" s="230"/>
      <c r="Z878" s="230"/>
      <c r="AA878" s="230"/>
      <c r="AB878" s="230"/>
      <c r="AC878" s="230"/>
      <c r="AD878" s="230"/>
      <c r="AE878" s="247"/>
      <c r="AF878" s="1350"/>
      <c r="AG878" s="1352"/>
      <c r="AH878" s="1352"/>
      <c r="AI878" s="1350"/>
      <c r="AJ878" s="1352"/>
      <c r="AK878" s="1352"/>
      <c r="AL878" s="772"/>
    </row>
    <row r="879" spans="1:38" ht="11.25" customHeight="1">
      <c r="A879" t="s">
        <v>1019</v>
      </c>
      <c r="B879" t="s">
        <v>1086</v>
      </c>
      <c r="E879" s="557"/>
      <c r="F879" s="1339"/>
      <c r="G879" s="1325" t="s">
        <v>103</v>
      </c>
      <c r="H879" s="1335" t="s">
        <v>1166</v>
      </c>
      <c r="I879" s="1347" t="s">
        <v>1087</v>
      </c>
      <c r="J879" s="1363" t="s">
        <v>1116</v>
      </c>
      <c r="K879" s="1349" t="s">
        <v>1167</v>
      </c>
      <c r="L879" s="1079" t="s">
        <v>19</v>
      </c>
      <c r="M879" s="1080"/>
      <c r="N879" s="242"/>
      <c r="O879" s="243" t="s">
        <v>384</v>
      </c>
      <c r="P879" s="244"/>
      <c r="Q879" s="244"/>
      <c r="R879" s="244"/>
      <c r="S879" s="244"/>
      <c r="T879" s="244"/>
      <c r="U879" s="244"/>
      <c r="V879" s="244"/>
      <c r="W879" s="244"/>
      <c r="X879" s="244"/>
      <c r="Y879" s="244"/>
      <c r="Z879" s="244"/>
      <c r="AA879" s="244"/>
      <c r="AB879" s="244"/>
      <c r="AC879" s="244"/>
      <c r="AD879" s="244"/>
      <c r="AE879" s="244"/>
      <c r="AF879" s="1350">
        <v>2</v>
      </c>
      <c r="AG879" s="1352" t="s">
        <v>1055</v>
      </c>
      <c r="AH879" s="1352" t="s">
        <v>1079</v>
      </c>
      <c r="AI879" s="1350">
        <v>2</v>
      </c>
      <c r="AJ879" s="1352" t="s">
        <v>1055</v>
      </c>
      <c r="AK879" s="1352" t="s">
        <v>1079</v>
      </c>
      <c r="AL879" s="772"/>
    </row>
    <row r="880" spans="1:38" ht="11.25" customHeight="1">
      <c r="A880" t="s">
        <v>1019</v>
      </c>
      <c r="E880" s="557"/>
      <c r="F880" s="1339"/>
      <c r="G880" s="1340"/>
      <c r="H880" s="1335" t="s">
        <v>1164</v>
      </c>
      <c r="I880" s="1347"/>
      <c r="J880" s="1363"/>
      <c r="K880" s="1349"/>
      <c r="L880" s="1079"/>
      <c r="M880" s="1080"/>
      <c r="N880" s="1355"/>
      <c r="O880" s="1356">
        <v>1</v>
      </c>
      <c r="P880" s="1357" t="s">
        <v>19</v>
      </c>
      <c r="Q880" s="1308" t="s">
        <v>22</v>
      </c>
      <c r="R880" s="1308" t="s">
        <v>22</v>
      </c>
      <c r="S880" s="1308" t="s">
        <v>22</v>
      </c>
      <c r="T880" s="1308" t="s">
        <v>22</v>
      </c>
      <c r="U880" s="1308" t="s">
        <v>22</v>
      </c>
      <c r="V880" s="1308" t="s">
        <v>22</v>
      </c>
      <c r="W880" s="1308" t="s">
        <v>22</v>
      </c>
      <c r="X880" s="1308" t="s">
        <v>22</v>
      </c>
      <c r="Y880" s="1308"/>
      <c r="Z880" s="229"/>
      <c r="AA880" s="230"/>
      <c r="AB880" s="230"/>
      <c r="AC880" s="231"/>
      <c r="AD880" s="231"/>
      <c r="AE880" s="245"/>
      <c r="AF880" s="1350"/>
      <c r="AG880" s="1352"/>
      <c r="AH880" s="1352"/>
      <c r="AI880" s="1350"/>
      <c r="AJ880" s="1352"/>
      <c r="AK880" s="1352"/>
      <c r="AL880" s="772"/>
    </row>
    <row r="881" spans="1:38" ht="11.25" customHeight="1">
      <c r="A881" t="s">
        <v>1019</v>
      </c>
      <c r="E881" s="557"/>
      <c r="F881" s="1339"/>
      <c r="G881" s="1340"/>
      <c r="H881" s="1335" t="s">
        <v>1164</v>
      </c>
      <c r="I881" s="1347"/>
      <c r="J881" s="1363"/>
      <c r="K881" s="1349"/>
      <c r="L881" s="1079"/>
      <c r="M881" s="1080"/>
      <c r="N881" s="1355"/>
      <c r="O881" s="1356"/>
      <c r="P881" s="1358"/>
      <c r="Q881" s="1308"/>
      <c r="R881" s="1308"/>
      <c r="S881" s="1361"/>
      <c r="T881" s="1308"/>
      <c r="U881" s="1308"/>
      <c r="V881" s="1308"/>
      <c r="W881" s="1308"/>
      <c r="X881" s="1308"/>
      <c r="Y881" s="1308"/>
      <c r="AA881" s="778">
        <v>1</v>
      </c>
      <c r="AB881" s="779" t="s">
        <v>1118</v>
      </c>
      <c r="AC881" s="237">
        <v>170.23333333333301</v>
      </c>
      <c r="AD881" s="779" t="str">
        <f>AB881</f>
        <v xml:space="preserve">  Средства, полученные за счет платы за подключение (технологическое присоединение)</v>
      </c>
      <c r="AE881" s="237">
        <v>216.80154999999999</v>
      </c>
      <c r="AF881" s="1350"/>
      <c r="AG881" s="1352"/>
      <c r="AH881" s="1352"/>
      <c r="AI881" s="1350"/>
      <c r="AJ881" s="1352"/>
      <c r="AK881" s="1352"/>
      <c r="AL881" s="772"/>
    </row>
    <row r="882" spans="1:38" ht="11.25" customHeight="1">
      <c r="A882" t="s">
        <v>1019</v>
      </c>
      <c r="E882" s="557"/>
      <c r="F882" s="1340"/>
      <c r="G882" s="1340"/>
      <c r="H882" s="1340"/>
      <c r="I882" s="1340"/>
      <c r="J882" s="1340"/>
      <c r="K882" s="1340"/>
      <c r="L882" s="1340"/>
      <c r="M882" s="1340"/>
      <c r="N882" s="1340"/>
      <c r="O882" s="1340"/>
      <c r="P882" s="1340"/>
      <c r="Q882" s="1340"/>
      <c r="R882" s="1340"/>
      <c r="S882" s="1340"/>
      <c r="T882" s="1340"/>
      <c r="U882" s="1340"/>
      <c r="V882" s="1340"/>
      <c r="W882" s="1340"/>
      <c r="X882" s="1340"/>
      <c r="Y882" s="1340"/>
      <c r="Z882" s="181" t="s">
        <v>103</v>
      </c>
      <c r="AA882" s="780" t="s">
        <v>102</v>
      </c>
      <c r="AB882" s="779" t="s">
        <v>1138</v>
      </c>
      <c r="AC882" s="237">
        <v>33.3333333333333</v>
      </c>
      <c r="AD882" s="779" t="str">
        <f>AB882</f>
        <v xml:space="preserve">  Прочие собственные средства</v>
      </c>
      <c r="AE882" s="237">
        <v>9.1690799999999992</v>
      </c>
      <c r="AF882" s="1351"/>
      <c r="AG882" s="1353"/>
      <c r="AH882" s="1353"/>
      <c r="AI882" s="1351"/>
      <c r="AJ882" s="1353"/>
      <c r="AK882" s="1354"/>
      <c r="AL882" s="772"/>
    </row>
    <row r="883" spans="1:38" ht="11.25" customHeight="1">
      <c r="A883" t="s">
        <v>1019</v>
      </c>
      <c r="E883" s="557"/>
      <c r="F883" s="1339"/>
      <c r="G883" s="1340"/>
      <c r="H883" s="1335" t="s">
        <v>1164</v>
      </c>
      <c r="I883" s="1347"/>
      <c r="J883" s="1363"/>
      <c r="K883" s="1349"/>
      <c r="L883" s="1079"/>
      <c r="M883" s="1080"/>
      <c r="N883" s="1355"/>
      <c r="O883" s="1356"/>
      <c r="P883" s="1359"/>
      <c r="Q883" s="1308"/>
      <c r="R883" s="1308"/>
      <c r="S883" s="1361"/>
      <c r="T883" s="1308"/>
      <c r="U883" s="1308"/>
      <c r="V883" s="1308"/>
      <c r="W883" s="1308"/>
      <c r="X883" s="1308"/>
      <c r="Y883" s="1308"/>
      <c r="Z883" s="229"/>
      <c r="AA883" s="230"/>
      <c r="AB883" s="44" t="s">
        <v>1059</v>
      </c>
      <c r="AC883" s="231"/>
      <c r="AD883" s="231"/>
      <c r="AE883" s="246"/>
      <c r="AF883" s="1350"/>
      <c r="AG883" s="1352"/>
      <c r="AH883" s="1352"/>
      <c r="AI883" s="1350"/>
      <c r="AJ883" s="1352"/>
      <c r="AK883" s="1352"/>
      <c r="AL883" s="772"/>
    </row>
    <row r="884" spans="1:38" ht="11.25" customHeight="1">
      <c r="A884" t="s">
        <v>1019</v>
      </c>
      <c r="E884" s="557"/>
      <c r="F884" s="1339"/>
      <c r="G884" s="1340"/>
      <c r="H884" s="1335" t="s">
        <v>1164</v>
      </c>
      <c r="I884" s="1347"/>
      <c r="J884" s="1363"/>
      <c r="K884" s="1349"/>
      <c r="L884" s="1079"/>
      <c r="M884" s="1080"/>
      <c r="N884" s="229"/>
      <c r="O884" s="230"/>
      <c r="P884" s="44" t="s">
        <v>1060</v>
      </c>
      <c r="Q884" s="230"/>
      <c r="R884" s="230"/>
      <c r="S884" s="230"/>
      <c r="T884" s="230"/>
      <c r="U884" s="230"/>
      <c r="V884" s="230"/>
      <c r="W884" s="230"/>
      <c r="X884" s="230"/>
      <c r="Y884" s="230"/>
      <c r="Z884" s="230"/>
      <c r="AA884" s="230"/>
      <c r="AB884" s="230"/>
      <c r="AC884" s="230"/>
      <c r="AD884" s="230"/>
      <c r="AE884" s="247"/>
      <c r="AF884" s="1350"/>
      <c r="AG884" s="1352"/>
      <c r="AH884" s="1352"/>
      <c r="AI884" s="1350"/>
      <c r="AJ884" s="1352"/>
      <c r="AK884" s="1352"/>
      <c r="AL884" s="772"/>
    </row>
    <row r="885" spans="1:38" ht="11.25" customHeight="1">
      <c r="A885" t="s">
        <v>1019</v>
      </c>
      <c r="B885" t="s">
        <v>1086</v>
      </c>
      <c r="E885" s="557"/>
      <c r="F885" s="1339"/>
      <c r="G885" s="1325" t="s">
        <v>103</v>
      </c>
      <c r="H885" s="1335" t="s">
        <v>1168</v>
      </c>
      <c r="I885" s="1347" t="s">
        <v>1087</v>
      </c>
      <c r="J885" s="1363" t="s">
        <v>1116</v>
      </c>
      <c r="K885" s="1349" t="s">
        <v>1169</v>
      </c>
      <c r="L885" s="1079" t="s">
        <v>19</v>
      </c>
      <c r="M885" s="1080"/>
      <c r="N885" s="242"/>
      <c r="O885" s="243" t="s">
        <v>384</v>
      </c>
      <c r="P885" s="244"/>
      <c r="Q885" s="244"/>
      <c r="R885" s="244"/>
      <c r="S885" s="244"/>
      <c r="T885" s="244"/>
      <c r="U885" s="244"/>
      <c r="V885" s="244"/>
      <c r="W885" s="244"/>
      <c r="X885" s="244"/>
      <c r="Y885" s="244"/>
      <c r="Z885" s="244"/>
      <c r="AA885" s="244"/>
      <c r="AB885" s="244"/>
      <c r="AC885" s="244"/>
      <c r="AD885" s="244"/>
      <c r="AE885" s="244"/>
      <c r="AF885" s="1350">
        <v>1</v>
      </c>
      <c r="AG885" s="1352" t="s">
        <v>1055</v>
      </c>
      <c r="AH885" s="1352" t="s">
        <v>1107</v>
      </c>
      <c r="AI885" s="1350">
        <v>1</v>
      </c>
      <c r="AJ885" s="1352" t="s">
        <v>1055</v>
      </c>
      <c r="AK885" s="1352" t="s">
        <v>1107</v>
      </c>
      <c r="AL885" s="772"/>
    </row>
    <row r="886" spans="1:38" ht="11.25" customHeight="1">
      <c r="A886" t="s">
        <v>1019</v>
      </c>
      <c r="E886" s="557"/>
      <c r="F886" s="1339"/>
      <c r="G886" s="1340"/>
      <c r="H886" s="1335" t="s">
        <v>1166</v>
      </c>
      <c r="I886" s="1347"/>
      <c r="J886" s="1363"/>
      <c r="K886" s="1349"/>
      <c r="L886" s="1079"/>
      <c r="M886" s="1080"/>
      <c r="N886" s="1355"/>
      <c r="O886" s="1356">
        <v>1</v>
      </c>
      <c r="P886" s="1357" t="s">
        <v>19</v>
      </c>
      <c r="Q886" s="1308" t="s">
        <v>22</v>
      </c>
      <c r="R886" s="1308" t="s">
        <v>22</v>
      </c>
      <c r="S886" s="1308" t="s">
        <v>22</v>
      </c>
      <c r="T886" s="1308" t="s">
        <v>22</v>
      </c>
      <c r="U886" s="1308" t="s">
        <v>22</v>
      </c>
      <c r="V886" s="1308" t="s">
        <v>22</v>
      </c>
      <c r="W886" s="1308" t="s">
        <v>22</v>
      </c>
      <c r="X886" s="1308" t="s">
        <v>22</v>
      </c>
      <c r="Y886" s="1308"/>
      <c r="Z886" s="229"/>
      <c r="AA886" s="230"/>
      <c r="AB886" s="230"/>
      <c r="AC886" s="231"/>
      <c r="AD886" s="231"/>
      <c r="AE886" s="245"/>
      <c r="AF886" s="1350"/>
      <c r="AG886" s="1352"/>
      <c r="AH886" s="1352"/>
      <c r="AI886" s="1350"/>
      <c r="AJ886" s="1352"/>
      <c r="AK886" s="1352"/>
      <c r="AL886" s="772"/>
    </row>
    <row r="887" spans="1:38" ht="11.25" customHeight="1">
      <c r="A887" t="s">
        <v>1019</v>
      </c>
      <c r="E887" s="557"/>
      <c r="F887" s="1339"/>
      <c r="G887" s="1340"/>
      <c r="H887" s="1335" t="s">
        <v>1166</v>
      </c>
      <c r="I887" s="1347"/>
      <c r="J887" s="1363"/>
      <c r="K887" s="1349"/>
      <c r="L887" s="1079"/>
      <c r="M887" s="1080"/>
      <c r="N887" s="1355"/>
      <c r="O887" s="1356"/>
      <c r="P887" s="1358"/>
      <c r="Q887" s="1308"/>
      <c r="R887" s="1308"/>
      <c r="S887" s="1361"/>
      <c r="T887" s="1308"/>
      <c r="U887" s="1308"/>
      <c r="V887" s="1308"/>
      <c r="W887" s="1308"/>
      <c r="X887" s="1308"/>
      <c r="Y887" s="1308"/>
      <c r="AA887" s="778">
        <v>1</v>
      </c>
      <c r="AB887" s="779" t="s">
        <v>1118</v>
      </c>
      <c r="AC887" s="237">
        <v>523.41401268666698</v>
      </c>
      <c r="AD887" s="779" t="str">
        <f>AB887</f>
        <v xml:space="preserve">  Средства, полученные за счет платы за подключение (технологическое присоединение)</v>
      </c>
      <c r="AE887" s="237">
        <v>136.31242</v>
      </c>
      <c r="AF887" s="1350"/>
      <c r="AG887" s="1352"/>
      <c r="AH887" s="1352"/>
      <c r="AI887" s="1350"/>
      <c r="AJ887" s="1352"/>
      <c r="AK887" s="1352"/>
      <c r="AL887" s="772"/>
    </row>
    <row r="888" spans="1:38" ht="11.25" customHeight="1">
      <c r="A888" t="s">
        <v>1019</v>
      </c>
      <c r="E888" s="557"/>
      <c r="F888" s="1340"/>
      <c r="G888" s="1340"/>
      <c r="H888" s="1340"/>
      <c r="I888" s="1340"/>
      <c r="J888" s="1340"/>
      <c r="K888" s="1340"/>
      <c r="L888" s="1340"/>
      <c r="M888" s="1340"/>
      <c r="N888" s="1340"/>
      <c r="O888" s="1340"/>
      <c r="P888" s="1340"/>
      <c r="Q888" s="1340"/>
      <c r="R888" s="1340"/>
      <c r="S888" s="1340"/>
      <c r="T888" s="1340"/>
      <c r="U888" s="1340"/>
      <c r="V888" s="1340"/>
      <c r="W888" s="1340"/>
      <c r="X888" s="1340"/>
      <c r="Y888" s="1340"/>
      <c r="Z888" s="181" t="s">
        <v>103</v>
      </c>
      <c r="AA888" s="780" t="s">
        <v>102</v>
      </c>
      <c r="AB888" s="779" t="s">
        <v>1138</v>
      </c>
      <c r="AC888" s="237">
        <v>102.489526666667</v>
      </c>
      <c r="AD888" s="779" t="str">
        <f>AB888</f>
        <v xml:space="preserve">  Прочие собственные средства</v>
      </c>
      <c r="AE888" s="237">
        <v>6.7346400000000104</v>
      </c>
      <c r="AF888" s="1351"/>
      <c r="AG888" s="1353"/>
      <c r="AH888" s="1353"/>
      <c r="AI888" s="1351"/>
      <c r="AJ888" s="1353"/>
      <c r="AK888" s="1354"/>
      <c r="AL888" s="772"/>
    </row>
    <row r="889" spans="1:38" ht="11.25" customHeight="1">
      <c r="A889" t="s">
        <v>1019</v>
      </c>
      <c r="E889" s="557"/>
      <c r="F889" s="1339"/>
      <c r="G889" s="1340"/>
      <c r="H889" s="1335" t="s">
        <v>1166</v>
      </c>
      <c r="I889" s="1347"/>
      <c r="J889" s="1363"/>
      <c r="K889" s="1349"/>
      <c r="L889" s="1079"/>
      <c r="M889" s="1080"/>
      <c r="N889" s="1355"/>
      <c r="O889" s="1356"/>
      <c r="P889" s="1359"/>
      <c r="Q889" s="1308"/>
      <c r="R889" s="1308"/>
      <c r="S889" s="1361"/>
      <c r="T889" s="1308"/>
      <c r="U889" s="1308"/>
      <c r="V889" s="1308"/>
      <c r="W889" s="1308"/>
      <c r="X889" s="1308"/>
      <c r="Y889" s="1308"/>
      <c r="Z889" s="229"/>
      <c r="AA889" s="230"/>
      <c r="AB889" s="44" t="s">
        <v>1059</v>
      </c>
      <c r="AC889" s="231"/>
      <c r="AD889" s="231"/>
      <c r="AE889" s="246"/>
      <c r="AF889" s="1350"/>
      <c r="AG889" s="1352"/>
      <c r="AH889" s="1352"/>
      <c r="AI889" s="1350"/>
      <c r="AJ889" s="1352"/>
      <c r="AK889" s="1352"/>
      <c r="AL889" s="772"/>
    </row>
    <row r="890" spans="1:38" ht="11.25" customHeight="1">
      <c r="A890" t="s">
        <v>1019</v>
      </c>
      <c r="E890" s="557"/>
      <c r="F890" s="1339"/>
      <c r="G890" s="1340"/>
      <c r="H890" s="1335" t="s">
        <v>1166</v>
      </c>
      <c r="I890" s="1347"/>
      <c r="J890" s="1363"/>
      <c r="K890" s="1349"/>
      <c r="L890" s="1079"/>
      <c r="M890" s="1080"/>
      <c r="N890" s="229"/>
      <c r="O890" s="230"/>
      <c r="P890" s="44" t="s">
        <v>1060</v>
      </c>
      <c r="Q890" s="230"/>
      <c r="R890" s="230"/>
      <c r="S890" s="230"/>
      <c r="T890" s="230"/>
      <c r="U890" s="230"/>
      <c r="V890" s="230"/>
      <c r="W890" s="230"/>
      <c r="X890" s="230"/>
      <c r="Y890" s="230"/>
      <c r="Z890" s="230"/>
      <c r="AA890" s="230"/>
      <c r="AB890" s="230"/>
      <c r="AC890" s="230"/>
      <c r="AD890" s="230"/>
      <c r="AE890" s="247"/>
      <c r="AF890" s="1350"/>
      <c r="AG890" s="1352"/>
      <c r="AH890" s="1352"/>
      <c r="AI890" s="1350"/>
      <c r="AJ890" s="1352"/>
      <c r="AK890" s="1352"/>
      <c r="AL890" s="772"/>
    </row>
    <row r="891" spans="1:38" ht="11.25" customHeight="1">
      <c r="A891" t="s">
        <v>1019</v>
      </c>
      <c r="B891" t="s">
        <v>1086</v>
      </c>
      <c r="E891" s="557"/>
      <c r="F891" s="1339"/>
      <c r="G891" s="1325" t="s">
        <v>103</v>
      </c>
      <c r="H891" s="1335" t="s">
        <v>1170</v>
      </c>
      <c r="I891" s="1347" t="s">
        <v>1087</v>
      </c>
      <c r="J891" s="1363" t="s">
        <v>1116</v>
      </c>
      <c r="K891" s="1349" t="s">
        <v>1171</v>
      </c>
      <c r="L891" s="1079" t="s">
        <v>19</v>
      </c>
      <c r="M891" s="1080"/>
      <c r="N891" s="242"/>
      <c r="O891" s="243" t="s">
        <v>384</v>
      </c>
      <c r="P891" s="244"/>
      <c r="Q891" s="244"/>
      <c r="R891" s="244"/>
      <c r="S891" s="244"/>
      <c r="T891" s="244"/>
      <c r="U891" s="244"/>
      <c r="V891" s="244"/>
      <c r="W891" s="244"/>
      <c r="X891" s="244"/>
      <c r="Y891" s="244"/>
      <c r="Z891" s="244"/>
      <c r="AA891" s="244"/>
      <c r="AB891" s="244"/>
      <c r="AC891" s="244"/>
      <c r="AD891" s="244"/>
      <c r="AE891" s="244"/>
      <c r="AF891" s="1350">
        <v>1</v>
      </c>
      <c r="AG891" s="1352" t="s">
        <v>1055</v>
      </c>
      <c r="AH891" s="1352" t="s">
        <v>1107</v>
      </c>
      <c r="AI891" s="1350">
        <v>1</v>
      </c>
      <c r="AJ891" s="1352" t="s">
        <v>1055</v>
      </c>
      <c r="AK891" s="1352" t="s">
        <v>1107</v>
      </c>
      <c r="AL891" s="772"/>
    </row>
    <row r="892" spans="1:38" ht="11.25" customHeight="1">
      <c r="A892" t="s">
        <v>1019</v>
      </c>
      <c r="E892" s="557"/>
      <c r="F892" s="1339"/>
      <c r="G892" s="1340"/>
      <c r="H892" s="1335" t="s">
        <v>1168</v>
      </c>
      <c r="I892" s="1347"/>
      <c r="J892" s="1363"/>
      <c r="K892" s="1349"/>
      <c r="L892" s="1079"/>
      <c r="M892" s="1080"/>
      <c r="N892" s="1355"/>
      <c r="O892" s="1356">
        <v>1</v>
      </c>
      <c r="P892" s="1357" t="s">
        <v>19</v>
      </c>
      <c r="Q892" s="1308" t="s">
        <v>22</v>
      </c>
      <c r="R892" s="1308" t="s">
        <v>22</v>
      </c>
      <c r="S892" s="1308" t="s">
        <v>22</v>
      </c>
      <c r="T892" s="1308" t="s">
        <v>22</v>
      </c>
      <c r="U892" s="1308" t="s">
        <v>22</v>
      </c>
      <c r="V892" s="1308" t="s">
        <v>22</v>
      </c>
      <c r="W892" s="1308" t="s">
        <v>22</v>
      </c>
      <c r="X892" s="1308" t="s">
        <v>22</v>
      </c>
      <c r="Y892" s="1308"/>
      <c r="Z892" s="229"/>
      <c r="AA892" s="230"/>
      <c r="AB892" s="230"/>
      <c r="AC892" s="231"/>
      <c r="AD892" s="231"/>
      <c r="AE892" s="245"/>
      <c r="AF892" s="1350"/>
      <c r="AG892" s="1352"/>
      <c r="AH892" s="1352"/>
      <c r="AI892" s="1350"/>
      <c r="AJ892" s="1352"/>
      <c r="AK892" s="1352"/>
      <c r="AL892" s="772"/>
    </row>
    <row r="893" spans="1:38" ht="11.25" customHeight="1">
      <c r="A893" t="s">
        <v>1019</v>
      </c>
      <c r="E893" s="557"/>
      <c r="F893" s="1339"/>
      <c r="G893" s="1340"/>
      <c r="H893" s="1335" t="s">
        <v>1168</v>
      </c>
      <c r="I893" s="1347"/>
      <c r="J893" s="1363"/>
      <c r="K893" s="1349"/>
      <c r="L893" s="1079"/>
      <c r="M893" s="1080"/>
      <c r="N893" s="1355"/>
      <c r="O893" s="1356"/>
      <c r="P893" s="1358"/>
      <c r="Q893" s="1308"/>
      <c r="R893" s="1308"/>
      <c r="S893" s="1361"/>
      <c r="T893" s="1308"/>
      <c r="U893" s="1308"/>
      <c r="V893" s="1308"/>
      <c r="W893" s="1308"/>
      <c r="X893" s="1308"/>
      <c r="Y893" s="1308"/>
      <c r="AA893" s="778">
        <v>1</v>
      </c>
      <c r="AB893" s="779" t="s">
        <v>1118</v>
      </c>
      <c r="AC893" s="237">
        <v>689.26142037333295</v>
      </c>
      <c r="AD893" s="779" t="str">
        <f>AB893</f>
        <v xml:space="preserve">  Средства, полученные за счет платы за подключение (технологическое присоединение)</v>
      </c>
      <c r="AE893" s="237">
        <v>0</v>
      </c>
      <c r="AF893" s="1350"/>
      <c r="AG893" s="1352"/>
      <c r="AH893" s="1352"/>
      <c r="AI893" s="1350"/>
      <c r="AJ893" s="1352"/>
      <c r="AK893" s="1352"/>
      <c r="AL893" s="772"/>
    </row>
    <row r="894" spans="1:38" ht="11.25" customHeight="1">
      <c r="A894" t="s">
        <v>1019</v>
      </c>
      <c r="E894" s="557"/>
      <c r="F894" s="1340"/>
      <c r="G894" s="1340"/>
      <c r="H894" s="1340"/>
      <c r="I894" s="1340"/>
      <c r="J894" s="1340"/>
      <c r="K894" s="1340"/>
      <c r="L894" s="1340"/>
      <c r="M894" s="1340"/>
      <c r="N894" s="1340"/>
      <c r="O894" s="1340"/>
      <c r="P894" s="1340"/>
      <c r="Q894" s="1340"/>
      <c r="R894" s="1340"/>
      <c r="S894" s="1340"/>
      <c r="T894" s="1340"/>
      <c r="U894" s="1340"/>
      <c r="V894" s="1340"/>
      <c r="W894" s="1340"/>
      <c r="X894" s="1340"/>
      <c r="Y894" s="1340"/>
      <c r="Z894" s="181" t="s">
        <v>103</v>
      </c>
      <c r="AA894" s="780" t="s">
        <v>102</v>
      </c>
      <c r="AB894" s="779" t="s">
        <v>1138</v>
      </c>
      <c r="AC894" s="237">
        <v>134.964053333333</v>
      </c>
      <c r="AD894" s="779" t="str">
        <f>AB894</f>
        <v xml:space="preserve">  Прочие собственные средства</v>
      </c>
      <c r="AE894" s="237">
        <v>0</v>
      </c>
      <c r="AF894" s="1351"/>
      <c r="AG894" s="1353"/>
      <c r="AH894" s="1353"/>
      <c r="AI894" s="1351"/>
      <c r="AJ894" s="1353"/>
      <c r="AK894" s="1354"/>
      <c r="AL894" s="772"/>
    </row>
    <row r="895" spans="1:38" ht="11.25" customHeight="1">
      <c r="A895" t="s">
        <v>1019</v>
      </c>
      <c r="E895" s="557"/>
      <c r="F895" s="1339"/>
      <c r="G895" s="1340"/>
      <c r="H895" s="1335" t="s">
        <v>1168</v>
      </c>
      <c r="I895" s="1347"/>
      <c r="J895" s="1363"/>
      <c r="K895" s="1349"/>
      <c r="L895" s="1079"/>
      <c r="M895" s="1080"/>
      <c r="N895" s="1355"/>
      <c r="O895" s="1356"/>
      <c r="P895" s="1359"/>
      <c r="Q895" s="1308"/>
      <c r="R895" s="1308"/>
      <c r="S895" s="1361"/>
      <c r="T895" s="1308"/>
      <c r="U895" s="1308"/>
      <c r="V895" s="1308"/>
      <c r="W895" s="1308"/>
      <c r="X895" s="1308"/>
      <c r="Y895" s="1308"/>
      <c r="Z895" s="229"/>
      <c r="AA895" s="230"/>
      <c r="AB895" s="44" t="s">
        <v>1059</v>
      </c>
      <c r="AC895" s="231"/>
      <c r="AD895" s="231"/>
      <c r="AE895" s="246"/>
      <c r="AF895" s="1350"/>
      <c r="AG895" s="1352"/>
      <c r="AH895" s="1352"/>
      <c r="AI895" s="1350"/>
      <c r="AJ895" s="1352"/>
      <c r="AK895" s="1352"/>
      <c r="AL895" s="772"/>
    </row>
    <row r="896" spans="1:38" ht="11.25" customHeight="1">
      <c r="A896" t="s">
        <v>1019</v>
      </c>
      <c r="E896" s="557"/>
      <c r="F896" s="1339"/>
      <c r="G896" s="1340"/>
      <c r="H896" s="1335" t="s">
        <v>1168</v>
      </c>
      <c r="I896" s="1347"/>
      <c r="J896" s="1363"/>
      <c r="K896" s="1349"/>
      <c r="L896" s="1079"/>
      <c r="M896" s="1080"/>
      <c r="N896" s="229"/>
      <c r="O896" s="230"/>
      <c r="P896" s="44" t="s">
        <v>1060</v>
      </c>
      <c r="Q896" s="230"/>
      <c r="R896" s="230"/>
      <c r="S896" s="230"/>
      <c r="T896" s="230"/>
      <c r="U896" s="230"/>
      <c r="V896" s="230"/>
      <c r="W896" s="230"/>
      <c r="X896" s="230"/>
      <c r="Y896" s="230"/>
      <c r="Z896" s="230"/>
      <c r="AA896" s="230"/>
      <c r="AB896" s="230"/>
      <c r="AC896" s="230"/>
      <c r="AD896" s="230"/>
      <c r="AE896" s="247"/>
      <c r="AF896" s="1350"/>
      <c r="AG896" s="1352"/>
      <c r="AH896" s="1352"/>
      <c r="AI896" s="1350"/>
      <c r="AJ896" s="1352"/>
      <c r="AK896" s="1352"/>
      <c r="AL896" s="772"/>
    </row>
    <row r="897" spans="1:38" ht="11.25" customHeight="1">
      <c r="A897" t="s">
        <v>1019</v>
      </c>
      <c r="B897" t="s">
        <v>1086</v>
      </c>
      <c r="E897" s="557"/>
      <c r="F897" s="1339"/>
      <c r="G897" s="1325" t="s">
        <v>103</v>
      </c>
      <c r="H897" s="1335" t="s">
        <v>1172</v>
      </c>
      <c r="I897" s="1347" t="s">
        <v>1087</v>
      </c>
      <c r="J897" s="1363" t="s">
        <v>1116</v>
      </c>
      <c r="K897" s="1349" t="s">
        <v>1173</v>
      </c>
      <c r="L897" s="1079" t="s">
        <v>19</v>
      </c>
      <c r="M897" s="1080"/>
      <c r="N897" s="242"/>
      <c r="O897" s="243" t="s">
        <v>384</v>
      </c>
      <c r="P897" s="244"/>
      <c r="Q897" s="244"/>
      <c r="R897" s="244"/>
      <c r="S897" s="244"/>
      <c r="T897" s="244"/>
      <c r="U897" s="244"/>
      <c r="V897" s="244"/>
      <c r="W897" s="244"/>
      <c r="X897" s="244"/>
      <c r="Y897" s="244"/>
      <c r="Z897" s="244"/>
      <c r="AA897" s="244"/>
      <c r="AB897" s="244"/>
      <c r="AC897" s="244"/>
      <c r="AD897" s="244"/>
      <c r="AE897" s="244"/>
      <c r="AF897" s="1350">
        <v>1</v>
      </c>
      <c r="AG897" s="1352" t="s">
        <v>1055</v>
      </c>
      <c r="AH897" s="1352" t="s">
        <v>1107</v>
      </c>
      <c r="AI897" s="1350">
        <v>1</v>
      </c>
      <c r="AJ897" s="1352" t="s">
        <v>1055</v>
      </c>
      <c r="AK897" s="1352" t="s">
        <v>1107</v>
      </c>
      <c r="AL897" s="772"/>
    </row>
    <row r="898" spans="1:38" ht="11.25" customHeight="1">
      <c r="A898" t="s">
        <v>1019</v>
      </c>
      <c r="E898" s="557"/>
      <c r="F898" s="1339"/>
      <c r="G898" s="1340"/>
      <c r="H898" s="1335" t="s">
        <v>1170</v>
      </c>
      <c r="I898" s="1347"/>
      <c r="J898" s="1363"/>
      <c r="K898" s="1349"/>
      <c r="L898" s="1079"/>
      <c r="M898" s="1080"/>
      <c r="N898" s="1355"/>
      <c r="O898" s="1356">
        <v>1</v>
      </c>
      <c r="P898" s="1357" t="s">
        <v>19</v>
      </c>
      <c r="Q898" s="1308" t="s">
        <v>22</v>
      </c>
      <c r="R898" s="1308" t="s">
        <v>22</v>
      </c>
      <c r="S898" s="1308" t="s">
        <v>22</v>
      </c>
      <c r="T898" s="1308" t="s">
        <v>22</v>
      </c>
      <c r="U898" s="1308" t="s">
        <v>22</v>
      </c>
      <c r="V898" s="1308" t="s">
        <v>22</v>
      </c>
      <c r="W898" s="1308" t="s">
        <v>22</v>
      </c>
      <c r="X898" s="1308" t="s">
        <v>22</v>
      </c>
      <c r="Y898" s="1308"/>
      <c r="Z898" s="229"/>
      <c r="AA898" s="230"/>
      <c r="AB898" s="230"/>
      <c r="AC898" s="231"/>
      <c r="AD898" s="231"/>
      <c r="AE898" s="245"/>
      <c r="AF898" s="1350"/>
      <c r="AG898" s="1352"/>
      <c r="AH898" s="1352"/>
      <c r="AI898" s="1350"/>
      <c r="AJ898" s="1352"/>
      <c r="AK898" s="1352"/>
      <c r="AL898" s="772"/>
    </row>
    <row r="899" spans="1:38" ht="11.25" customHeight="1">
      <c r="A899" t="s">
        <v>1019</v>
      </c>
      <c r="E899" s="557"/>
      <c r="F899" s="1339"/>
      <c r="G899" s="1340"/>
      <c r="H899" s="1335" t="s">
        <v>1170</v>
      </c>
      <c r="I899" s="1347"/>
      <c r="J899" s="1363"/>
      <c r="K899" s="1349"/>
      <c r="L899" s="1079"/>
      <c r="M899" s="1080"/>
      <c r="N899" s="1355"/>
      <c r="O899" s="1356"/>
      <c r="P899" s="1358"/>
      <c r="Q899" s="1308"/>
      <c r="R899" s="1308"/>
      <c r="S899" s="1361"/>
      <c r="T899" s="1308"/>
      <c r="U899" s="1308"/>
      <c r="V899" s="1308"/>
      <c r="W899" s="1308"/>
      <c r="X899" s="1308"/>
      <c r="Y899" s="1308"/>
      <c r="AA899" s="778">
        <v>1</v>
      </c>
      <c r="AB899" s="779" t="s">
        <v>1118</v>
      </c>
      <c r="AC899" s="237">
        <v>262.98176002851898</v>
      </c>
      <c r="AD899" s="779" t="str">
        <f>AB899</f>
        <v xml:space="preserve">  Средства, полученные за счет платы за подключение (технологическое присоединение)</v>
      </c>
      <c r="AE899" s="237">
        <v>243.22726</v>
      </c>
      <c r="AF899" s="1350"/>
      <c r="AG899" s="1352"/>
      <c r="AH899" s="1352"/>
      <c r="AI899" s="1350"/>
      <c r="AJ899" s="1352"/>
      <c r="AK899" s="1352"/>
      <c r="AL899" s="772"/>
    </row>
    <row r="900" spans="1:38" ht="11.25" customHeight="1">
      <c r="A900" t="s">
        <v>1019</v>
      </c>
      <c r="E900" s="557"/>
      <c r="F900" s="1340"/>
      <c r="G900" s="1340"/>
      <c r="H900" s="1340"/>
      <c r="I900" s="1340"/>
      <c r="J900" s="1340"/>
      <c r="K900" s="1340"/>
      <c r="L900" s="1340"/>
      <c r="M900" s="1340"/>
      <c r="N900" s="1340"/>
      <c r="O900" s="1340"/>
      <c r="P900" s="1340"/>
      <c r="Q900" s="1340"/>
      <c r="R900" s="1340"/>
      <c r="S900" s="1340"/>
      <c r="T900" s="1340"/>
      <c r="U900" s="1340"/>
      <c r="V900" s="1340"/>
      <c r="W900" s="1340"/>
      <c r="X900" s="1340"/>
      <c r="Y900" s="1340"/>
      <c r="Z900" s="181" t="s">
        <v>103</v>
      </c>
      <c r="AA900" s="780" t="s">
        <v>102</v>
      </c>
      <c r="AB900" s="779" t="s">
        <v>1138</v>
      </c>
      <c r="AC900" s="237">
        <v>51.494372435582299</v>
      </c>
      <c r="AD900" s="779" t="str">
        <f>AB900</f>
        <v xml:space="preserve">  Прочие собственные средства</v>
      </c>
      <c r="AE900" s="237">
        <v>21.34788</v>
      </c>
      <c r="AF900" s="1351"/>
      <c r="AG900" s="1353"/>
      <c r="AH900" s="1353"/>
      <c r="AI900" s="1351"/>
      <c r="AJ900" s="1353"/>
      <c r="AK900" s="1354"/>
      <c r="AL900" s="772"/>
    </row>
    <row r="901" spans="1:38" ht="11.25" customHeight="1">
      <c r="A901" t="s">
        <v>1019</v>
      </c>
      <c r="E901" s="557"/>
      <c r="F901" s="1339"/>
      <c r="G901" s="1340"/>
      <c r="H901" s="1335" t="s">
        <v>1170</v>
      </c>
      <c r="I901" s="1347"/>
      <c r="J901" s="1363"/>
      <c r="K901" s="1349"/>
      <c r="L901" s="1079"/>
      <c r="M901" s="1080"/>
      <c r="N901" s="1355"/>
      <c r="O901" s="1356"/>
      <c r="P901" s="1359"/>
      <c r="Q901" s="1308"/>
      <c r="R901" s="1308"/>
      <c r="S901" s="1361"/>
      <c r="T901" s="1308"/>
      <c r="U901" s="1308"/>
      <c r="V901" s="1308"/>
      <c r="W901" s="1308"/>
      <c r="X901" s="1308"/>
      <c r="Y901" s="1308"/>
      <c r="Z901" s="229"/>
      <c r="AA901" s="230"/>
      <c r="AB901" s="44" t="s">
        <v>1059</v>
      </c>
      <c r="AC901" s="231"/>
      <c r="AD901" s="231"/>
      <c r="AE901" s="246"/>
      <c r="AF901" s="1350"/>
      <c r="AG901" s="1352"/>
      <c r="AH901" s="1352"/>
      <c r="AI901" s="1350"/>
      <c r="AJ901" s="1352"/>
      <c r="AK901" s="1352"/>
      <c r="AL901" s="772"/>
    </row>
    <row r="902" spans="1:38" ht="11.25" customHeight="1">
      <c r="A902" t="s">
        <v>1019</v>
      </c>
      <c r="E902" s="557"/>
      <c r="F902" s="1339"/>
      <c r="G902" s="1340"/>
      <c r="H902" s="1335" t="s">
        <v>1170</v>
      </c>
      <c r="I902" s="1347"/>
      <c r="J902" s="1363"/>
      <c r="K902" s="1349"/>
      <c r="L902" s="1079"/>
      <c r="M902" s="1080"/>
      <c r="N902" s="229"/>
      <c r="O902" s="230"/>
      <c r="P902" s="44" t="s">
        <v>1060</v>
      </c>
      <c r="Q902" s="230"/>
      <c r="R902" s="230"/>
      <c r="S902" s="230"/>
      <c r="T902" s="230"/>
      <c r="U902" s="230"/>
      <c r="V902" s="230"/>
      <c r="W902" s="230"/>
      <c r="X902" s="230"/>
      <c r="Y902" s="230"/>
      <c r="Z902" s="230"/>
      <c r="AA902" s="230"/>
      <c r="AB902" s="230"/>
      <c r="AC902" s="230"/>
      <c r="AD902" s="230"/>
      <c r="AE902" s="247"/>
      <c r="AF902" s="1350"/>
      <c r="AG902" s="1352"/>
      <c r="AH902" s="1352"/>
      <c r="AI902" s="1350"/>
      <c r="AJ902" s="1352"/>
      <c r="AK902" s="1352"/>
      <c r="AL902" s="772"/>
    </row>
    <row r="903" spans="1:38" ht="11.25" customHeight="1">
      <c r="A903" t="s">
        <v>1019</v>
      </c>
      <c r="B903" t="s">
        <v>1086</v>
      </c>
      <c r="E903" s="557"/>
      <c r="F903" s="1339"/>
      <c r="G903" s="1325" t="s">
        <v>103</v>
      </c>
      <c r="H903" s="1335" t="s">
        <v>1174</v>
      </c>
      <c r="I903" s="1347" t="s">
        <v>1087</v>
      </c>
      <c r="J903" s="1363" t="s">
        <v>1116</v>
      </c>
      <c r="K903" s="1349" t="s">
        <v>1175</v>
      </c>
      <c r="L903" s="1079" t="s">
        <v>19</v>
      </c>
      <c r="M903" s="1080"/>
      <c r="N903" s="242"/>
      <c r="O903" s="243" t="s">
        <v>384</v>
      </c>
      <c r="P903" s="244"/>
      <c r="Q903" s="244"/>
      <c r="R903" s="244"/>
      <c r="S903" s="244"/>
      <c r="T903" s="244"/>
      <c r="U903" s="244"/>
      <c r="V903" s="244"/>
      <c r="W903" s="244"/>
      <c r="X903" s="244"/>
      <c r="Y903" s="244"/>
      <c r="Z903" s="244"/>
      <c r="AA903" s="244"/>
      <c r="AB903" s="244"/>
      <c r="AC903" s="244"/>
      <c r="AD903" s="244"/>
      <c r="AE903" s="244"/>
      <c r="AF903" s="1350">
        <v>1</v>
      </c>
      <c r="AG903" s="1352" t="s">
        <v>1055</v>
      </c>
      <c r="AH903" s="1352" t="s">
        <v>1107</v>
      </c>
      <c r="AI903" s="1350">
        <v>1</v>
      </c>
      <c r="AJ903" s="1352" t="s">
        <v>1055</v>
      </c>
      <c r="AK903" s="1352" t="s">
        <v>1107</v>
      </c>
      <c r="AL903" s="772"/>
    </row>
    <row r="904" spans="1:38" ht="11.25" customHeight="1">
      <c r="A904" t="s">
        <v>1019</v>
      </c>
      <c r="E904" s="557"/>
      <c r="F904" s="1339"/>
      <c r="G904" s="1340"/>
      <c r="H904" s="1335" t="s">
        <v>1172</v>
      </c>
      <c r="I904" s="1347"/>
      <c r="J904" s="1363"/>
      <c r="K904" s="1349"/>
      <c r="L904" s="1079"/>
      <c r="M904" s="1080"/>
      <c r="N904" s="1355"/>
      <c r="O904" s="1356">
        <v>1</v>
      </c>
      <c r="P904" s="1357" t="s">
        <v>19</v>
      </c>
      <c r="Q904" s="1308" t="s">
        <v>22</v>
      </c>
      <c r="R904" s="1308" t="s">
        <v>22</v>
      </c>
      <c r="S904" s="1308" t="s">
        <v>22</v>
      </c>
      <c r="T904" s="1308" t="s">
        <v>22</v>
      </c>
      <c r="U904" s="1308" t="s">
        <v>22</v>
      </c>
      <c r="V904" s="1308" t="s">
        <v>22</v>
      </c>
      <c r="W904" s="1308" t="s">
        <v>22</v>
      </c>
      <c r="X904" s="1308" t="s">
        <v>22</v>
      </c>
      <c r="Y904" s="1308"/>
      <c r="Z904" s="229"/>
      <c r="AA904" s="230"/>
      <c r="AB904" s="230"/>
      <c r="AC904" s="231"/>
      <c r="AD904" s="231"/>
      <c r="AE904" s="245"/>
      <c r="AF904" s="1350"/>
      <c r="AG904" s="1352"/>
      <c r="AH904" s="1352"/>
      <c r="AI904" s="1350"/>
      <c r="AJ904" s="1352"/>
      <c r="AK904" s="1352"/>
      <c r="AL904" s="772"/>
    </row>
    <row r="905" spans="1:38" ht="11.25" customHeight="1">
      <c r="A905" t="s">
        <v>1019</v>
      </c>
      <c r="E905" s="557"/>
      <c r="F905" s="1339"/>
      <c r="G905" s="1340"/>
      <c r="H905" s="1335" t="s">
        <v>1172</v>
      </c>
      <c r="I905" s="1347"/>
      <c r="J905" s="1363"/>
      <c r="K905" s="1349"/>
      <c r="L905" s="1079"/>
      <c r="M905" s="1080"/>
      <c r="N905" s="1355"/>
      <c r="O905" s="1356"/>
      <c r="P905" s="1358"/>
      <c r="Q905" s="1308"/>
      <c r="R905" s="1308"/>
      <c r="S905" s="1361"/>
      <c r="T905" s="1308"/>
      <c r="U905" s="1308"/>
      <c r="V905" s="1308"/>
      <c r="W905" s="1308"/>
      <c r="X905" s="1308"/>
      <c r="Y905" s="1308"/>
      <c r="AA905" s="778">
        <v>1</v>
      </c>
      <c r="AB905" s="779" t="s">
        <v>1118</v>
      </c>
      <c r="AC905" s="237">
        <v>1860.9603444991999</v>
      </c>
      <c r="AD905" s="779" t="str">
        <f>AB905</f>
        <v xml:space="preserve">  Средства, полученные за счет платы за подключение (технологическое присоединение)</v>
      </c>
      <c r="AE905" s="237">
        <v>839.13626999999997</v>
      </c>
      <c r="AF905" s="1350"/>
      <c r="AG905" s="1352"/>
      <c r="AH905" s="1352"/>
      <c r="AI905" s="1350"/>
      <c r="AJ905" s="1352"/>
      <c r="AK905" s="1352"/>
      <c r="AL905" s="772"/>
    </row>
    <row r="906" spans="1:38" ht="11.25" customHeight="1">
      <c r="A906" t="s">
        <v>1019</v>
      </c>
      <c r="E906" s="557"/>
      <c r="F906" s="1340"/>
      <c r="G906" s="1340"/>
      <c r="H906" s="1340"/>
      <c r="I906" s="1340"/>
      <c r="J906" s="1340"/>
      <c r="K906" s="1340"/>
      <c r="L906" s="1340"/>
      <c r="M906" s="1340"/>
      <c r="N906" s="1340"/>
      <c r="O906" s="1340"/>
      <c r="P906" s="1340"/>
      <c r="Q906" s="1340"/>
      <c r="R906" s="1340"/>
      <c r="S906" s="1340"/>
      <c r="T906" s="1340"/>
      <c r="U906" s="1340"/>
      <c r="V906" s="1340"/>
      <c r="W906" s="1340"/>
      <c r="X906" s="1340"/>
      <c r="Y906" s="1340"/>
      <c r="Z906" s="181" t="s">
        <v>103</v>
      </c>
      <c r="AA906" s="780" t="s">
        <v>102</v>
      </c>
      <c r="AB906" s="779" t="s">
        <v>1138</v>
      </c>
      <c r="AC906" s="237">
        <v>364.394036518348</v>
      </c>
      <c r="AD906" s="779" t="str">
        <f>AB906</f>
        <v xml:space="preserve">  Прочие собственные средства</v>
      </c>
      <c r="AE906" s="237">
        <v>87.788179999999997</v>
      </c>
      <c r="AF906" s="1351"/>
      <c r="AG906" s="1353"/>
      <c r="AH906" s="1353"/>
      <c r="AI906" s="1351"/>
      <c r="AJ906" s="1353"/>
      <c r="AK906" s="1354"/>
      <c r="AL906" s="772"/>
    </row>
    <row r="907" spans="1:38" ht="11.25" customHeight="1">
      <c r="A907" t="s">
        <v>1019</v>
      </c>
      <c r="E907" s="557"/>
      <c r="F907" s="1339"/>
      <c r="G907" s="1340"/>
      <c r="H907" s="1335" t="s">
        <v>1172</v>
      </c>
      <c r="I907" s="1347"/>
      <c r="J907" s="1363"/>
      <c r="K907" s="1349"/>
      <c r="L907" s="1079"/>
      <c r="M907" s="1080"/>
      <c r="N907" s="1355"/>
      <c r="O907" s="1356"/>
      <c r="P907" s="1359"/>
      <c r="Q907" s="1308"/>
      <c r="R907" s="1308"/>
      <c r="S907" s="1361"/>
      <c r="T907" s="1308"/>
      <c r="U907" s="1308"/>
      <c r="V907" s="1308"/>
      <c r="W907" s="1308"/>
      <c r="X907" s="1308"/>
      <c r="Y907" s="1308"/>
      <c r="Z907" s="229"/>
      <c r="AA907" s="230"/>
      <c r="AB907" s="44" t="s">
        <v>1059</v>
      </c>
      <c r="AC907" s="231"/>
      <c r="AD907" s="231"/>
      <c r="AE907" s="246"/>
      <c r="AF907" s="1350"/>
      <c r="AG907" s="1352"/>
      <c r="AH907" s="1352"/>
      <c r="AI907" s="1350"/>
      <c r="AJ907" s="1352"/>
      <c r="AK907" s="1352"/>
      <c r="AL907" s="772"/>
    </row>
    <row r="908" spans="1:38" ht="11.25" customHeight="1">
      <c r="A908" t="s">
        <v>1019</v>
      </c>
      <c r="E908" s="557"/>
      <c r="F908" s="1339"/>
      <c r="G908" s="1340"/>
      <c r="H908" s="1335" t="s">
        <v>1172</v>
      </c>
      <c r="I908" s="1347"/>
      <c r="J908" s="1363"/>
      <c r="K908" s="1349"/>
      <c r="L908" s="1079"/>
      <c r="M908" s="1080"/>
      <c r="N908" s="229"/>
      <c r="O908" s="230"/>
      <c r="P908" s="44" t="s">
        <v>1060</v>
      </c>
      <c r="Q908" s="230"/>
      <c r="R908" s="230"/>
      <c r="S908" s="230"/>
      <c r="T908" s="230"/>
      <c r="U908" s="230"/>
      <c r="V908" s="230"/>
      <c r="W908" s="230"/>
      <c r="X908" s="230"/>
      <c r="Y908" s="230"/>
      <c r="Z908" s="230"/>
      <c r="AA908" s="230"/>
      <c r="AB908" s="230"/>
      <c r="AC908" s="230"/>
      <c r="AD908" s="230"/>
      <c r="AE908" s="247"/>
      <c r="AF908" s="1350"/>
      <c r="AG908" s="1352"/>
      <c r="AH908" s="1352"/>
      <c r="AI908" s="1350"/>
      <c r="AJ908" s="1352"/>
      <c r="AK908" s="1352"/>
      <c r="AL908" s="772"/>
    </row>
    <row r="909" spans="1:38" ht="11.25" customHeight="1">
      <c r="A909" t="s">
        <v>1019</v>
      </c>
      <c r="B909" t="s">
        <v>1086</v>
      </c>
      <c r="E909" s="557"/>
      <c r="F909" s="1339"/>
      <c r="G909" s="1325" t="s">
        <v>103</v>
      </c>
      <c r="H909" s="1335" t="s">
        <v>1176</v>
      </c>
      <c r="I909" s="1347" t="s">
        <v>1087</v>
      </c>
      <c r="J909" s="1363" t="s">
        <v>1088</v>
      </c>
      <c r="K909" s="1349" t="s">
        <v>1177</v>
      </c>
      <c r="L909" s="1079" t="s">
        <v>19</v>
      </c>
      <c r="M909" s="1080"/>
      <c r="N909" s="242"/>
      <c r="O909" s="243" t="s">
        <v>384</v>
      </c>
      <c r="P909" s="244"/>
      <c r="Q909" s="244"/>
      <c r="R909" s="244"/>
      <c r="S909" s="244"/>
      <c r="T909" s="244"/>
      <c r="U909" s="244"/>
      <c r="V909" s="244"/>
      <c r="W909" s="244"/>
      <c r="X909" s="244"/>
      <c r="Y909" s="244"/>
      <c r="Z909" s="244"/>
      <c r="AA909" s="244"/>
      <c r="AB909" s="244"/>
      <c r="AC909" s="244"/>
      <c r="AD909" s="244"/>
      <c r="AE909" s="244"/>
      <c r="AF909" s="1350">
        <v>2</v>
      </c>
      <c r="AG909" s="1352" t="s">
        <v>1055</v>
      </c>
      <c r="AH909" s="1352" t="s">
        <v>1079</v>
      </c>
      <c r="AI909" s="1350">
        <v>2</v>
      </c>
      <c r="AJ909" s="1352" t="s">
        <v>1055</v>
      </c>
      <c r="AK909" s="1352" t="s">
        <v>1079</v>
      </c>
      <c r="AL909" s="772"/>
    </row>
    <row r="910" spans="1:38" ht="11.25" customHeight="1">
      <c r="A910" t="s">
        <v>1019</v>
      </c>
      <c r="E910" s="557"/>
      <c r="F910" s="1339"/>
      <c r="G910" s="1340"/>
      <c r="H910" s="1335" t="s">
        <v>1174</v>
      </c>
      <c r="I910" s="1347"/>
      <c r="J910" s="1363"/>
      <c r="K910" s="1349"/>
      <c r="L910" s="1079"/>
      <c r="M910" s="1080"/>
      <c r="N910" s="1355"/>
      <c r="O910" s="1356">
        <v>1</v>
      </c>
      <c r="P910" s="1357" t="s">
        <v>19</v>
      </c>
      <c r="Q910" s="1308" t="s">
        <v>22</v>
      </c>
      <c r="R910" s="1308" t="s">
        <v>22</v>
      </c>
      <c r="S910" s="1308" t="s">
        <v>22</v>
      </c>
      <c r="T910" s="1308" t="s">
        <v>22</v>
      </c>
      <c r="U910" s="1308" t="s">
        <v>22</v>
      </c>
      <c r="V910" s="1308" t="s">
        <v>22</v>
      </c>
      <c r="W910" s="1308" t="s">
        <v>22</v>
      </c>
      <c r="X910" s="1308" t="s">
        <v>22</v>
      </c>
      <c r="Y910" s="1308"/>
      <c r="Z910" s="229"/>
      <c r="AA910" s="230"/>
      <c r="AB910" s="230"/>
      <c r="AC910" s="231"/>
      <c r="AD910" s="231"/>
      <c r="AE910" s="245"/>
      <c r="AF910" s="1350"/>
      <c r="AG910" s="1352"/>
      <c r="AH910" s="1352"/>
      <c r="AI910" s="1350"/>
      <c r="AJ910" s="1352"/>
      <c r="AK910" s="1352"/>
      <c r="AL910" s="772"/>
    </row>
    <row r="911" spans="1:38" ht="11.25" customHeight="1">
      <c r="A911" t="s">
        <v>1019</v>
      </c>
      <c r="E911" s="557"/>
      <c r="F911" s="1339"/>
      <c r="G911" s="1340"/>
      <c r="H911" s="1335" t="s">
        <v>1174</v>
      </c>
      <c r="I911" s="1347"/>
      <c r="J911" s="1363"/>
      <c r="K911" s="1349"/>
      <c r="L911" s="1079"/>
      <c r="M911" s="1080"/>
      <c r="N911" s="1355"/>
      <c r="O911" s="1356"/>
      <c r="P911" s="1358"/>
      <c r="Q911" s="1308"/>
      <c r="R911" s="1308"/>
      <c r="S911" s="1361"/>
      <c r="T911" s="1308"/>
      <c r="U911" s="1308"/>
      <c r="V911" s="1308"/>
      <c r="W911" s="1308"/>
      <c r="X911" s="1308"/>
      <c r="Y911" s="1308"/>
      <c r="AA911" s="778">
        <v>1</v>
      </c>
      <c r="AB911" s="779" t="s">
        <v>1118</v>
      </c>
      <c r="AC911" s="237">
        <v>9399.3114812947697</v>
      </c>
      <c r="AD911" s="779" t="str">
        <f>AB911</f>
        <v xml:space="preserve">  Средства, полученные за счет платы за подключение (технологическое присоединение)</v>
      </c>
      <c r="AE911" s="237">
        <v>1713.40699</v>
      </c>
      <c r="AF911" s="1350"/>
      <c r="AG911" s="1352"/>
      <c r="AH911" s="1352"/>
      <c r="AI911" s="1350"/>
      <c r="AJ911" s="1352"/>
      <c r="AK911" s="1352"/>
      <c r="AL911" s="772"/>
    </row>
    <row r="912" spans="1:38" ht="11.25" customHeight="1">
      <c r="A912" t="s">
        <v>1019</v>
      </c>
      <c r="E912" s="557"/>
      <c r="F912" s="1340"/>
      <c r="G912" s="1340"/>
      <c r="H912" s="1340"/>
      <c r="I912" s="1340"/>
      <c r="J912" s="1340"/>
      <c r="K912" s="1340"/>
      <c r="L912" s="1340"/>
      <c r="M912" s="1340"/>
      <c r="N912" s="1340"/>
      <c r="O912" s="1340"/>
      <c r="P912" s="1340"/>
      <c r="Q912" s="1340"/>
      <c r="R912" s="1340"/>
      <c r="S912" s="1340"/>
      <c r="T912" s="1340"/>
      <c r="U912" s="1340"/>
      <c r="V912" s="1340"/>
      <c r="W912" s="1340"/>
      <c r="X912" s="1340"/>
      <c r="Y912" s="1340"/>
      <c r="Z912" s="181" t="s">
        <v>103</v>
      </c>
      <c r="AA912" s="780" t="s">
        <v>102</v>
      </c>
      <c r="AB912" s="779" t="s">
        <v>1138</v>
      </c>
      <c r="AC912" s="237">
        <v>1840.4761075572301</v>
      </c>
      <c r="AD912" s="779" t="str">
        <f>AB912</f>
        <v xml:space="preserve">  Прочие собственные средства</v>
      </c>
      <c r="AE912" s="237">
        <v>15.330100000000099</v>
      </c>
      <c r="AF912" s="1351"/>
      <c r="AG912" s="1353"/>
      <c r="AH912" s="1353"/>
      <c r="AI912" s="1351"/>
      <c r="AJ912" s="1353"/>
      <c r="AK912" s="1354"/>
      <c r="AL912" s="772"/>
    </row>
    <row r="913" spans="1:38" ht="11.25" customHeight="1">
      <c r="A913" t="s">
        <v>1019</v>
      </c>
      <c r="E913" s="557"/>
      <c r="F913" s="1339"/>
      <c r="G913" s="1340"/>
      <c r="H913" s="1335" t="s">
        <v>1174</v>
      </c>
      <c r="I913" s="1347"/>
      <c r="J913" s="1363"/>
      <c r="K913" s="1349"/>
      <c r="L913" s="1079"/>
      <c r="M913" s="1080"/>
      <c r="N913" s="1355"/>
      <c r="O913" s="1356"/>
      <c r="P913" s="1359"/>
      <c r="Q913" s="1308"/>
      <c r="R913" s="1308"/>
      <c r="S913" s="1361"/>
      <c r="T913" s="1308"/>
      <c r="U913" s="1308"/>
      <c r="V913" s="1308"/>
      <c r="W913" s="1308"/>
      <c r="X913" s="1308"/>
      <c r="Y913" s="1308"/>
      <c r="Z913" s="229"/>
      <c r="AA913" s="230"/>
      <c r="AB913" s="44" t="s">
        <v>1059</v>
      </c>
      <c r="AC913" s="231"/>
      <c r="AD913" s="231"/>
      <c r="AE913" s="246"/>
      <c r="AF913" s="1350"/>
      <c r="AG913" s="1352"/>
      <c r="AH913" s="1352"/>
      <c r="AI913" s="1350"/>
      <c r="AJ913" s="1352"/>
      <c r="AK913" s="1352"/>
      <c r="AL913" s="772"/>
    </row>
    <row r="914" spans="1:38" ht="11.25" customHeight="1">
      <c r="A914" t="s">
        <v>1019</v>
      </c>
      <c r="E914" s="557"/>
      <c r="F914" s="1339"/>
      <c r="G914" s="1340"/>
      <c r="H914" s="1335" t="s">
        <v>1174</v>
      </c>
      <c r="I914" s="1347"/>
      <c r="J914" s="1363"/>
      <c r="K914" s="1349"/>
      <c r="L914" s="1079"/>
      <c r="M914" s="1080"/>
      <c r="N914" s="229"/>
      <c r="O914" s="230"/>
      <c r="P914" s="44" t="s">
        <v>1060</v>
      </c>
      <c r="Q914" s="230"/>
      <c r="R914" s="230"/>
      <c r="S914" s="230"/>
      <c r="T914" s="230"/>
      <c r="U914" s="230"/>
      <c r="V914" s="230"/>
      <c r="W914" s="230"/>
      <c r="X914" s="230"/>
      <c r="Y914" s="230"/>
      <c r="Z914" s="230"/>
      <c r="AA914" s="230"/>
      <c r="AB914" s="230"/>
      <c r="AC914" s="230"/>
      <c r="AD914" s="230"/>
      <c r="AE914" s="247"/>
      <c r="AF914" s="1350"/>
      <c r="AG914" s="1352"/>
      <c r="AH914" s="1352"/>
      <c r="AI914" s="1350"/>
      <c r="AJ914" s="1352"/>
      <c r="AK914" s="1352"/>
      <c r="AL914" s="772"/>
    </row>
    <row r="915" spans="1:38" ht="11.25" customHeight="1">
      <c r="A915" t="s">
        <v>1019</v>
      </c>
      <c r="B915" t="s">
        <v>1086</v>
      </c>
      <c r="E915" s="557"/>
      <c r="F915" s="1339"/>
      <c r="G915" s="1325" t="s">
        <v>103</v>
      </c>
      <c r="H915" s="1335" t="s">
        <v>1178</v>
      </c>
      <c r="I915" s="1347" t="s">
        <v>1087</v>
      </c>
      <c r="J915" s="1363" t="s">
        <v>1116</v>
      </c>
      <c r="K915" s="1349" t="s">
        <v>1179</v>
      </c>
      <c r="L915" s="1079" t="s">
        <v>19</v>
      </c>
      <c r="M915" s="1080"/>
      <c r="N915" s="242"/>
      <c r="O915" s="243" t="s">
        <v>384</v>
      </c>
      <c r="P915" s="244"/>
      <c r="Q915" s="244"/>
      <c r="R915" s="244"/>
      <c r="S915" s="244"/>
      <c r="T915" s="244"/>
      <c r="U915" s="244"/>
      <c r="V915" s="244"/>
      <c r="W915" s="244"/>
      <c r="X915" s="244"/>
      <c r="Y915" s="244"/>
      <c r="Z915" s="244"/>
      <c r="AA915" s="244"/>
      <c r="AB915" s="244"/>
      <c r="AC915" s="244"/>
      <c r="AD915" s="244"/>
      <c r="AE915" s="244"/>
      <c r="AF915" s="1350">
        <v>1</v>
      </c>
      <c r="AG915" s="1352" t="s">
        <v>1055</v>
      </c>
      <c r="AH915" s="1352" t="s">
        <v>1107</v>
      </c>
      <c r="AI915" s="1350">
        <v>1</v>
      </c>
      <c r="AJ915" s="1352" t="s">
        <v>1055</v>
      </c>
      <c r="AK915" s="1352" t="s">
        <v>1107</v>
      </c>
      <c r="AL915" s="772"/>
    </row>
    <row r="916" spans="1:38" ht="11.25" customHeight="1">
      <c r="A916" t="s">
        <v>1019</v>
      </c>
      <c r="E916" s="557"/>
      <c r="F916" s="1339"/>
      <c r="G916" s="1340"/>
      <c r="H916" s="1335" t="s">
        <v>1176</v>
      </c>
      <c r="I916" s="1347"/>
      <c r="J916" s="1363"/>
      <c r="K916" s="1349"/>
      <c r="L916" s="1079"/>
      <c r="M916" s="1080"/>
      <c r="N916" s="1355"/>
      <c r="O916" s="1356">
        <v>1</v>
      </c>
      <c r="P916" s="1357" t="s">
        <v>19</v>
      </c>
      <c r="Q916" s="1308" t="s">
        <v>22</v>
      </c>
      <c r="R916" s="1308" t="s">
        <v>22</v>
      </c>
      <c r="S916" s="1308" t="s">
        <v>22</v>
      </c>
      <c r="T916" s="1308" t="s">
        <v>22</v>
      </c>
      <c r="U916" s="1308" t="s">
        <v>22</v>
      </c>
      <c r="V916" s="1308" t="s">
        <v>22</v>
      </c>
      <c r="W916" s="1308" t="s">
        <v>22</v>
      </c>
      <c r="X916" s="1308" t="s">
        <v>22</v>
      </c>
      <c r="Y916" s="1308"/>
      <c r="Z916" s="229"/>
      <c r="AA916" s="230"/>
      <c r="AB916" s="230"/>
      <c r="AC916" s="231"/>
      <c r="AD916" s="231"/>
      <c r="AE916" s="245"/>
      <c r="AF916" s="1350"/>
      <c r="AG916" s="1352"/>
      <c r="AH916" s="1352"/>
      <c r="AI916" s="1350"/>
      <c r="AJ916" s="1352"/>
      <c r="AK916" s="1352"/>
      <c r="AL916" s="772"/>
    </row>
    <row r="917" spans="1:38" ht="11.25" customHeight="1">
      <c r="A917" t="s">
        <v>1019</v>
      </c>
      <c r="E917" s="557"/>
      <c r="F917" s="1339"/>
      <c r="G917" s="1340"/>
      <c r="H917" s="1335" t="s">
        <v>1176</v>
      </c>
      <c r="I917" s="1347"/>
      <c r="J917" s="1363"/>
      <c r="K917" s="1349"/>
      <c r="L917" s="1079"/>
      <c r="M917" s="1080"/>
      <c r="N917" s="1355"/>
      <c r="O917" s="1356"/>
      <c r="P917" s="1358"/>
      <c r="Q917" s="1308"/>
      <c r="R917" s="1308"/>
      <c r="S917" s="1361"/>
      <c r="T917" s="1308"/>
      <c r="U917" s="1308"/>
      <c r="V917" s="1308"/>
      <c r="W917" s="1308"/>
      <c r="X917" s="1308"/>
      <c r="Y917" s="1308"/>
      <c r="AA917" s="778">
        <v>1</v>
      </c>
      <c r="AB917" s="779" t="s">
        <v>1118</v>
      </c>
      <c r="AC917" s="237">
        <v>12775.545440891399</v>
      </c>
      <c r="AD917" s="779" t="str">
        <f>AB917</f>
        <v xml:space="preserve">  Средства, полученные за счет платы за подключение (технологическое присоединение)</v>
      </c>
      <c r="AE917" s="237">
        <v>5467.28143</v>
      </c>
      <c r="AF917" s="1350"/>
      <c r="AG917" s="1352"/>
      <c r="AH917" s="1352"/>
      <c r="AI917" s="1350"/>
      <c r="AJ917" s="1352"/>
      <c r="AK917" s="1352"/>
      <c r="AL917" s="772"/>
    </row>
    <row r="918" spans="1:38" ht="11.25" customHeight="1">
      <c r="A918" t="s">
        <v>1019</v>
      </c>
      <c r="E918" s="557"/>
      <c r="F918" s="1340"/>
      <c r="G918" s="1340"/>
      <c r="H918" s="1340"/>
      <c r="I918" s="1340"/>
      <c r="J918" s="1340"/>
      <c r="K918" s="1340"/>
      <c r="L918" s="1340"/>
      <c r="M918" s="1340"/>
      <c r="N918" s="1340"/>
      <c r="O918" s="1340"/>
      <c r="P918" s="1340"/>
      <c r="Q918" s="1340"/>
      <c r="R918" s="1340"/>
      <c r="S918" s="1340"/>
      <c r="T918" s="1340"/>
      <c r="U918" s="1340"/>
      <c r="V918" s="1340"/>
      <c r="W918" s="1340"/>
      <c r="X918" s="1340"/>
      <c r="Y918" s="1340"/>
      <c r="Z918" s="181" t="s">
        <v>103</v>
      </c>
      <c r="AA918" s="780" t="s">
        <v>102</v>
      </c>
      <c r="AB918" s="779" t="s">
        <v>1138</v>
      </c>
      <c r="AC918" s="237">
        <v>2501.5753751500201</v>
      </c>
      <c r="AD918" s="779" t="str">
        <f>AB918</f>
        <v xml:space="preserve">  Прочие собственные средства</v>
      </c>
      <c r="AE918" s="237">
        <v>948.50024000000099</v>
      </c>
      <c r="AF918" s="1351"/>
      <c r="AG918" s="1353"/>
      <c r="AH918" s="1353"/>
      <c r="AI918" s="1351"/>
      <c r="AJ918" s="1353"/>
      <c r="AK918" s="1354"/>
      <c r="AL918" s="772"/>
    </row>
    <row r="919" spans="1:38" ht="11.25" customHeight="1">
      <c r="A919" t="s">
        <v>1019</v>
      </c>
      <c r="E919" s="557"/>
      <c r="F919" s="1339"/>
      <c r="G919" s="1340"/>
      <c r="H919" s="1335" t="s">
        <v>1176</v>
      </c>
      <c r="I919" s="1347"/>
      <c r="J919" s="1363"/>
      <c r="K919" s="1349"/>
      <c r="L919" s="1079"/>
      <c r="M919" s="1080"/>
      <c r="N919" s="1355"/>
      <c r="O919" s="1356"/>
      <c r="P919" s="1359"/>
      <c r="Q919" s="1308"/>
      <c r="R919" s="1308"/>
      <c r="S919" s="1361"/>
      <c r="T919" s="1308"/>
      <c r="U919" s="1308"/>
      <c r="V919" s="1308"/>
      <c r="W919" s="1308"/>
      <c r="X919" s="1308"/>
      <c r="Y919" s="1308"/>
      <c r="Z919" s="229"/>
      <c r="AA919" s="230"/>
      <c r="AB919" s="44" t="s">
        <v>1059</v>
      </c>
      <c r="AC919" s="231"/>
      <c r="AD919" s="231"/>
      <c r="AE919" s="246"/>
      <c r="AF919" s="1350"/>
      <c r="AG919" s="1352"/>
      <c r="AH919" s="1352"/>
      <c r="AI919" s="1350"/>
      <c r="AJ919" s="1352"/>
      <c r="AK919" s="1352"/>
      <c r="AL919" s="772"/>
    </row>
    <row r="920" spans="1:38" ht="11.25" customHeight="1">
      <c r="A920" t="s">
        <v>1019</v>
      </c>
      <c r="E920" s="557"/>
      <c r="F920" s="1339"/>
      <c r="G920" s="1340"/>
      <c r="H920" s="1335" t="s">
        <v>1176</v>
      </c>
      <c r="I920" s="1347"/>
      <c r="J920" s="1363"/>
      <c r="K920" s="1349"/>
      <c r="L920" s="1079"/>
      <c r="M920" s="1080"/>
      <c r="N920" s="229"/>
      <c r="O920" s="230"/>
      <c r="P920" s="44" t="s">
        <v>1060</v>
      </c>
      <c r="Q920" s="230"/>
      <c r="R920" s="230"/>
      <c r="S920" s="230"/>
      <c r="T920" s="230"/>
      <c r="U920" s="230"/>
      <c r="V920" s="230"/>
      <c r="W920" s="230"/>
      <c r="X920" s="230"/>
      <c r="Y920" s="230"/>
      <c r="Z920" s="230"/>
      <c r="AA920" s="230"/>
      <c r="AB920" s="230"/>
      <c r="AC920" s="230"/>
      <c r="AD920" s="230"/>
      <c r="AE920" s="247"/>
      <c r="AF920" s="1350"/>
      <c r="AG920" s="1352"/>
      <c r="AH920" s="1352"/>
      <c r="AI920" s="1350"/>
      <c r="AJ920" s="1352"/>
      <c r="AK920" s="1352"/>
      <c r="AL920" s="772"/>
    </row>
    <row r="921" spans="1:38" ht="11.25" customHeight="1">
      <c r="A921" t="s">
        <v>1019</v>
      </c>
      <c r="B921" t="s">
        <v>1086</v>
      </c>
      <c r="E921" s="557"/>
      <c r="F921" s="1339"/>
      <c r="G921" s="1325" t="s">
        <v>103</v>
      </c>
      <c r="H921" s="1335" t="s">
        <v>1180</v>
      </c>
      <c r="I921" s="1347" t="s">
        <v>1087</v>
      </c>
      <c r="J921" s="1363" t="s">
        <v>1116</v>
      </c>
      <c r="K921" s="1349" t="s">
        <v>1181</v>
      </c>
      <c r="L921" s="1079" t="s">
        <v>19</v>
      </c>
      <c r="M921" s="1080"/>
      <c r="N921" s="242"/>
      <c r="O921" s="243" t="s">
        <v>384</v>
      </c>
      <c r="P921" s="244"/>
      <c r="Q921" s="244"/>
      <c r="R921" s="244"/>
      <c r="S921" s="244"/>
      <c r="T921" s="244"/>
      <c r="U921" s="244"/>
      <c r="V921" s="244"/>
      <c r="W921" s="244"/>
      <c r="X921" s="244"/>
      <c r="Y921" s="244"/>
      <c r="Z921" s="244"/>
      <c r="AA921" s="244"/>
      <c r="AB921" s="244"/>
      <c r="AC921" s="244"/>
      <c r="AD921" s="244"/>
      <c r="AE921" s="244"/>
      <c r="AF921" s="1350">
        <v>1</v>
      </c>
      <c r="AG921" s="1352" t="s">
        <v>1055</v>
      </c>
      <c r="AH921" s="1352" t="s">
        <v>1107</v>
      </c>
      <c r="AI921" s="1350">
        <v>1</v>
      </c>
      <c r="AJ921" s="1352" t="s">
        <v>1055</v>
      </c>
      <c r="AK921" s="1352" t="s">
        <v>1107</v>
      </c>
      <c r="AL921" s="772"/>
    </row>
    <row r="922" spans="1:38" ht="11.25" customHeight="1">
      <c r="A922" t="s">
        <v>1019</v>
      </c>
      <c r="E922" s="557"/>
      <c r="F922" s="1339"/>
      <c r="G922" s="1340"/>
      <c r="H922" s="1335" t="s">
        <v>1178</v>
      </c>
      <c r="I922" s="1347"/>
      <c r="J922" s="1363"/>
      <c r="K922" s="1349"/>
      <c r="L922" s="1079"/>
      <c r="M922" s="1080"/>
      <c r="N922" s="1355"/>
      <c r="O922" s="1356">
        <v>1</v>
      </c>
      <c r="P922" s="1357" t="s">
        <v>19</v>
      </c>
      <c r="Q922" s="1308" t="s">
        <v>22</v>
      </c>
      <c r="R922" s="1308" t="s">
        <v>22</v>
      </c>
      <c r="S922" s="1308" t="s">
        <v>22</v>
      </c>
      <c r="T922" s="1308" t="s">
        <v>22</v>
      </c>
      <c r="U922" s="1308" t="s">
        <v>22</v>
      </c>
      <c r="V922" s="1308" t="s">
        <v>22</v>
      </c>
      <c r="W922" s="1308" t="s">
        <v>22</v>
      </c>
      <c r="X922" s="1308" t="s">
        <v>22</v>
      </c>
      <c r="Y922" s="1308"/>
      <c r="Z922" s="229"/>
      <c r="AA922" s="230"/>
      <c r="AB922" s="230"/>
      <c r="AC922" s="231"/>
      <c r="AD922" s="231"/>
      <c r="AE922" s="245"/>
      <c r="AF922" s="1350"/>
      <c r="AG922" s="1352"/>
      <c r="AH922" s="1352"/>
      <c r="AI922" s="1350"/>
      <c r="AJ922" s="1352"/>
      <c r="AK922" s="1352"/>
      <c r="AL922" s="772"/>
    </row>
    <row r="923" spans="1:38" ht="11.25" customHeight="1">
      <c r="A923" t="s">
        <v>1019</v>
      </c>
      <c r="E923" s="557"/>
      <c r="F923" s="1339"/>
      <c r="G923" s="1340"/>
      <c r="H923" s="1335" t="s">
        <v>1178</v>
      </c>
      <c r="I923" s="1347"/>
      <c r="J923" s="1363"/>
      <c r="K923" s="1349"/>
      <c r="L923" s="1079"/>
      <c r="M923" s="1080"/>
      <c r="N923" s="1355"/>
      <c r="O923" s="1356"/>
      <c r="P923" s="1358"/>
      <c r="Q923" s="1308"/>
      <c r="R923" s="1308"/>
      <c r="S923" s="1361"/>
      <c r="T923" s="1308"/>
      <c r="U923" s="1308"/>
      <c r="V923" s="1308"/>
      <c r="W923" s="1308"/>
      <c r="X923" s="1308"/>
      <c r="Y923" s="1308"/>
      <c r="AA923" s="778">
        <v>1</v>
      </c>
      <c r="AB923" s="779" t="s">
        <v>1118</v>
      </c>
      <c r="AC923" s="237">
        <v>1355.0515164603401</v>
      </c>
      <c r="AD923" s="779" t="str">
        <f>AB923</f>
        <v xml:space="preserve">  Средства, полученные за счет платы за подключение (технологическое присоединение)</v>
      </c>
      <c r="AE923" s="237">
        <v>248.1534</v>
      </c>
      <c r="AF923" s="1350"/>
      <c r="AG923" s="1352"/>
      <c r="AH923" s="1352"/>
      <c r="AI923" s="1350"/>
      <c r="AJ923" s="1352"/>
      <c r="AK923" s="1352"/>
      <c r="AL923" s="772"/>
    </row>
    <row r="924" spans="1:38" ht="11.25" customHeight="1">
      <c r="A924" t="s">
        <v>1019</v>
      </c>
      <c r="E924" s="557"/>
      <c r="F924" s="1340"/>
      <c r="G924" s="1340"/>
      <c r="H924" s="1340"/>
      <c r="I924" s="1340"/>
      <c r="J924" s="1340"/>
      <c r="K924" s="1340"/>
      <c r="L924" s="1340"/>
      <c r="M924" s="1340"/>
      <c r="N924" s="1340"/>
      <c r="O924" s="1340"/>
      <c r="P924" s="1340"/>
      <c r="Q924" s="1340"/>
      <c r="R924" s="1340"/>
      <c r="S924" s="1340"/>
      <c r="T924" s="1340"/>
      <c r="U924" s="1340"/>
      <c r="V924" s="1340"/>
      <c r="W924" s="1340"/>
      <c r="X924" s="1340"/>
      <c r="Y924" s="1340"/>
      <c r="Z924" s="181" t="s">
        <v>103</v>
      </c>
      <c r="AA924" s="780" t="s">
        <v>102</v>
      </c>
      <c r="AB924" s="779" t="s">
        <v>1138</v>
      </c>
      <c r="AC924" s="237">
        <v>265.332194333335</v>
      </c>
      <c r="AD924" s="779" t="str">
        <f>AB924</f>
        <v xml:space="preserve">  Прочие собственные средства</v>
      </c>
      <c r="AE924" s="237">
        <v>7.6948499999999997</v>
      </c>
      <c r="AF924" s="1351"/>
      <c r="AG924" s="1353"/>
      <c r="AH924" s="1353"/>
      <c r="AI924" s="1351"/>
      <c r="AJ924" s="1353"/>
      <c r="AK924" s="1354"/>
      <c r="AL924" s="772"/>
    </row>
    <row r="925" spans="1:38" ht="11.25" customHeight="1">
      <c r="A925" t="s">
        <v>1019</v>
      </c>
      <c r="E925" s="557"/>
      <c r="F925" s="1339"/>
      <c r="G925" s="1340"/>
      <c r="H925" s="1335" t="s">
        <v>1178</v>
      </c>
      <c r="I925" s="1347"/>
      <c r="J925" s="1363"/>
      <c r="K925" s="1349"/>
      <c r="L925" s="1079"/>
      <c r="M925" s="1080"/>
      <c r="N925" s="1355"/>
      <c r="O925" s="1356"/>
      <c r="P925" s="1359"/>
      <c r="Q925" s="1308"/>
      <c r="R925" s="1308"/>
      <c r="S925" s="1361"/>
      <c r="T925" s="1308"/>
      <c r="U925" s="1308"/>
      <c r="V925" s="1308"/>
      <c r="W925" s="1308"/>
      <c r="X925" s="1308"/>
      <c r="Y925" s="1308"/>
      <c r="Z925" s="229"/>
      <c r="AA925" s="230"/>
      <c r="AB925" s="44" t="s">
        <v>1059</v>
      </c>
      <c r="AC925" s="231"/>
      <c r="AD925" s="231"/>
      <c r="AE925" s="246"/>
      <c r="AF925" s="1350"/>
      <c r="AG925" s="1352"/>
      <c r="AH925" s="1352"/>
      <c r="AI925" s="1350"/>
      <c r="AJ925" s="1352"/>
      <c r="AK925" s="1352"/>
      <c r="AL925" s="772"/>
    </row>
    <row r="926" spans="1:38" ht="11.25" customHeight="1">
      <c r="A926" t="s">
        <v>1019</v>
      </c>
      <c r="E926" s="557"/>
      <c r="F926" s="1339"/>
      <c r="G926" s="1340"/>
      <c r="H926" s="1335" t="s">
        <v>1178</v>
      </c>
      <c r="I926" s="1347"/>
      <c r="J926" s="1363"/>
      <c r="K926" s="1349"/>
      <c r="L926" s="1079"/>
      <c r="M926" s="1080"/>
      <c r="N926" s="229"/>
      <c r="O926" s="230"/>
      <c r="P926" s="44" t="s">
        <v>1060</v>
      </c>
      <c r="Q926" s="230"/>
      <c r="R926" s="230"/>
      <c r="S926" s="230"/>
      <c r="T926" s="230"/>
      <c r="U926" s="230"/>
      <c r="V926" s="230"/>
      <c r="W926" s="230"/>
      <c r="X926" s="230"/>
      <c r="Y926" s="230"/>
      <c r="Z926" s="230"/>
      <c r="AA926" s="230"/>
      <c r="AB926" s="230"/>
      <c r="AC926" s="230"/>
      <c r="AD926" s="230"/>
      <c r="AE926" s="247"/>
      <c r="AF926" s="1350"/>
      <c r="AG926" s="1352"/>
      <c r="AH926" s="1352"/>
      <c r="AI926" s="1350"/>
      <c r="AJ926" s="1352"/>
      <c r="AK926" s="1352"/>
      <c r="AL926" s="772"/>
    </row>
    <row r="927" spans="1:38" ht="11.25" customHeight="1">
      <c r="A927" t="s">
        <v>1019</v>
      </c>
      <c r="B927" t="s">
        <v>1086</v>
      </c>
      <c r="E927" s="557"/>
      <c r="F927" s="1339"/>
      <c r="G927" s="1325" t="s">
        <v>103</v>
      </c>
      <c r="H927" s="1335" t="s">
        <v>1182</v>
      </c>
      <c r="I927" s="1347" t="s">
        <v>1087</v>
      </c>
      <c r="J927" s="1363" t="s">
        <v>1116</v>
      </c>
      <c r="K927" s="1349" t="s">
        <v>1183</v>
      </c>
      <c r="L927" s="1079" t="s">
        <v>19</v>
      </c>
      <c r="M927" s="1080"/>
      <c r="N927" s="242"/>
      <c r="O927" s="243" t="s">
        <v>384</v>
      </c>
      <c r="P927" s="244"/>
      <c r="Q927" s="244"/>
      <c r="R927" s="244"/>
      <c r="S927" s="244"/>
      <c r="T927" s="244"/>
      <c r="U927" s="244"/>
      <c r="V927" s="244"/>
      <c r="W927" s="244"/>
      <c r="X927" s="244"/>
      <c r="Y927" s="244"/>
      <c r="Z927" s="244"/>
      <c r="AA927" s="244"/>
      <c r="AB927" s="244"/>
      <c r="AC927" s="244"/>
      <c r="AD927" s="244"/>
      <c r="AE927" s="244"/>
      <c r="AF927" s="1350">
        <v>2</v>
      </c>
      <c r="AG927" s="1352" t="s">
        <v>1055</v>
      </c>
      <c r="AH927" s="1352" t="s">
        <v>1079</v>
      </c>
      <c r="AI927" s="1350">
        <v>2</v>
      </c>
      <c r="AJ927" s="1352" t="s">
        <v>1055</v>
      </c>
      <c r="AK927" s="1352" t="s">
        <v>1079</v>
      </c>
      <c r="AL927" s="772"/>
    </row>
    <row r="928" spans="1:38" ht="11.25" customHeight="1">
      <c r="A928" t="s">
        <v>1019</v>
      </c>
      <c r="E928" s="557"/>
      <c r="F928" s="1339"/>
      <c r="G928" s="1340"/>
      <c r="H928" s="1335" t="s">
        <v>1180</v>
      </c>
      <c r="I928" s="1347"/>
      <c r="J928" s="1363"/>
      <c r="K928" s="1349"/>
      <c r="L928" s="1079"/>
      <c r="M928" s="1080"/>
      <c r="N928" s="1355"/>
      <c r="O928" s="1356">
        <v>1</v>
      </c>
      <c r="P928" s="1357" t="s">
        <v>19</v>
      </c>
      <c r="Q928" s="1308" t="s">
        <v>22</v>
      </c>
      <c r="R928" s="1308" t="s">
        <v>22</v>
      </c>
      <c r="S928" s="1308" t="s">
        <v>22</v>
      </c>
      <c r="T928" s="1308" t="s">
        <v>22</v>
      </c>
      <c r="U928" s="1308" t="s">
        <v>22</v>
      </c>
      <c r="V928" s="1308" t="s">
        <v>22</v>
      </c>
      <c r="W928" s="1308" t="s">
        <v>22</v>
      </c>
      <c r="X928" s="1308" t="s">
        <v>22</v>
      </c>
      <c r="Y928" s="1308"/>
      <c r="Z928" s="229"/>
      <c r="AA928" s="230"/>
      <c r="AB928" s="230"/>
      <c r="AC928" s="231"/>
      <c r="AD928" s="231"/>
      <c r="AE928" s="245"/>
      <c r="AF928" s="1350"/>
      <c r="AG928" s="1352"/>
      <c r="AH928" s="1352"/>
      <c r="AI928" s="1350"/>
      <c r="AJ928" s="1352"/>
      <c r="AK928" s="1352"/>
      <c r="AL928" s="772"/>
    </row>
    <row r="929" spans="1:38" ht="11.25" customHeight="1">
      <c r="A929" t="s">
        <v>1019</v>
      </c>
      <c r="E929" s="557"/>
      <c r="F929" s="1339"/>
      <c r="G929" s="1340"/>
      <c r="H929" s="1335" t="s">
        <v>1180</v>
      </c>
      <c r="I929" s="1347"/>
      <c r="J929" s="1363"/>
      <c r="K929" s="1349"/>
      <c r="L929" s="1079"/>
      <c r="M929" s="1080"/>
      <c r="N929" s="1355"/>
      <c r="O929" s="1356"/>
      <c r="P929" s="1358"/>
      <c r="Q929" s="1308"/>
      <c r="R929" s="1308"/>
      <c r="S929" s="1361"/>
      <c r="T929" s="1308"/>
      <c r="U929" s="1308"/>
      <c r="V929" s="1308"/>
      <c r="W929" s="1308"/>
      <c r="X929" s="1308"/>
      <c r="Y929" s="1308"/>
      <c r="AA929" s="778">
        <v>1</v>
      </c>
      <c r="AB929" s="779" t="s">
        <v>1118</v>
      </c>
      <c r="AC929" s="237">
        <v>101.6293</v>
      </c>
      <c r="AD929" s="779" t="str">
        <f>AB929</f>
        <v xml:space="preserve">  Средства, полученные за счет платы за подключение (технологическое присоединение)</v>
      </c>
      <c r="AE929" s="237">
        <v>283.23167999999998</v>
      </c>
      <c r="AF929" s="1350"/>
      <c r="AG929" s="1352"/>
      <c r="AH929" s="1352"/>
      <c r="AI929" s="1350"/>
      <c r="AJ929" s="1352"/>
      <c r="AK929" s="1352"/>
      <c r="AL929" s="772"/>
    </row>
    <row r="930" spans="1:38" ht="11.25" customHeight="1">
      <c r="A930" t="s">
        <v>1019</v>
      </c>
      <c r="E930" s="557"/>
      <c r="F930" s="1340"/>
      <c r="G930" s="1340"/>
      <c r="H930" s="1340"/>
      <c r="I930" s="1340"/>
      <c r="J930" s="1340"/>
      <c r="K930" s="1340"/>
      <c r="L930" s="1340"/>
      <c r="M930" s="1340"/>
      <c r="N930" s="1340"/>
      <c r="O930" s="1340"/>
      <c r="P930" s="1340"/>
      <c r="Q930" s="1340"/>
      <c r="R930" s="1340"/>
      <c r="S930" s="1340"/>
      <c r="T930" s="1340"/>
      <c r="U930" s="1340"/>
      <c r="V930" s="1340"/>
      <c r="W930" s="1340"/>
      <c r="X930" s="1340"/>
      <c r="Y930" s="1340"/>
      <c r="Z930" s="181" t="s">
        <v>103</v>
      </c>
      <c r="AA930" s="780" t="s">
        <v>102</v>
      </c>
      <c r="AB930" s="779" t="s">
        <v>1138</v>
      </c>
      <c r="AC930" s="237">
        <v>0</v>
      </c>
      <c r="AD930" s="779" t="str">
        <f>AB930</f>
        <v xml:space="preserve">  Прочие собственные средства</v>
      </c>
      <c r="AE930" s="237">
        <v>20.828900000000001</v>
      </c>
      <c r="AF930" s="1351"/>
      <c r="AG930" s="1353"/>
      <c r="AH930" s="1353"/>
      <c r="AI930" s="1351"/>
      <c r="AJ930" s="1353"/>
      <c r="AK930" s="1354"/>
      <c r="AL930" s="772"/>
    </row>
    <row r="931" spans="1:38" ht="11.25" customHeight="1">
      <c r="A931" t="s">
        <v>1019</v>
      </c>
      <c r="E931" s="557"/>
      <c r="F931" s="1339"/>
      <c r="G931" s="1340"/>
      <c r="H931" s="1335" t="s">
        <v>1180</v>
      </c>
      <c r="I931" s="1347"/>
      <c r="J931" s="1363"/>
      <c r="K931" s="1349"/>
      <c r="L931" s="1079"/>
      <c r="M931" s="1080"/>
      <c r="N931" s="1355"/>
      <c r="O931" s="1356"/>
      <c r="P931" s="1359"/>
      <c r="Q931" s="1308"/>
      <c r="R931" s="1308"/>
      <c r="S931" s="1361"/>
      <c r="T931" s="1308"/>
      <c r="U931" s="1308"/>
      <c r="V931" s="1308"/>
      <c r="W931" s="1308"/>
      <c r="X931" s="1308"/>
      <c r="Y931" s="1308"/>
      <c r="Z931" s="229"/>
      <c r="AA931" s="230"/>
      <c r="AB931" s="44" t="s">
        <v>1059</v>
      </c>
      <c r="AC931" s="231"/>
      <c r="AD931" s="231"/>
      <c r="AE931" s="246"/>
      <c r="AF931" s="1350"/>
      <c r="AG931" s="1352"/>
      <c r="AH931" s="1352"/>
      <c r="AI931" s="1350"/>
      <c r="AJ931" s="1352"/>
      <c r="AK931" s="1352"/>
      <c r="AL931" s="772"/>
    </row>
    <row r="932" spans="1:38" ht="11.25" customHeight="1">
      <c r="A932" t="s">
        <v>1019</v>
      </c>
      <c r="E932" s="557"/>
      <c r="F932" s="1339"/>
      <c r="G932" s="1340"/>
      <c r="H932" s="1335" t="s">
        <v>1180</v>
      </c>
      <c r="I932" s="1347"/>
      <c r="J932" s="1363"/>
      <c r="K932" s="1349"/>
      <c r="L932" s="1079"/>
      <c r="M932" s="1080"/>
      <c r="N932" s="229"/>
      <c r="O932" s="230"/>
      <c r="P932" s="44" t="s">
        <v>1060</v>
      </c>
      <c r="Q932" s="230"/>
      <c r="R932" s="230"/>
      <c r="S932" s="230"/>
      <c r="T932" s="230"/>
      <c r="U932" s="230"/>
      <c r="V932" s="230"/>
      <c r="W932" s="230"/>
      <c r="X932" s="230"/>
      <c r="Y932" s="230"/>
      <c r="Z932" s="230"/>
      <c r="AA932" s="230"/>
      <c r="AB932" s="230"/>
      <c r="AC932" s="230"/>
      <c r="AD932" s="230"/>
      <c r="AE932" s="247"/>
      <c r="AF932" s="1350"/>
      <c r="AG932" s="1352"/>
      <c r="AH932" s="1352"/>
      <c r="AI932" s="1350"/>
      <c r="AJ932" s="1352"/>
      <c r="AK932" s="1352"/>
      <c r="AL932" s="772"/>
    </row>
    <row r="933" spans="1:38" ht="11.25" customHeight="1">
      <c r="A933" t="s">
        <v>1019</v>
      </c>
      <c r="B933" t="s">
        <v>22</v>
      </c>
      <c r="E933" s="557"/>
      <c r="F933" s="1339"/>
      <c r="G933" s="1325" t="s">
        <v>103</v>
      </c>
      <c r="H933" s="1335" t="s">
        <v>1184</v>
      </c>
      <c r="I933" s="1347" t="s">
        <v>1111</v>
      </c>
      <c r="J933" s="1360" t="s">
        <v>22</v>
      </c>
      <c r="K933" s="1349" t="s">
        <v>1133</v>
      </c>
      <c r="L933" s="1079" t="s">
        <v>19</v>
      </c>
      <c r="M933" s="1080"/>
      <c r="N933" s="242"/>
      <c r="O933" s="243" t="s">
        <v>384</v>
      </c>
      <c r="P933" s="244"/>
      <c r="Q933" s="244"/>
      <c r="R933" s="244"/>
      <c r="S933" s="244"/>
      <c r="T933" s="244"/>
      <c r="U933" s="244"/>
      <c r="V933" s="244"/>
      <c r="W933" s="244"/>
      <c r="X933" s="244"/>
      <c r="Y933" s="244"/>
      <c r="Z933" s="244"/>
      <c r="AA933" s="244"/>
      <c r="AB933" s="244"/>
      <c r="AC933" s="244"/>
      <c r="AD933" s="244"/>
      <c r="AE933" s="244"/>
      <c r="AF933" s="1350">
        <v>2</v>
      </c>
      <c r="AG933" s="1352" t="s">
        <v>1055</v>
      </c>
      <c r="AH933" s="1352" t="s">
        <v>1079</v>
      </c>
      <c r="AI933" s="1350">
        <v>2</v>
      </c>
      <c r="AJ933" s="1352" t="s">
        <v>1055</v>
      </c>
      <c r="AK933" s="1352" t="s">
        <v>1079</v>
      </c>
      <c r="AL933" s="772"/>
    </row>
    <row r="934" spans="1:38" ht="11.25" customHeight="1">
      <c r="A934" t="s">
        <v>1019</v>
      </c>
      <c r="E934" s="557"/>
      <c r="F934" s="1339"/>
      <c r="G934" s="1340"/>
      <c r="H934" s="1335" t="s">
        <v>1182</v>
      </c>
      <c r="I934" s="1347"/>
      <c r="J934" s="1360"/>
      <c r="K934" s="1349"/>
      <c r="L934" s="1079"/>
      <c r="M934" s="1080"/>
      <c r="N934" s="1355"/>
      <c r="O934" s="1356">
        <v>1</v>
      </c>
      <c r="P934" s="1357" t="s">
        <v>19</v>
      </c>
      <c r="Q934" s="1308" t="s">
        <v>22</v>
      </c>
      <c r="R934" s="1308" t="s">
        <v>22</v>
      </c>
      <c r="S934" s="1308" t="s">
        <v>22</v>
      </c>
      <c r="T934" s="1308" t="s">
        <v>22</v>
      </c>
      <c r="U934" s="1308" t="s">
        <v>22</v>
      </c>
      <c r="V934" s="1308" t="s">
        <v>22</v>
      </c>
      <c r="W934" s="1308" t="s">
        <v>22</v>
      </c>
      <c r="X934" s="1308" t="s">
        <v>22</v>
      </c>
      <c r="Y934" s="1308"/>
      <c r="Z934" s="229"/>
      <c r="AA934" s="230"/>
      <c r="AB934" s="230"/>
      <c r="AC934" s="231"/>
      <c r="AD934" s="231"/>
      <c r="AE934" s="245"/>
      <c r="AF934" s="1350"/>
      <c r="AG934" s="1352"/>
      <c r="AH934" s="1352"/>
      <c r="AI934" s="1350"/>
      <c r="AJ934" s="1352"/>
      <c r="AK934" s="1352"/>
      <c r="AL934" s="772"/>
    </row>
    <row r="935" spans="1:38" ht="11.25" customHeight="1">
      <c r="A935" t="s">
        <v>1019</v>
      </c>
      <c r="E935" s="557"/>
      <c r="F935" s="1339"/>
      <c r="G935" s="1340"/>
      <c r="H935" s="1335" t="s">
        <v>1182</v>
      </c>
      <c r="I935" s="1347"/>
      <c r="J935" s="1360"/>
      <c r="K935" s="1349"/>
      <c r="L935" s="1079"/>
      <c r="M935" s="1080"/>
      <c r="N935" s="1355"/>
      <c r="O935" s="1356"/>
      <c r="P935" s="1358"/>
      <c r="Q935" s="1308"/>
      <c r="R935" s="1308"/>
      <c r="S935" s="1361"/>
      <c r="T935" s="1308"/>
      <c r="U935" s="1308"/>
      <c r="V935" s="1308"/>
      <c r="W935" s="1308"/>
      <c r="X935" s="1308"/>
      <c r="Y935" s="1308"/>
      <c r="AA935" s="778">
        <v>1</v>
      </c>
      <c r="AB935" s="779" t="s">
        <v>1119</v>
      </c>
      <c r="AC935" s="237">
        <v>12548.5253544319</v>
      </c>
      <c r="AD935" s="779" t="str">
        <f>AB935</f>
        <v xml:space="preserve">  Прибыль направляемая на инвестиции</v>
      </c>
      <c r="AE935" s="237">
        <v>12548.5253544319</v>
      </c>
      <c r="AF935" s="1350"/>
      <c r="AG935" s="1352"/>
      <c r="AH935" s="1352"/>
      <c r="AI935" s="1350"/>
      <c r="AJ935" s="1352"/>
      <c r="AK935" s="1352"/>
      <c r="AL935" s="772"/>
    </row>
    <row r="936" spans="1:38" ht="11.25" customHeight="1">
      <c r="A936" t="s">
        <v>1019</v>
      </c>
      <c r="E936" s="557"/>
      <c r="F936" s="1340"/>
      <c r="G936" s="1340"/>
      <c r="H936" s="1340"/>
      <c r="I936" s="1340"/>
      <c r="J936" s="1340"/>
      <c r="K936" s="1340"/>
      <c r="L936" s="1340"/>
      <c r="M936" s="1340"/>
      <c r="N936" s="1340"/>
      <c r="O936" s="1340"/>
      <c r="P936" s="1340"/>
      <c r="Q936" s="1340"/>
      <c r="R936" s="1340"/>
      <c r="S936" s="1340"/>
      <c r="T936" s="1340"/>
      <c r="U936" s="1340"/>
      <c r="V936" s="1340"/>
      <c r="W936" s="1340"/>
      <c r="X936" s="1340"/>
      <c r="Y936" s="1340"/>
      <c r="Z936" s="181" t="s">
        <v>103</v>
      </c>
      <c r="AA936" s="780" t="s">
        <v>102</v>
      </c>
      <c r="AB936" s="779" t="s">
        <v>1120</v>
      </c>
      <c r="AC936" s="237">
        <v>8785.8938031239795</v>
      </c>
      <c r="AD936" s="779" t="str">
        <f>AB936</f>
        <v xml:space="preserve">     Прочие амортизационные отчисления</v>
      </c>
      <c r="AE936" s="237">
        <v>8785.8938031239995</v>
      </c>
      <c r="AF936" s="1351"/>
      <c r="AG936" s="1353"/>
      <c r="AH936" s="1353"/>
      <c r="AI936" s="1351"/>
      <c r="AJ936" s="1353"/>
      <c r="AK936" s="1354"/>
      <c r="AL936" s="772"/>
    </row>
    <row r="937" spans="1:38" ht="11.25" customHeight="1">
      <c r="A937" t="s">
        <v>1019</v>
      </c>
      <c r="E937" s="557"/>
      <c r="F937" s="1340"/>
      <c r="G937" s="1340"/>
      <c r="H937" s="1340"/>
      <c r="I937" s="1340"/>
      <c r="J937" s="1340"/>
      <c r="K937" s="1340"/>
      <c r="L937" s="1340"/>
      <c r="M937" s="1340"/>
      <c r="N937" s="1340"/>
      <c r="O937" s="1340"/>
      <c r="P937" s="1340"/>
      <c r="Q937" s="1340"/>
      <c r="R937" s="1340"/>
      <c r="S937" s="1340"/>
      <c r="T937" s="1340"/>
      <c r="U937" s="1340"/>
      <c r="V937" s="1340"/>
      <c r="W937" s="1340"/>
      <c r="X937" s="1340"/>
      <c r="Y937" s="1340"/>
      <c r="Z937" s="181" t="s">
        <v>103</v>
      </c>
      <c r="AA937" s="780" t="s">
        <v>89</v>
      </c>
      <c r="AB937" s="779" t="s">
        <v>1138</v>
      </c>
      <c r="AC937" s="237">
        <v>3782.19484537978</v>
      </c>
      <c r="AD937" s="779" t="str">
        <f>AB937</f>
        <v xml:space="preserve">  Прочие собственные средства</v>
      </c>
      <c r="AE937" s="237">
        <v>3949.3101000000001</v>
      </c>
      <c r="AF937" s="1351"/>
      <c r="AG937" s="1353"/>
      <c r="AH937" s="1353"/>
      <c r="AI937" s="1351"/>
      <c r="AJ937" s="1353"/>
      <c r="AK937" s="1354"/>
      <c r="AL937" s="772"/>
    </row>
    <row r="938" spans="1:38" ht="11.25" customHeight="1">
      <c r="A938" t="s">
        <v>1019</v>
      </c>
      <c r="E938" s="557"/>
      <c r="F938" s="1340"/>
      <c r="G938" s="1340"/>
      <c r="H938" s="1340"/>
      <c r="I938" s="1340"/>
      <c r="J938" s="1340"/>
      <c r="K938" s="1340"/>
      <c r="L938" s="1340"/>
      <c r="M938" s="1340"/>
      <c r="N938" s="1340"/>
      <c r="O938" s="1340"/>
      <c r="P938" s="1340"/>
      <c r="Q938" s="1340"/>
      <c r="R938" s="1340"/>
      <c r="S938" s="1340"/>
      <c r="T938" s="1340"/>
      <c r="U938" s="1340"/>
      <c r="V938" s="1340"/>
      <c r="W938" s="1340"/>
      <c r="X938" s="1340"/>
      <c r="Y938" s="1340"/>
      <c r="Z938" s="181" t="s">
        <v>103</v>
      </c>
      <c r="AA938" s="780" t="s">
        <v>90</v>
      </c>
      <c r="AB938" s="779" t="s">
        <v>1057</v>
      </c>
      <c r="AC938" s="237">
        <v>0</v>
      </c>
      <c r="AD938" s="779" t="str">
        <f>AB938</f>
        <v xml:space="preserve">  Кредиты</v>
      </c>
      <c r="AE938" s="237">
        <v>1736.40756244409</v>
      </c>
      <c r="AF938" s="1351"/>
      <c r="AG938" s="1353"/>
      <c r="AH938" s="1353"/>
      <c r="AI938" s="1351"/>
      <c r="AJ938" s="1353"/>
      <c r="AK938" s="1354"/>
      <c r="AL938" s="772"/>
    </row>
    <row r="939" spans="1:38" ht="11.25" customHeight="1">
      <c r="A939" t="s">
        <v>1019</v>
      </c>
      <c r="E939" s="557"/>
      <c r="F939" s="1339"/>
      <c r="G939" s="1340"/>
      <c r="H939" s="1335" t="s">
        <v>1182</v>
      </c>
      <c r="I939" s="1347"/>
      <c r="J939" s="1360"/>
      <c r="K939" s="1349"/>
      <c r="L939" s="1079"/>
      <c r="M939" s="1080"/>
      <c r="N939" s="1355"/>
      <c r="O939" s="1356"/>
      <c r="P939" s="1359"/>
      <c r="Q939" s="1308"/>
      <c r="R939" s="1308"/>
      <c r="S939" s="1361"/>
      <c r="T939" s="1308"/>
      <c r="U939" s="1308"/>
      <c r="V939" s="1308"/>
      <c r="W939" s="1308"/>
      <c r="X939" s="1308"/>
      <c r="Y939" s="1308"/>
      <c r="Z939" s="229"/>
      <c r="AA939" s="230"/>
      <c r="AB939" s="44" t="s">
        <v>1059</v>
      </c>
      <c r="AC939" s="231"/>
      <c r="AD939" s="231"/>
      <c r="AE939" s="246"/>
      <c r="AF939" s="1350"/>
      <c r="AG939" s="1352"/>
      <c r="AH939" s="1352"/>
      <c r="AI939" s="1350"/>
      <c r="AJ939" s="1352"/>
      <c r="AK939" s="1352"/>
      <c r="AL939" s="772"/>
    </row>
    <row r="940" spans="1:38" ht="11.25" customHeight="1">
      <c r="A940" t="s">
        <v>1019</v>
      </c>
      <c r="E940" s="557"/>
      <c r="F940" s="1339"/>
      <c r="G940" s="1340"/>
      <c r="H940" s="1335" t="s">
        <v>1182</v>
      </c>
      <c r="I940" s="1347"/>
      <c r="J940" s="1360"/>
      <c r="K940" s="1349"/>
      <c r="L940" s="1079"/>
      <c r="M940" s="1080"/>
      <c r="N940" s="229"/>
      <c r="O940" s="230"/>
      <c r="P940" s="44" t="s">
        <v>1060</v>
      </c>
      <c r="Q940" s="230"/>
      <c r="R940" s="230"/>
      <c r="S940" s="230"/>
      <c r="T940" s="230"/>
      <c r="U940" s="230"/>
      <c r="V940" s="230"/>
      <c r="W940" s="230"/>
      <c r="X940" s="230"/>
      <c r="Y940" s="230"/>
      <c r="Z940" s="230"/>
      <c r="AA940" s="230"/>
      <c r="AB940" s="230"/>
      <c r="AC940" s="230"/>
      <c r="AD940" s="230"/>
      <c r="AE940" s="247"/>
      <c r="AF940" s="1350"/>
      <c r="AG940" s="1352"/>
      <c r="AH940" s="1352"/>
      <c r="AI940" s="1350"/>
      <c r="AJ940" s="1352"/>
      <c r="AK940" s="1352"/>
      <c r="AL940" s="772"/>
    </row>
    <row r="941" spans="1:38" ht="11.25" customHeight="1">
      <c r="A941" t="s">
        <v>1019</v>
      </c>
      <c r="B941" t="s">
        <v>22</v>
      </c>
      <c r="E941" s="557"/>
      <c r="F941" s="1339"/>
      <c r="G941" s="1325" t="s">
        <v>103</v>
      </c>
      <c r="H941" s="1335" t="s">
        <v>1185</v>
      </c>
      <c r="I941" s="1347" t="s">
        <v>1111</v>
      </c>
      <c r="J941" s="1360" t="s">
        <v>22</v>
      </c>
      <c r="K941" s="1349" t="s">
        <v>1135</v>
      </c>
      <c r="L941" s="1079" t="s">
        <v>19</v>
      </c>
      <c r="M941" s="1080"/>
      <c r="N941" s="242"/>
      <c r="O941" s="243" t="s">
        <v>384</v>
      </c>
      <c r="P941" s="244"/>
      <c r="Q941" s="244"/>
      <c r="R941" s="244"/>
      <c r="S941" s="244"/>
      <c r="T941" s="244"/>
      <c r="U941" s="244"/>
      <c r="V941" s="244"/>
      <c r="W941" s="244"/>
      <c r="X941" s="244"/>
      <c r="Y941" s="244"/>
      <c r="Z941" s="244"/>
      <c r="AA941" s="244"/>
      <c r="AB941" s="244"/>
      <c r="AC941" s="244"/>
      <c r="AD941" s="244"/>
      <c r="AE941" s="244"/>
      <c r="AF941" s="1350">
        <v>2</v>
      </c>
      <c r="AG941" s="1352" t="s">
        <v>1055</v>
      </c>
      <c r="AH941" s="1352" t="s">
        <v>1079</v>
      </c>
      <c r="AI941" s="1350">
        <v>2</v>
      </c>
      <c r="AJ941" s="1352" t="s">
        <v>1055</v>
      </c>
      <c r="AK941" s="1352" t="s">
        <v>1079</v>
      </c>
      <c r="AL941" s="772"/>
    </row>
    <row r="942" spans="1:38" ht="11.25" customHeight="1">
      <c r="A942" t="s">
        <v>1019</v>
      </c>
      <c r="E942" s="557"/>
      <c r="F942" s="1339"/>
      <c r="G942" s="1340"/>
      <c r="H942" s="1335" t="s">
        <v>1184</v>
      </c>
      <c r="I942" s="1347"/>
      <c r="J942" s="1360"/>
      <c r="K942" s="1349"/>
      <c r="L942" s="1079"/>
      <c r="M942" s="1080"/>
      <c r="N942" s="1355"/>
      <c r="O942" s="1356">
        <v>1</v>
      </c>
      <c r="P942" s="1357" t="s">
        <v>19</v>
      </c>
      <c r="Q942" s="1308" t="s">
        <v>22</v>
      </c>
      <c r="R942" s="1308" t="s">
        <v>22</v>
      </c>
      <c r="S942" s="1308" t="s">
        <v>22</v>
      </c>
      <c r="T942" s="1308" t="s">
        <v>22</v>
      </c>
      <c r="U942" s="1308" t="s">
        <v>22</v>
      </c>
      <c r="V942" s="1308" t="s">
        <v>22</v>
      </c>
      <c r="W942" s="1308" t="s">
        <v>22</v>
      </c>
      <c r="X942" s="1308" t="s">
        <v>22</v>
      </c>
      <c r="Y942" s="1308"/>
      <c r="Z942" s="229"/>
      <c r="AA942" s="230"/>
      <c r="AB942" s="230"/>
      <c r="AC942" s="231"/>
      <c r="AD942" s="231"/>
      <c r="AE942" s="245"/>
      <c r="AF942" s="1350"/>
      <c r="AG942" s="1352"/>
      <c r="AH942" s="1352"/>
      <c r="AI942" s="1350"/>
      <c r="AJ942" s="1352"/>
      <c r="AK942" s="1352"/>
      <c r="AL942" s="772"/>
    </row>
    <row r="943" spans="1:38" ht="11.25" customHeight="1">
      <c r="A943" t="s">
        <v>1019</v>
      </c>
      <c r="E943" s="557"/>
      <c r="F943" s="1339"/>
      <c r="G943" s="1340"/>
      <c r="H943" s="1335" t="s">
        <v>1184</v>
      </c>
      <c r="I943" s="1347"/>
      <c r="J943" s="1360"/>
      <c r="K943" s="1349"/>
      <c r="L943" s="1079"/>
      <c r="M943" s="1080"/>
      <c r="N943" s="1355"/>
      <c r="O943" s="1356"/>
      <c r="P943" s="1358"/>
      <c r="Q943" s="1308"/>
      <c r="R943" s="1308"/>
      <c r="S943" s="1361"/>
      <c r="T943" s="1308"/>
      <c r="U943" s="1308"/>
      <c r="V943" s="1308"/>
      <c r="W943" s="1308"/>
      <c r="X943" s="1308"/>
      <c r="Y943" s="1308"/>
      <c r="AA943" s="778">
        <v>1</v>
      </c>
      <c r="AB943" s="779" t="s">
        <v>1119</v>
      </c>
      <c r="AC943" s="237">
        <v>31333.4707817735</v>
      </c>
      <c r="AD943" s="779" t="str">
        <f>AB943</f>
        <v xml:space="preserve">  Прибыль направляемая на инвестиции</v>
      </c>
      <c r="AE943" s="237">
        <v>31333.4707817735</v>
      </c>
      <c r="AF943" s="1350"/>
      <c r="AG943" s="1352"/>
      <c r="AH943" s="1352"/>
      <c r="AI943" s="1350"/>
      <c r="AJ943" s="1352"/>
      <c r="AK943" s="1352"/>
      <c r="AL943" s="772"/>
    </row>
    <row r="944" spans="1:38" ht="11.25" customHeight="1">
      <c r="A944" t="s">
        <v>1019</v>
      </c>
      <c r="E944" s="557"/>
      <c r="F944" s="1340"/>
      <c r="G944" s="1340"/>
      <c r="H944" s="1340"/>
      <c r="I944" s="1340"/>
      <c r="J944" s="1340"/>
      <c r="K944" s="1340"/>
      <c r="L944" s="1340"/>
      <c r="M944" s="1340"/>
      <c r="N944" s="1340"/>
      <c r="O944" s="1340"/>
      <c r="P944" s="1340"/>
      <c r="Q944" s="1340"/>
      <c r="R944" s="1340"/>
      <c r="S944" s="1340"/>
      <c r="T944" s="1340"/>
      <c r="U944" s="1340"/>
      <c r="V944" s="1340"/>
      <c r="W944" s="1340"/>
      <c r="X944" s="1340"/>
      <c r="Y944" s="1340"/>
      <c r="Z944" s="181" t="s">
        <v>103</v>
      </c>
      <c r="AA944" s="780" t="s">
        <v>102</v>
      </c>
      <c r="AB944" s="779" t="s">
        <v>1120</v>
      </c>
      <c r="AC944" s="237">
        <v>21938.238876388899</v>
      </c>
      <c r="AD944" s="779" t="str">
        <f>AB944</f>
        <v xml:space="preserve">     Прочие амортизационные отчисления</v>
      </c>
      <c r="AE944" s="237">
        <v>21938.238876388899</v>
      </c>
      <c r="AF944" s="1351"/>
      <c r="AG944" s="1353"/>
      <c r="AH944" s="1353"/>
      <c r="AI944" s="1351"/>
      <c r="AJ944" s="1353"/>
      <c r="AK944" s="1354"/>
      <c r="AL944" s="772"/>
    </row>
    <row r="945" spans="1:38" ht="11.25" customHeight="1">
      <c r="A945" t="s">
        <v>1019</v>
      </c>
      <c r="E945" s="557"/>
      <c r="F945" s="1340"/>
      <c r="G945" s="1340"/>
      <c r="H945" s="1340"/>
      <c r="I945" s="1340"/>
      <c r="J945" s="1340"/>
      <c r="K945" s="1340"/>
      <c r="L945" s="1340"/>
      <c r="M945" s="1340"/>
      <c r="N945" s="1340"/>
      <c r="O945" s="1340"/>
      <c r="P945" s="1340"/>
      <c r="Q945" s="1340"/>
      <c r="R945" s="1340"/>
      <c r="S945" s="1340"/>
      <c r="T945" s="1340"/>
      <c r="U945" s="1340"/>
      <c r="V945" s="1340"/>
      <c r="W945" s="1340"/>
      <c r="X945" s="1340"/>
      <c r="Y945" s="1340"/>
      <c r="Z945" s="181" t="s">
        <v>103</v>
      </c>
      <c r="AA945" s="780" t="s">
        <v>89</v>
      </c>
      <c r="AB945" s="779" t="s">
        <v>1138</v>
      </c>
      <c r="AC945" s="237">
        <v>9444.0811435126998</v>
      </c>
      <c r="AD945" s="779" t="str">
        <f>AB945</f>
        <v xml:space="preserve">  Прочие собственные средства</v>
      </c>
      <c r="AE945" s="237">
        <v>9640.3873700000204</v>
      </c>
      <c r="AF945" s="1351"/>
      <c r="AG945" s="1353"/>
      <c r="AH945" s="1353"/>
      <c r="AI945" s="1351"/>
      <c r="AJ945" s="1353"/>
      <c r="AK945" s="1354"/>
      <c r="AL945" s="772"/>
    </row>
    <row r="946" spans="1:38" ht="11.25" customHeight="1">
      <c r="A946" t="s">
        <v>1019</v>
      </c>
      <c r="E946" s="557"/>
      <c r="F946" s="1340"/>
      <c r="G946" s="1340"/>
      <c r="H946" s="1340"/>
      <c r="I946" s="1340"/>
      <c r="J946" s="1340"/>
      <c r="K946" s="1340"/>
      <c r="L946" s="1340"/>
      <c r="M946" s="1340"/>
      <c r="N946" s="1340"/>
      <c r="O946" s="1340"/>
      <c r="P946" s="1340"/>
      <c r="Q946" s="1340"/>
      <c r="R946" s="1340"/>
      <c r="S946" s="1340"/>
      <c r="T946" s="1340"/>
      <c r="U946" s="1340"/>
      <c r="V946" s="1340"/>
      <c r="W946" s="1340"/>
      <c r="X946" s="1340"/>
      <c r="Y946" s="1340"/>
      <c r="Z946" s="181" t="s">
        <v>103</v>
      </c>
      <c r="AA946" s="780" t="s">
        <v>90</v>
      </c>
      <c r="AB946" s="779" t="s">
        <v>1057</v>
      </c>
      <c r="AC946" s="237">
        <v>0</v>
      </c>
      <c r="AD946" s="779" t="str">
        <f>AB946</f>
        <v xml:space="preserve">  Кредиты</v>
      </c>
      <c r="AE946" s="237">
        <v>868.83958183759398</v>
      </c>
      <c r="AF946" s="1351"/>
      <c r="AG946" s="1353"/>
      <c r="AH946" s="1353"/>
      <c r="AI946" s="1351"/>
      <c r="AJ946" s="1353"/>
      <c r="AK946" s="1354"/>
      <c r="AL946" s="772"/>
    </row>
    <row r="947" spans="1:38" ht="11.25" customHeight="1">
      <c r="A947" t="s">
        <v>1019</v>
      </c>
      <c r="E947" s="557"/>
      <c r="F947" s="1339"/>
      <c r="G947" s="1340"/>
      <c r="H947" s="1335" t="s">
        <v>1184</v>
      </c>
      <c r="I947" s="1347"/>
      <c r="J947" s="1360"/>
      <c r="K947" s="1349"/>
      <c r="L947" s="1079"/>
      <c r="M947" s="1080"/>
      <c r="N947" s="1355"/>
      <c r="O947" s="1356"/>
      <c r="P947" s="1359"/>
      <c r="Q947" s="1308"/>
      <c r="R947" s="1308"/>
      <c r="S947" s="1361"/>
      <c r="T947" s="1308"/>
      <c r="U947" s="1308"/>
      <c r="V947" s="1308"/>
      <c r="W947" s="1308"/>
      <c r="X947" s="1308"/>
      <c r="Y947" s="1308"/>
      <c r="Z947" s="229"/>
      <c r="AA947" s="230"/>
      <c r="AB947" s="44" t="s">
        <v>1059</v>
      </c>
      <c r="AC947" s="231"/>
      <c r="AD947" s="231"/>
      <c r="AE947" s="246"/>
      <c r="AF947" s="1350"/>
      <c r="AG947" s="1352"/>
      <c r="AH947" s="1352"/>
      <c r="AI947" s="1350"/>
      <c r="AJ947" s="1352"/>
      <c r="AK947" s="1352"/>
      <c r="AL947" s="772"/>
    </row>
    <row r="948" spans="1:38" ht="11.25" customHeight="1">
      <c r="A948" t="s">
        <v>1019</v>
      </c>
      <c r="E948" s="557"/>
      <c r="F948" s="1339"/>
      <c r="G948" s="1340"/>
      <c r="H948" s="1335" t="s">
        <v>1184</v>
      </c>
      <c r="I948" s="1347"/>
      <c r="J948" s="1360"/>
      <c r="K948" s="1349"/>
      <c r="L948" s="1079"/>
      <c r="M948" s="1080"/>
      <c r="N948" s="229"/>
      <c r="O948" s="230"/>
      <c r="P948" s="44" t="s">
        <v>1060</v>
      </c>
      <c r="Q948" s="230"/>
      <c r="R948" s="230"/>
      <c r="S948" s="230"/>
      <c r="T948" s="230"/>
      <c r="U948" s="230"/>
      <c r="V948" s="230"/>
      <c r="W948" s="230"/>
      <c r="X948" s="230"/>
      <c r="Y948" s="230"/>
      <c r="Z948" s="230"/>
      <c r="AA948" s="230"/>
      <c r="AB948" s="230"/>
      <c r="AC948" s="230"/>
      <c r="AD948" s="230"/>
      <c r="AE948" s="247"/>
      <c r="AF948" s="1350"/>
      <c r="AG948" s="1352"/>
      <c r="AH948" s="1352"/>
      <c r="AI948" s="1350"/>
      <c r="AJ948" s="1352"/>
      <c r="AK948" s="1352"/>
      <c r="AL948" s="772"/>
    </row>
    <row r="949" spans="1:38" ht="11.25" customHeight="1">
      <c r="A949" t="s">
        <v>1019</v>
      </c>
      <c r="B949" t="s">
        <v>22</v>
      </c>
      <c r="E949" s="557"/>
      <c r="F949" s="1339"/>
      <c r="G949" s="1325" t="s">
        <v>103</v>
      </c>
      <c r="H949" s="1335" t="s">
        <v>1186</v>
      </c>
      <c r="I949" s="1347" t="s">
        <v>1111</v>
      </c>
      <c r="J949" s="1360" t="s">
        <v>22</v>
      </c>
      <c r="K949" s="1349" t="s">
        <v>1187</v>
      </c>
      <c r="L949" s="1079" t="s">
        <v>19</v>
      </c>
      <c r="M949" s="1080"/>
      <c r="N949" s="242"/>
      <c r="O949" s="243" t="s">
        <v>384</v>
      </c>
      <c r="P949" s="244"/>
      <c r="Q949" s="244"/>
      <c r="R949" s="244"/>
      <c r="S949" s="244"/>
      <c r="T949" s="244"/>
      <c r="U949" s="244"/>
      <c r="V949" s="244"/>
      <c r="W949" s="244"/>
      <c r="X949" s="244"/>
      <c r="Y949" s="244"/>
      <c r="Z949" s="244"/>
      <c r="AA949" s="244"/>
      <c r="AB949" s="244"/>
      <c r="AC949" s="244"/>
      <c r="AD949" s="244"/>
      <c r="AE949" s="244"/>
      <c r="AF949" s="1350">
        <v>2</v>
      </c>
      <c r="AG949" s="1352" t="s">
        <v>1055</v>
      </c>
      <c r="AH949" s="1352" t="s">
        <v>1079</v>
      </c>
      <c r="AI949" s="1350">
        <v>2</v>
      </c>
      <c r="AJ949" s="1352" t="s">
        <v>1055</v>
      </c>
      <c r="AK949" s="1352" t="s">
        <v>1079</v>
      </c>
      <c r="AL949" s="772"/>
    </row>
    <row r="950" spans="1:38" ht="11.25" customHeight="1">
      <c r="A950" t="s">
        <v>1019</v>
      </c>
      <c r="E950" s="557"/>
      <c r="F950" s="1339"/>
      <c r="G950" s="1340"/>
      <c r="H950" s="1335" t="s">
        <v>1185</v>
      </c>
      <c r="I950" s="1347"/>
      <c r="J950" s="1360"/>
      <c r="K950" s="1349"/>
      <c r="L950" s="1079"/>
      <c r="M950" s="1080"/>
      <c r="N950" s="1355"/>
      <c r="O950" s="1356">
        <v>1</v>
      </c>
      <c r="P950" s="1357" t="s">
        <v>19</v>
      </c>
      <c r="Q950" s="1308" t="s">
        <v>22</v>
      </c>
      <c r="R950" s="1308" t="s">
        <v>22</v>
      </c>
      <c r="S950" s="1308" t="s">
        <v>22</v>
      </c>
      <c r="T950" s="1308" t="s">
        <v>22</v>
      </c>
      <c r="U950" s="1308" t="s">
        <v>22</v>
      </c>
      <c r="V950" s="1308" t="s">
        <v>22</v>
      </c>
      <c r="W950" s="1308" t="s">
        <v>22</v>
      </c>
      <c r="X950" s="1308" t="s">
        <v>22</v>
      </c>
      <c r="Y950" s="1308"/>
      <c r="Z950" s="229"/>
      <c r="AA950" s="230"/>
      <c r="AB950" s="230"/>
      <c r="AC950" s="231"/>
      <c r="AD950" s="231"/>
      <c r="AE950" s="245"/>
      <c r="AF950" s="1350"/>
      <c r="AG950" s="1352"/>
      <c r="AH950" s="1352"/>
      <c r="AI950" s="1350"/>
      <c r="AJ950" s="1352"/>
      <c r="AK950" s="1352"/>
      <c r="AL950" s="772"/>
    </row>
    <row r="951" spans="1:38" ht="11.25" customHeight="1">
      <c r="A951" t="s">
        <v>1019</v>
      </c>
      <c r="E951" s="557"/>
      <c r="F951" s="1339"/>
      <c r="G951" s="1340"/>
      <c r="H951" s="1335" t="s">
        <v>1185</v>
      </c>
      <c r="I951" s="1347"/>
      <c r="J951" s="1360"/>
      <c r="K951" s="1349"/>
      <c r="L951" s="1079"/>
      <c r="M951" s="1080"/>
      <c r="N951" s="1355"/>
      <c r="O951" s="1356"/>
      <c r="P951" s="1358"/>
      <c r="Q951" s="1308"/>
      <c r="R951" s="1308"/>
      <c r="S951" s="1361"/>
      <c r="T951" s="1308"/>
      <c r="U951" s="1308"/>
      <c r="V951" s="1308"/>
      <c r="W951" s="1308"/>
      <c r="X951" s="1308"/>
      <c r="Y951" s="1308"/>
      <c r="AA951" s="778">
        <v>1</v>
      </c>
      <c r="AB951" s="779" t="s">
        <v>1119</v>
      </c>
      <c r="AC951" s="237">
        <v>11595.513506392001</v>
      </c>
      <c r="AD951" s="779" t="str">
        <f>AB951</f>
        <v xml:space="preserve">  Прибыль направляемая на инвестиции</v>
      </c>
      <c r="AE951" s="237">
        <v>10017.599384204599</v>
      </c>
      <c r="AF951" s="1350"/>
      <c r="AG951" s="1352"/>
      <c r="AH951" s="1352"/>
      <c r="AI951" s="1350"/>
      <c r="AJ951" s="1352"/>
      <c r="AK951" s="1352"/>
      <c r="AL951" s="772"/>
    </row>
    <row r="952" spans="1:38" ht="11.25" customHeight="1">
      <c r="A952" t="s">
        <v>1019</v>
      </c>
      <c r="E952" s="557"/>
      <c r="F952" s="1340"/>
      <c r="G952" s="1340"/>
      <c r="H952" s="1340"/>
      <c r="I952" s="1340"/>
      <c r="J952" s="1340"/>
      <c r="K952" s="1340"/>
      <c r="L952" s="1340"/>
      <c r="M952" s="1340"/>
      <c r="N952" s="1340"/>
      <c r="O952" s="1340"/>
      <c r="P952" s="1340"/>
      <c r="Q952" s="1340"/>
      <c r="R952" s="1340"/>
      <c r="S952" s="1340"/>
      <c r="T952" s="1340"/>
      <c r="U952" s="1340"/>
      <c r="V952" s="1340"/>
      <c r="W952" s="1340"/>
      <c r="X952" s="1340"/>
      <c r="Y952" s="1340"/>
      <c r="Z952" s="181" t="s">
        <v>103</v>
      </c>
      <c r="AA952" s="780" t="s">
        <v>102</v>
      </c>
      <c r="AB952" s="779" t="s">
        <v>1120</v>
      </c>
      <c r="AC952" s="237">
        <v>8118.6392330847302</v>
      </c>
      <c r="AD952" s="779" t="str">
        <f>AB952</f>
        <v xml:space="preserve">     Прочие амортизационные отчисления</v>
      </c>
      <c r="AE952" s="237">
        <v>7013.8571557953701</v>
      </c>
      <c r="AF952" s="1351"/>
      <c r="AG952" s="1353"/>
      <c r="AH952" s="1353"/>
      <c r="AI952" s="1351"/>
      <c r="AJ952" s="1353"/>
      <c r="AK952" s="1354"/>
      <c r="AL952" s="772"/>
    </row>
    <row r="953" spans="1:38" ht="11.25" customHeight="1">
      <c r="A953" t="s">
        <v>1019</v>
      </c>
      <c r="E953" s="557"/>
      <c r="F953" s="1340"/>
      <c r="G953" s="1340"/>
      <c r="H953" s="1340"/>
      <c r="I953" s="1340"/>
      <c r="J953" s="1340"/>
      <c r="K953" s="1340"/>
      <c r="L953" s="1340"/>
      <c r="M953" s="1340"/>
      <c r="N953" s="1340"/>
      <c r="O953" s="1340"/>
      <c r="P953" s="1340"/>
      <c r="Q953" s="1340"/>
      <c r="R953" s="1340"/>
      <c r="S953" s="1340"/>
      <c r="T953" s="1340"/>
      <c r="U953" s="1340"/>
      <c r="V953" s="1340"/>
      <c r="W953" s="1340"/>
      <c r="X953" s="1340"/>
      <c r="Y953" s="1340"/>
      <c r="Z953" s="181" t="s">
        <v>103</v>
      </c>
      <c r="AA953" s="780" t="s">
        <v>89</v>
      </c>
      <c r="AB953" s="779" t="s">
        <v>1138</v>
      </c>
      <c r="AC953" s="237">
        <v>3494.95181104431</v>
      </c>
      <c r="AD953" s="779" t="str">
        <f>AB953</f>
        <v xml:space="preserve">  Прочие собственные средства</v>
      </c>
      <c r="AE953" s="237">
        <v>2974.0755399999998</v>
      </c>
      <c r="AF953" s="1351"/>
      <c r="AG953" s="1353"/>
      <c r="AH953" s="1353"/>
      <c r="AI953" s="1351"/>
      <c r="AJ953" s="1353"/>
      <c r="AK953" s="1354"/>
      <c r="AL953" s="772"/>
    </row>
    <row r="954" spans="1:38" ht="11.25" customHeight="1">
      <c r="A954" t="s">
        <v>1019</v>
      </c>
      <c r="E954" s="557"/>
      <c r="F954" s="1339"/>
      <c r="G954" s="1340"/>
      <c r="H954" s="1335" t="s">
        <v>1185</v>
      </c>
      <c r="I954" s="1347"/>
      <c r="J954" s="1360"/>
      <c r="K954" s="1349"/>
      <c r="L954" s="1079"/>
      <c r="M954" s="1080"/>
      <c r="N954" s="1355"/>
      <c r="O954" s="1356"/>
      <c r="P954" s="1359"/>
      <c r="Q954" s="1308"/>
      <c r="R954" s="1308"/>
      <c r="S954" s="1361"/>
      <c r="T954" s="1308"/>
      <c r="U954" s="1308"/>
      <c r="V954" s="1308"/>
      <c r="W954" s="1308"/>
      <c r="X954" s="1308"/>
      <c r="Y954" s="1308"/>
      <c r="Z954" s="229"/>
      <c r="AA954" s="230"/>
      <c r="AB954" s="44" t="s">
        <v>1059</v>
      </c>
      <c r="AC954" s="231"/>
      <c r="AD954" s="231"/>
      <c r="AE954" s="246"/>
      <c r="AF954" s="1350"/>
      <c r="AG954" s="1352"/>
      <c r="AH954" s="1352"/>
      <c r="AI954" s="1350"/>
      <c r="AJ954" s="1352"/>
      <c r="AK954" s="1352"/>
      <c r="AL954" s="772"/>
    </row>
    <row r="955" spans="1:38" ht="11.25" customHeight="1">
      <c r="A955" t="s">
        <v>1019</v>
      </c>
      <c r="E955" s="557"/>
      <c r="F955" s="1339"/>
      <c r="G955" s="1340"/>
      <c r="H955" s="1335" t="s">
        <v>1185</v>
      </c>
      <c r="I955" s="1347"/>
      <c r="J955" s="1360"/>
      <c r="K955" s="1349"/>
      <c r="L955" s="1079"/>
      <c r="M955" s="1080"/>
      <c r="N955" s="229"/>
      <c r="O955" s="230"/>
      <c r="P955" s="44" t="s">
        <v>1060</v>
      </c>
      <c r="Q955" s="230"/>
      <c r="R955" s="230"/>
      <c r="S955" s="230"/>
      <c r="T955" s="230"/>
      <c r="U955" s="230"/>
      <c r="V955" s="230"/>
      <c r="W955" s="230"/>
      <c r="X955" s="230"/>
      <c r="Y955" s="230"/>
      <c r="Z955" s="230"/>
      <c r="AA955" s="230"/>
      <c r="AB955" s="230"/>
      <c r="AC955" s="230"/>
      <c r="AD955" s="230"/>
      <c r="AE955" s="247"/>
      <c r="AF955" s="1350"/>
      <c r="AG955" s="1352"/>
      <c r="AH955" s="1352"/>
      <c r="AI955" s="1350"/>
      <c r="AJ955" s="1352"/>
      <c r="AK955" s="1352"/>
      <c r="AL955" s="772"/>
    </row>
    <row r="956" spans="1:38" ht="11.25" customHeight="1">
      <c r="A956" t="s">
        <v>1019</v>
      </c>
      <c r="B956" t="s">
        <v>22</v>
      </c>
      <c r="E956" s="557"/>
      <c r="F956" s="1339"/>
      <c r="G956" s="1325" t="s">
        <v>103</v>
      </c>
      <c r="H956" s="1335" t="s">
        <v>1188</v>
      </c>
      <c r="I956" s="1347" t="s">
        <v>1111</v>
      </c>
      <c r="J956" s="1360" t="s">
        <v>22</v>
      </c>
      <c r="K956" s="1349" t="s">
        <v>1137</v>
      </c>
      <c r="L956" s="1079" t="s">
        <v>19</v>
      </c>
      <c r="M956" s="1080"/>
      <c r="N956" s="242"/>
      <c r="O956" s="243" t="s">
        <v>384</v>
      </c>
      <c r="P956" s="244"/>
      <c r="Q956" s="244"/>
      <c r="R956" s="244"/>
      <c r="S956" s="244"/>
      <c r="T956" s="244"/>
      <c r="U956" s="244"/>
      <c r="V956" s="244"/>
      <c r="W956" s="244"/>
      <c r="X956" s="244"/>
      <c r="Y956" s="244"/>
      <c r="Z956" s="244"/>
      <c r="AA956" s="244"/>
      <c r="AB956" s="244"/>
      <c r="AC956" s="244"/>
      <c r="AD956" s="244"/>
      <c r="AE956" s="244"/>
      <c r="AF956" s="1350">
        <v>2</v>
      </c>
      <c r="AG956" s="1352" t="s">
        <v>1055</v>
      </c>
      <c r="AH956" s="1352" t="s">
        <v>1079</v>
      </c>
      <c r="AI956" s="1350">
        <v>2</v>
      </c>
      <c r="AJ956" s="1352" t="s">
        <v>1055</v>
      </c>
      <c r="AK956" s="1352" t="s">
        <v>1079</v>
      </c>
      <c r="AL956" s="772"/>
    </row>
    <row r="957" spans="1:38" ht="11.25" customHeight="1">
      <c r="A957" t="s">
        <v>1019</v>
      </c>
      <c r="E957" s="557"/>
      <c r="F957" s="1339"/>
      <c r="G957" s="1340"/>
      <c r="H957" s="1335" t="s">
        <v>1186</v>
      </c>
      <c r="I957" s="1347"/>
      <c r="J957" s="1360"/>
      <c r="K957" s="1349"/>
      <c r="L957" s="1079"/>
      <c r="M957" s="1080"/>
      <c r="N957" s="1355"/>
      <c r="O957" s="1356">
        <v>1</v>
      </c>
      <c r="P957" s="1357" t="s">
        <v>19</v>
      </c>
      <c r="Q957" s="1308" t="s">
        <v>22</v>
      </c>
      <c r="R957" s="1308" t="s">
        <v>22</v>
      </c>
      <c r="S957" s="1308" t="s">
        <v>22</v>
      </c>
      <c r="T957" s="1308" t="s">
        <v>22</v>
      </c>
      <c r="U957" s="1308" t="s">
        <v>22</v>
      </c>
      <c r="V957" s="1308" t="s">
        <v>22</v>
      </c>
      <c r="W957" s="1308" t="s">
        <v>22</v>
      </c>
      <c r="X957" s="1308" t="s">
        <v>22</v>
      </c>
      <c r="Y957" s="1308"/>
      <c r="Z957" s="229"/>
      <c r="AA957" s="230"/>
      <c r="AB957" s="230"/>
      <c r="AC957" s="231"/>
      <c r="AD957" s="231"/>
      <c r="AE957" s="245"/>
      <c r="AF957" s="1350"/>
      <c r="AG957" s="1352"/>
      <c r="AH957" s="1352"/>
      <c r="AI957" s="1350"/>
      <c r="AJ957" s="1352"/>
      <c r="AK957" s="1352"/>
      <c r="AL957" s="772"/>
    </row>
    <row r="958" spans="1:38" ht="11.25" customHeight="1">
      <c r="A958" t="s">
        <v>1019</v>
      </c>
      <c r="E958" s="557"/>
      <c r="F958" s="1339"/>
      <c r="G958" s="1340"/>
      <c r="H958" s="1335" t="s">
        <v>1186</v>
      </c>
      <c r="I958" s="1347"/>
      <c r="J958" s="1360"/>
      <c r="K958" s="1349"/>
      <c r="L958" s="1079"/>
      <c r="M958" s="1080"/>
      <c r="N958" s="1355"/>
      <c r="O958" s="1356"/>
      <c r="P958" s="1358"/>
      <c r="Q958" s="1308"/>
      <c r="R958" s="1308"/>
      <c r="S958" s="1361"/>
      <c r="T958" s="1308"/>
      <c r="U958" s="1308"/>
      <c r="V958" s="1308"/>
      <c r="W958" s="1308"/>
      <c r="X958" s="1308"/>
      <c r="Y958" s="1308"/>
      <c r="AA958" s="778">
        <v>1</v>
      </c>
      <c r="AB958" s="779" t="s">
        <v>1119</v>
      </c>
      <c r="AC958" s="237">
        <v>386.94261402693098</v>
      </c>
      <c r="AD958" s="779" t="str">
        <f>AB958</f>
        <v xml:space="preserve">  Прибыль направляемая на инвестиции</v>
      </c>
      <c r="AE958" s="237">
        <v>471.21361417844298</v>
      </c>
      <c r="AF958" s="1350"/>
      <c r="AG958" s="1352"/>
      <c r="AH958" s="1352"/>
      <c r="AI958" s="1350"/>
      <c r="AJ958" s="1352"/>
      <c r="AK958" s="1352"/>
      <c r="AL958" s="772"/>
    </row>
    <row r="959" spans="1:38" ht="11.25" customHeight="1">
      <c r="A959" t="s">
        <v>1019</v>
      </c>
      <c r="E959" s="557"/>
      <c r="F959" s="1340"/>
      <c r="G959" s="1340"/>
      <c r="H959" s="1340"/>
      <c r="I959" s="1340"/>
      <c r="J959" s="1340"/>
      <c r="K959" s="1340"/>
      <c r="L959" s="1340"/>
      <c r="M959" s="1340"/>
      <c r="N959" s="1340"/>
      <c r="O959" s="1340"/>
      <c r="P959" s="1340"/>
      <c r="Q959" s="1340"/>
      <c r="R959" s="1340"/>
      <c r="S959" s="1340"/>
      <c r="T959" s="1340"/>
      <c r="U959" s="1340"/>
      <c r="V959" s="1340"/>
      <c r="W959" s="1340"/>
      <c r="X959" s="1340"/>
      <c r="Y959" s="1340"/>
      <c r="Z959" s="181" t="s">
        <v>103</v>
      </c>
      <c r="AA959" s="780" t="s">
        <v>102</v>
      </c>
      <c r="AB959" s="779" t="s">
        <v>1120</v>
      </c>
      <c r="AC959" s="237">
        <v>270.91922108147202</v>
      </c>
      <c r="AD959" s="779" t="str">
        <f>AB959</f>
        <v xml:space="preserve">     Прочие амортизационные отчисления</v>
      </c>
      <c r="AE959" s="237">
        <v>329.92185582155702</v>
      </c>
      <c r="AF959" s="1351"/>
      <c r="AG959" s="1353"/>
      <c r="AH959" s="1353"/>
      <c r="AI959" s="1351"/>
      <c r="AJ959" s="1353"/>
      <c r="AK959" s="1354"/>
      <c r="AL959" s="772"/>
    </row>
    <row r="960" spans="1:38" ht="11.25" customHeight="1">
      <c r="A960" t="s">
        <v>1019</v>
      </c>
      <c r="E960" s="557"/>
      <c r="F960" s="1340"/>
      <c r="G960" s="1340"/>
      <c r="H960" s="1340"/>
      <c r="I960" s="1340"/>
      <c r="J960" s="1340"/>
      <c r="K960" s="1340"/>
      <c r="L960" s="1340"/>
      <c r="M960" s="1340"/>
      <c r="N960" s="1340"/>
      <c r="O960" s="1340"/>
      <c r="P960" s="1340"/>
      <c r="Q960" s="1340"/>
      <c r="R960" s="1340"/>
      <c r="S960" s="1340"/>
      <c r="T960" s="1340"/>
      <c r="U960" s="1340"/>
      <c r="V960" s="1340"/>
      <c r="W960" s="1340"/>
      <c r="X960" s="1340"/>
      <c r="Y960" s="1340"/>
      <c r="Z960" s="181" t="s">
        <v>103</v>
      </c>
      <c r="AA960" s="780" t="s">
        <v>89</v>
      </c>
      <c r="AB960" s="779" t="s">
        <v>1138</v>
      </c>
      <c r="AC960" s="237">
        <v>116.62664089159701</v>
      </c>
      <c r="AD960" s="779" t="str">
        <f>AB960</f>
        <v xml:space="preserve">  Прочие собственные средства</v>
      </c>
      <c r="AE960" s="237">
        <v>50.986669999999997</v>
      </c>
      <c r="AF960" s="1351"/>
      <c r="AG960" s="1353"/>
      <c r="AH960" s="1353"/>
      <c r="AI960" s="1351"/>
      <c r="AJ960" s="1353"/>
      <c r="AK960" s="1354"/>
      <c r="AL960" s="772"/>
    </row>
    <row r="961" spans="1:38" ht="11.25" customHeight="1">
      <c r="A961" t="s">
        <v>1019</v>
      </c>
      <c r="E961" s="557"/>
      <c r="F961" s="1339"/>
      <c r="G961" s="1340"/>
      <c r="H961" s="1335" t="s">
        <v>1186</v>
      </c>
      <c r="I961" s="1347"/>
      <c r="J961" s="1360"/>
      <c r="K961" s="1349"/>
      <c r="L961" s="1079"/>
      <c r="M961" s="1080"/>
      <c r="N961" s="1355"/>
      <c r="O961" s="1356"/>
      <c r="P961" s="1359"/>
      <c r="Q961" s="1308"/>
      <c r="R961" s="1308"/>
      <c r="S961" s="1361"/>
      <c r="T961" s="1308"/>
      <c r="U961" s="1308"/>
      <c r="V961" s="1308"/>
      <c r="W961" s="1308"/>
      <c r="X961" s="1308"/>
      <c r="Y961" s="1308"/>
      <c r="Z961" s="229"/>
      <c r="AA961" s="230"/>
      <c r="AB961" s="44" t="s">
        <v>1059</v>
      </c>
      <c r="AC961" s="231"/>
      <c r="AD961" s="231"/>
      <c r="AE961" s="246"/>
      <c r="AF961" s="1350"/>
      <c r="AG961" s="1352"/>
      <c r="AH961" s="1352"/>
      <c r="AI961" s="1350"/>
      <c r="AJ961" s="1352"/>
      <c r="AK961" s="1352"/>
      <c r="AL961" s="772"/>
    </row>
    <row r="962" spans="1:38" ht="11.25" customHeight="1">
      <c r="A962" t="s">
        <v>1019</v>
      </c>
      <c r="E962" s="557"/>
      <c r="F962" s="1339"/>
      <c r="G962" s="1340"/>
      <c r="H962" s="1335" t="s">
        <v>1186</v>
      </c>
      <c r="I962" s="1347"/>
      <c r="J962" s="1360"/>
      <c r="K962" s="1349"/>
      <c r="L962" s="1079"/>
      <c r="M962" s="1080"/>
      <c r="N962" s="229"/>
      <c r="O962" s="230"/>
      <c r="P962" s="44" t="s">
        <v>1060</v>
      </c>
      <c r="Q962" s="230"/>
      <c r="R962" s="230"/>
      <c r="S962" s="230"/>
      <c r="T962" s="230"/>
      <c r="U962" s="230"/>
      <c r="V962" s="230"/>
      <c r="W962" s="230"/>
      <c r="X962" s="230"/>
      <c r="Y962" s="230"/>
      <c r="Z962" s="230"/>
      <c r="AA962" s="230"/>
      <c r="AB962" s="230"/>
      <c r="AC962" s="230"/>
      <c r="AD962" s="230"/>
      <c r="AE962" s="247"/>
      <c r="AF962" s="1350"/>
      <c r="AG962" s="1352"/>
      <c r="AH962" s="1352"/>
      <c r="AI962" s="1350"/>
      <c r="AJ962" s="1352"/>
      <c r="AK962" s="1352"/>
      <c r="AL962" s="772"/>
    </row>
    <row r="963" spans="1:38" ht="11.25" customHeight="1">
      <c r="A963" t="s">
        <v>1019</v>
      </c>
      <c r="B963" t="s">
        <v>22</v>
      </c>
      <c r="E963" s="557"/>
      <c r="F963" s="1339"/>
      <c r="G963" s="1325" t="s">
        <v>103</v>
      </c>
      <c r="H963" s="1335" t="s">
        <v>1189</v>
      </c>
      <c r="I963" s="1347" t="s">
        <v>1061</v>
      </c>
      <c r="J963" s="1360" t="s">
        <v>22</v>
      </c>
      <c r="K963" s="1349" t="s">
        <v>1190</v>
      </c>
      <c r="L963" s="1079" t="s">
        <v>19</v>
      </c>
      <c r="M963" s="1080"/>
      <c r="N963" s="242"/>
      <c r="O963" s="243" t="s">
        <v>384</v>
      </c>
      <c r="P963" s="244"/>
      <c r="Q963" s="244"/>
      <c r="R963" s="244"/>
      <c r="S963" s="244"/>
      <c r="T963" s="244"/>
      <c r="U963" s="244"/>
      <c r="V963" s="244"/>
      <c r="W963" s="244"/>
      <c r="X963" s="244"/>
      <c r="Y963" s="244"/>
      <c r="Z963" s="244"/>
      <c r="AA963" s="244"/>
      <c r="AB963" s="244"/>
      <c r="AC963" s="244"/>
      <c r="AD963" s="244"/>
      <c r="AE963" s="244"/>
      <c r="AF963" s="1350">
        <v>1</v>
      </c>
      <c r="AG963" s="1352" t="s">
        <v>1055</v>
      </c>
      <c r="AH963" s="1352" t="s">
        <v>1107</v>
      </c>
      <c r="AI963" s="1350">
        <v>1</v>
      </c>
      <c r="AJ963" s="1352" t="s">
        <v>1055</v>
      </c>
      <c r="AK963" s="1352" t="s">
        <v>1107</v>
      </c>
      <c r="AL963" s="772"/>
    </row>
    <row r="964" spans="1:38" ht="11.25" customHeight="1">
      <c r="A964" t="s">
        <v>1019</v>
      </c>
      <c r="E964" s="557"/>
      <c r="F964" s="1339"/>
      <c r="G964" s="1340"/>
      <c r="H964" s="1335" t="s">
        <v>1188</v>
      </c>
      <c r="I964" s="1347"/>
      <c r="J964" s="1360"/>
      <c r="K964" s="1349"/>
      <c r="L964" s="1079"/>
      <c r="M964" s="1080"/>
      <c r="N964" s="1355"/>
      <c r="O964" s="1356">
        <v>1</v>
      </c>
      <c r="P964" s="1357" t="s">
        <v>19</v>
      </c>
      <c r="Q964" s="1308" t="s">
        <v>22</v>
      </c>
      <c r="R964" s="1308" t="s">
        <v>22</v>
      </c>
      <c r="S964" s="1308" t="s">
        <v>22</v>
      </c>
      <c r="T964" s="1308" t="s">
        <v>22</v>
      </c>
      <c r="U964" s="1308" t="s">
        <v>22</v>
      </c>
      <c r="V964" s="1308" t="s">
        <v>22</v>
      </c>
      <c r="W964" s="1308" t="s">
        <v>22</v>
      </c>
      <c r="X964" s="1308" t="s">
        <v>22</v>
      </c>
      <c r="Y964" s="1308"/>
      <c r="Z964" s="229"/>
      <c r="AA964" s="230"/>
      <c r="AB964" s="230"/>
      <c r="AC964" s="231"/>
      <c r="AD964" s="231"/>
      <c r="AE964" s="245"/>
      <c r="AF964" s="1350"/>
      <c r="AG964" s="1352"/>
      <c r="AH964" s="1352"/>
      <c r="AI964" s="1350"/>
      <c r="AJ964" s="1352"/>
      <c r="AK964" s="1352"/>
      <c r="AL964" s="772"/>
    </row>
    <row r="965" spans="1:38" ht="11.25" customHeight="1">
      <c r="A965" t="s">
        <v>1019</v>
      </c>
      <c r="E965" s="557"/>
      <c r="F965" s="1339"/>
      <c r="G965" s="1340"/>
      <c r="H965" s="1335" t="s">
        <v>1188</v>
      </c>
      <c r="I965" s="1347"/>
      <c r="J965" s="1360"/>
      <c r="K965" s="1349"/>
      <c r="L965" s="1079"/>
      <c r="M965" s="1080"/>
      <c r="N965" s="1355"/>
      <c r="O965" s="1356"/>
      <c r="P965" s="1358"/>
      <c r="Q965" s="1308"/>
      <c r="R965" s="1308"/>
      <c r="S965" s="1361"/>
      <c r="T965" s="1308"/>
      <c r="U965" s="1308"/>
      <c r="V965" s="1308"/>
      <c r="W965" s="1308"/>
      <c r="X965" s="1308"/>
      <c r="Y965" s="1308"/>
      <c r="AA965" s="778">
        <v>1</v>
      </c>
      <c r="AB965" s="779" t="s">
        <v>1119</v>
      </c>
      <c r="AC965" s="237">
        <v>30424.9074462344</v>
      </c>
      <c r="AD965" s="779" t="str">
        <f>AB965</f>
        <v xml:space="preserve">  Прибыль направляемая на инвестиции</v>
      </c>
      <c r="AE965" s="237">
        <v>29214.295135329401</v>
      </c>
      <c r="AF965" s="1350"/>
      <c r="AG965" s="1352"/>
      <c r="AH965" s="1352"/>
      <c r="AI965" s="1350"/>
      <c r="AJ965" s="1352"/>
      <c r="AK965" s="1352"/>
      <c r="AL965" s="772"/>
    </row>
    <row r="966" spans="1:38" ht="11.25" customHeight="1">
      <c r="A966" t="s">
        <v>1019</v>
      </c>
      <c r="E966" s="557"/>
      <c r="F966" s="1340"/>
      <c r="G966" s="1340"/>
      <c r="H966" s="1340"/>
      <c r="I966" s="1340"/>
      <c r="J966" s="1340"/>
      <c r="K966" s="1340"/>
      <c r="L966" s="1340"/>
      <c r="M966" s="1340"/>
      <c r="N966" s="1340"/>
      <c r="O966" s="1340"/>
      <c r="P966" s="1340"/>
      <c r="Q966" s="1340"/>
      <c r="R966" s="1340"/>
      <c r="S966" s="1340"/>
      <c r="T966" s="1340"/>
      <c r="U966" s="1340"/>
      <c r="V966" s="1340"/>
      <c r="W966" s="1340"/>
      <c r="X966" s="1340"/>
      <c r="Y966" s="1340"/>
      <c r="Z966" s="181" t="s">
        <v>103</v>
      </c>
      <c r="AA966" s="780" t="s">
        <v>102</v>
      </c>
      <c r="AB966" s="779" t="s">
        <v>1120</v>
      </c>
      <c r="AC966" s="237">
        <v>21302.105087438202</v>
      </c>
      <c r="AD966" s="779" t="str">
        <f>AB966</f>
        <v xml:space="preserve">     Прочие амортизационные отчисления</v>
      </c>
      <c r="AE966" s="237">
        <v>20454.490654670601</v>
      </c>
      <c r="AF966" s="1351"/>
      <c r="AG966" s="1353"/>
      <c r="AH966" s="1353"/>
      <c r="AI966" s="1351"/>
      <c r="AJ966" s="1353"/>
      <c r="AK966" s="1354"/>
      <c r="AL966" s="772"/>
    </row>
    <row r="967" spans="1:38" ht="11.25" customHeight="1">
      <c r="A967" t="s">
        <v>1019</v>
      </c>
      <c r="E967" s="557"/>
      <c r="F967" s="1340"/>
      <c r="G967" s="1340"/>
      <c r="H967" s="1340"/>
      <c r="I967" s="1340"/>
      <c r="J967" s="1340"/>
      <c r="K967" s="1340"/>
      <c r="L967" s="1340"/>
      <c r="M967" s="1340"/>
      <c r="N967" s="1340"/>
      <c r="O967" s="1340"/>
      <c r="P967" s="1340"/>
      <c r="Q967" s="1340"/>
      <c r="R967" s="1340"/>
      <c r="S967" s="1340"/>
      <c r="T967" s="1340"/>
      <c r="U967" s="1340"/>
      <c r="V967" s="1340"/>
      <c r="W967" s="1340"/>
      <c r="X967" s="1340"/>
      <c r="Y967" s="1340"/>
      <c r="Z967" s="181" t="s">
        <v>103</v>
      </c>
      <c r="AA967" s="780" t="s">
        <v>89</v>
      </c>
      <c r="AB967" s="779" t="s">
        <v>1138</v>
      </c>
      <c r="AC967" s="237">
        <v>9170.2351363272192</v>
      </c>
      <c r="AD967" s="779" t="str">
        <f>AB967</f>
        <v xml:space="preserve">  Прочие собственные средства</v>
      </c>
      <c r="AE967" s="237">
        <v>9262.8231949999899</v>
      </c>
      <c r="AF967" s="1351"/>
      <c r="AG967" s="1353"/>
      <c r="AH967" s="1353"/>
      <c r="AI967" s="1351"/>
      <c r="AJ967" s="1353"/>
      <c r="AK967" s="1354"/>
      <c r="AL967" s="772"/>
    </row>
    <row r="968" spans="1:38" ht="11.25" customHeight="1">
      <c r="A968" t="s">
        <v>1019</v>
      </c>
      <c r="E968" s="557"/>
      <c r="F968" s="1339"/>
      <c r="G968" s="1340"/>
      <c r="H968" s="1335" t="s">
        <v>1188</v>
      </c>
      <c r="I968" s="1347"/>
      <c r="J968" s="1360"/>
      <c r="K968" s="1349"/>
      <c r="L968" s="1079"/>
      <c r="M968" s="1080"/>
      <c r="N968" s="1355"/>
      <c r="O968" s="1356"/>
      <c r="P968" s="1359"/>
      <c r="Q968" s="1308"/>
      <c r="R968" s="1308"/>
      <c r="S968" s="1361"/>
      <c r="T968" s="1308"/>
      <c r="U968" s="1308"/>
      <c r="V968" s="1308"/>
      <c r="W968" s="1308"/>
      <c r="X968" s="1308"/>
      <c r="Y968" s="1308"/>
      <c r="Z968" s="229"/>
      <c r="AA968" s="230"/>
      <c r="AB968" s="44" t="s">
        <v>1059</v>
      </c>
      <c r="AC968" s="231"/>
      <c r="AD968" s="231"/>
      <c r="AE968" s="246"/>
      <c r="AF968" s="1350"/>
      <c r="AG968" s="1352"/>
      <c r="AH968" s="1352"/>
      <c r="AI968" s="1350"/>
      <c r="AJ968" s="1352"/>
      <c r="AK968" s="1352"/>
      <c r="AL968" s="772"/>
    </row>
    <row r="969" spans="1:38" ht="11.25" customHeight="1">
      <c r="A969" t="s">
        <v>1019</v>
      </c>
      <c r="E969" s="557"/>
      <c r="F969" s="1339"/>
      <c r="G969" s="1340"/>
      <c r="H969" s="1335" t="s">
        <v>1188</v>
      </c>
      <c r="I969" s="1347"/>
      <c r="J969" s="1360"/>
      <c r="K969" s="1349"/>
      <c r="L969" s="1079"/>
      <c r="M969" s="1080"/>
      <c r="N969" s="229"/>
      <c r="O969" s="230"/>
      <c r="P969" s="44" t="s">
        <v>1060</v>
      </c>
      <c r="Q969" s="230"/>
      <c r="R969" s="230"/>
      <c r="S969" s="230"/>
      <c r="T969" s="230"/>
      <c r="U969" s="230"/>
      <c r="V969" s="230"/>
      <c r="W969" s="230"/>
      <c r="X969" s="230"/>
      <c r="Y969" s="230"/>
      <c r="Z969" s="230"/>
      <c r="AA969" s="230"/>
      <c r="AB969" s="230"/>
      <c r="AC969" s="230"/>
      <c r="AD969" s="230"/>
      <c r="AE969" s="247"/>
      <c r="AF969" s="1350"/>
      <c r="AG969" s="1352"/>
      <c r="AH969" s="1352"/>
      <c r="AI969" s="1350"/>
      <c r="AJ969" s="1352"/>
      <c r="AK969" s="1352"/>
      <c r="AL969" s="772"/>
    </row>
    <row r="970" spans="1:38" ht="11.25" customHeight="1">
      <c r="A970" t="s">
        <v>1019</v>
      </c>
      <c r="B970" t="s">
        <v>22</v>
      </c>
      <c r="E970" s="557"/>
      <c r="F970" s="1339"/>
      <c r="G970" s="1325" t="s">
        <v>103</v>
      </c>
      <c r="H970" s="1335" t="s">
        <v>1191</v>
      </c>
      <c r="I970" s="1347" t="s">
        <v>1061</v>
      </c>
      <c r="J970" s="1360" t="s">
        <v>22</v>
      </c>
      <c r="K970" s="1349" t="s">
        <v>1192</v>
      </c>
      <c r="L970" s="1079" t="s">
        <v>19</v>
      </c>
      <c r="M970" s="1080"/>
      <c r="N970" s="242"/>
      <c r="O970" s="243" t="s">
        <v>384</v>
      </c>
      <c r="P970" s="244"/>
      <c r="Q970" s="244"/>
      <c r="R970" s="244"/>
      <c r="S970" s="244"/>
      <c r="T970" s="244"/>
      <c r="U970" s="244"/>
      <c r="V970" s="244"/>
      <c r="W970" s="244"/>
      <c r="X970" s="244"/>
      <c r="Y970" s="244"/>
      <c r="Z970" s="244"/>
      <c r="AA970" s="244"/>
      <c r="AB970" s="244"/>
      <c r="AC970" s="244"/>
      <c r="AD970" s="244"/>
      <c r="AE970" s="244"/>
      <c r="AF970" s="1350">
        <v>8</v>
      </c>
      <c r="AG970" s="1352" t="s">
        <v>1055</v>
      </c>
      <c r="AH970" s="1352" t="s">
        <v>1095</v>
      </c>
      <c r="AI970" s="1350">
        <v>8</v>
      </c>
      <c r="AJ970" s="1352" t="s">
        <v>1055</v>
      </c>
      <c r="AK970" s="1352" t="s">
        <v>1095</v>
      </c>
      <c r="AL970" s="772"/>
    </row>
    <row r="971" spans="1:38" ht="11.25" customHeight="1">
      <c r="A971" t="s">
        <v>1019</v>
      </c>
      <c r="E971" s="557"/>
      <c r="F971" s="1339"/>
      <c r="G971" s="1340"/>
      <c r="H971" s="1335" t="s">
        <v>1189</v>
      </c>
      <c r="I971" s="1347"/>
      <c r="J971" s="1360"/>
      <c r="K971" s="1349"/>
      <c r="L971" s="1079"/>
      <c r="M971" s="1080"/>
      <c r="N971" s="1355"/>
      <c r="O971" s="1356">
        <v>1</v>
      </c>
      <c r="P971" s="1357" t="s">
        <v>19</v>
      </c>
      <c r="Q971" s="1308" t="s">
        <v>22</v>
      </c>
      <c r="R971" s="1308" t="s">
        <v>22</v>
      </c>
      <c r="S971" s="1308" t="s">
        <v>22</v>
      </c>
      <c r="T971" s="1308" t="s">
        <v>22</v>
      </c>
      <c r="U971" s="1308" t="s">
        <v>22</v>
      </c>
      <c r="V971" s="1308" t="s">
        <v>22</v>
      </c>
      <c r="W971" s="1308" t="s">
        <v>22</v>
      </c>
      <c r="X971" s="1308" t="s">
        <v>22</v>
      </c>
      <c r="Y971" s="1308"/>
      <c r="Z971" s="229"/>
      <c r="AA971" s="230"/>
      <c r="AB971" s="230"/>
      <c r="AC971" s="231"/>
      <c r="AD971" s="231"/>
      <c r="AE971" s="245"/>
      <c r="AF971" s="1350"/>
      <c r="AG971" s="1352"/>
      <c r="AH971" s="1352"/>
      <c r="AI971" s="1350"/>
      <c r="AJ971" s="1352"/>
      <c r="AK971" s="1352"/>
      <c r="AL971" s="772"/>
    </row>
    <row r="972" spans="1:38" ht="11.25" customHeight="1">
      <c r="A972" t="s">
        <v>1019</v>
      </c>
      <c r="E972" s="557"/>
      <c r="F972" s="1339"/>
      <c r="G972" s="1340"/>
      <c r="H972" s="1335" t="s">
        <v>1189</v>
      </c>
      <c r="I972" s="1347"/>
      <c r="J972" s="1360"/>
      <c r="K972" s="1349"/>
      <c r="L972" s="1079"/>
      <c r="M972" s="1080"/>
      <c r="N972" s="1355"/>
      <c r="O972" s="1356"/>
      <c r="P972" s="1358"/>
      <c r="Q972" s="1308"/>
      <c r="R972" s="1308"/>
      <c r="S972" s="1361"/>
      <c r="T972" s="1308"/>
      <c r="U972" s="1308"/>
      <c r="V972" s="1308"/>
      <c r="W972" s="1308"/>
      <c r="X972" s="1308"/>
      <c r="Y972" s="1308"/>
      <c r="AA972" s="778">
        <v>1</v>
      </c>
      <c r="AB972" s="779" t="s">
        <v>1119</v>
      </c>
      <c r="AC972" s="237">
        <v>0</v>
      </c>
      <c r="AD972" s="779" t="str">
        <f>AB972</f>
        <v xml:space="preserve">  Прибыль направляемая на инвестиции</v>
      </c>
      <c r="AE972" s="237">
        <v>324.23683726848901</v>
      </c>
      <c r="AF972" s="1350"/>
      <c r="AG972" s="1352"/>
      <c r="AH972" s="1352"/>
      <c r="AI972" s="1350"/>
      <c r="AJ972" s="1352"/>
      <c r="AK972" s="1352"/>
      <c r="AL972" s="772"/>
    </row>
    <row r="973" spans="1:38" ht="11.25" customHeight="1">
      <c r="A973" t="s">
        <v>1019</v>
      </c>
      <c r="E973" s="557"/>
      <c r="F973" s="1340"/>
      <c r="G973" s="1340"/>
      <c r="H973" s="1340"/>
      <c r="I973" s="1340"/>
      <c r="J973" s="1340"/>
      <c r="K973" s="1340"/>
      <c r="L973" s="1340"/>
      <c r="M973" s="1340"/>
      <c r="N973" s="1340"/>
      <c r="O973" s="1340"/>
      <c r="P973" s="1340"/>
      <c r="Q973" s="1340"/>
      <c r="R973" s="1340"/>
      <c r="S973" s="1340"/>
      <c r="T973" s="1340"/>
      <c r="U973" s="1340"/>
      <c r="V973" s="1340"/>
      <c r="W973" s="1340"/>
      <c r="X973" s="1340"/>
      <c r="Y973" s="1340"/>
      <c r="Z973" s="181" t="s">
        <v>103</v>
      </c>
      <c r="AA973" s="780" t="s">
        <v>102</v>
      </c>
      <c r="AB973" s="779" t="s">
        <v>1120</v>
      </c>
      <c r="AC973" s="237">
        <v>0</v>
      </c>
      <c r="AD973" s="779" t="str">
        <f>AB973</f>
        <v xml:space="preserve">     Прочие амортизационные отчисления</v>
      </c>
      <c r="AE973" s="237">
        <v>227.01555273151101</v>
      </c>
      <c r="AF973" s="1351"/>
      <c r="AG973" s="1353"/>
      <c r="AH973" s="1353"/>
      <c r="AI973" s="1351"/>
      <c r="AJ973" s="1353"/>
      <c r="AK973" s="1354"/>
      <c r="AL973" s="772"/>
    </row>
    <row r="974" spans="1:38" ht="11.25" customHeight="1">
      <c r="A974" t="s">
        <v>1019</v>
      </c>
      <c r="E974" s="557"/>
      <c r="F974" s="1339"/>
      <c r="G974" s="1340"/>
      <c r="H974" s="1335" t="s">
        <v>1189</v>
      </c>
      <c r="I974" s="1347"/>
      <c r="J974" s="1360"/>
      <c r="K974" s="1349"/>
      <c r="L974" s="1079"/>
      <c r="M974" s="1080"/>
      <c r="N974" s="1355"/>
      <c r="O974" s="1356"/>
      <c r="P974" s="1359"/>
      <c r="Q974" s="1308"/>
      <c r="R974" s="1308"/>
      <c r="S974" s="1361"/>
      <c r="T974" s="1308"/>
      <c r="U974" s="1308"/>
      <c r="V974" s="1308"/>
      <c r="W974" s="1308"/>
      <c r="X974" s="1308"/>
      <c r="Y974" s="1308"/>
      <c r="Z974" s="229"/>
      <c r="AA974" s="230"/>
      <c r="AB974" s="44" t="s">
        <v>1059</v>
      </c>
      <c r="AC974" s="231"/>
      <c r="AD974" s="231"/>
      <c r="AE974" s="246"/>
      <c r="AF974" s="1350"/>
      <c r="AG974" s="1352"/>
      <c r="AH974" s="1352"/>
      <c r="AI974" s="1350"/>
      <c r="AJ974" s="1352"/>
      <c r="AK974" s="1352"/>
      <c r="AL974" s="772"/>
    </row>
    <row r="975" spans="1:38" ht="11.25" customHeight="1">
      <c r="A975" t="s">
        <v>1019</v>
      </c>
      <c r="E975" s="557"/>
      <c r="F975" s="1339"/>
      <c r="G975" s="1340"/>
      <c r="H975" s="1335" t="s">
        <v>1189</v>
      </c>
      <c r="I975" s="1347"/>
      <c r="J975" s="1360"/>
      <c r="K975" s="1349"/>
      <c r="L975" s="1079"/>
      <c r="M975" s="1080"/>
      <c r="N975" s="229"/>
      <c r="O975" s="230"/>
      <c r="P975" s="44" t="s">
        <v>1060</v>
      </c>
      <c r="Q975" s="230"/>
      <c r="R975" s="230"/>
      <c r="S975" s="230"/>
      <c r="T975" s="230"/>
      <c r="U975" s="230"/>
      <c r="V975" s="230"/>
      <c r="W975" s="230"/>
      <c r="X975" s="230"/>
      <c r="Y975" s="230"/>
      <c r="Z975" s="230"/>
      <c r="AA975" s="230"/>
      <c r="AB975" s="230"/>
      <c r="AC975" s="230"/>
      <c r="AD975" s="230"/>
      <c r="AE975" s="247"/>
      <c r="AF975" s="1350"/>
      <c r="AG975" s="1352"/>
      <c r="AH975" s="1352"/>
      <c r="AI975" s="1350"/>
      <c r="AJ975" s="1352"/>
      <c r="AK975" s="1352"/>
      <c r="AL975" s="772"/>
    </row>
    <row r="976" spans="1:38" ht="12" customHeight="1">
      <c r="A976" s="1030" t="s">
        <v>1019</v>
      </c>
      <c r="E976" s="557"/>
      <c r="F976" s="1341"/>
      <c r="G976" s="775"/>
      <c r="H976" s="775"/>
      <c r="I976" s="1337" t="s">
        <v>1070</v>
      </c>
      <c r="J976" s="1337"/>
      <c r="K976" s="1337"/>
      <c r="L976" s="776"/>
      <c r="M976" s="776"/>
      <c r="N976" s="777"/>
      <c r="O976" s="777"/>
      <c r="P976" s="777"/>
      <c r="Q976" s="777"/>
      <c r="R976" s="777"/>
      <c r="S976" s="777"/>
      <c r="T976" s="777"/>
      <c r="U976" s="777"/>
      <c r="V976" s="777"/>
      <c r="W976" s="777"/>
      <c r="X976" s="777"/>
      <c r="Y976" s="777"/>
      <c r="Z976" s="777"/>
      <c r="AA976" s="777"/>
      <c r="AB976" s="777"/>
      <c r="AC976" s="777"/>
      <c r="AD976" s="777"/>
      <c r="AE976" s="777"/>
      <c r="AF976" s="777"/>
      <c r="AG976" s="776"/>
      <c r="AH976" s="776"/>
      <c r="AI976" s="777"/>
      <c r="AJ976" s="776"/>
      <c r="AK976" s="777"/>
      <c r="AL976" s="772"/>
    </row>
    <row r="977" spans="1:38" ht="0.75" customHeight="1">
      <c r="A977" s="1030" t="s">
        <v>1019</v>
      </c>
      <c r="E977" s="557"/>
      <c r="F977" s="1338">
        <v>2024</v>
      </c>
      <c r="G977" s="1335"/>
      <c r="H977" s="1343" t="s">
        <v>384</v>
      </c>
      <c r="I977" s="1344"/>
      <c r="J977" s="1334"/>
      <c r="K977" s="1334"/>
      <c r="L977" s="1336"/>
      <c r="M977" s="1190"/>
      <c r="N977" s="214"/>
      <c r="O977" s="215"/>
      <c r="P977" s="214"/>
      <c r="Q977" s="214"/>
      <c r="R977" s="214"/>
      <c r="S977" s="214"/>
      <c r="T977" s="214"/>
      <c r="U977" s="214"/>
      <c r="V977" s="214"/>
      <c r="W977" s="214"/>
      <c r="X977" s="214"/>
      <c r="Y977" s="214"/>
      <c r="Z977" s="214"/>
      <c r="AA977" s="214"/>
      <c r="AB977" s="214"/>
      <c r="AC977" s="214"/>
      <c r="AD977" s="214"/>
      <c r="AE977" s="214"/>
      <c r="AF977" s="1342"/>
      <c r="AG977" s="1336"/>
      <c r="AH977" s="1336"/>
      <c r="AI977" s="1342"/>
      <c r="AJ977" s="1336"/>
      <c r="AK977" s="1336"/>
      <c r="AL977" s="772"/>
    </row>
    <row r="978" spans="1:38" ht="0.75" customHeight="1">
      <c r="A978" s="1030" t="s">
        <v>1019</v>
      </c>
      <c r="E978" s="557"/>
      <c r="F978" s="1338"/>
      <c r="G978" s="1335"/>
      <c r="H978" s="1343"/>
      <c r="I978" s="1344"/>
      <c r="J978" s="1334"/>
      <c r="K978" s="1334"/>
      <c r="L978" s="1336"/>
      <c r="M978" s="1190"/>
      <c r="N978" s="1345"/>
      <c r="O978" s="1346"/>
      <c r="P978" s="1331"/>
      <c r="Q978" s="1334"/>
      <c r="R978" s="1334"/>
      <c r="S978" s="1334"/>
      <c r="T978" s="1334"/>
      <c r="U978" s="1334"/>
      <c r="V978" s="1334"/>
      <c r="W978" s="1334"/>
      <c r="X978" s="1334"/>
      <c r="Y978" s="1334"/>
      <c r="Z978" s="216"/>
      <c r="AA978" s="217"/>
      <c r="AB978" s="217"/>
      <c r="AC978" s="218"/>
      <c r="AD978" s="218"/>
      <c r="AE978" s="219"/>
      <c r="AF978" s="1342"/>
      <c r="AG978" s="1336"/>
      <c r="AH978" s="1336"/>
      <c r="AI978" s="1342"/>
      <c r="AJ978" s="1336"/>
      <c r="AK978" s="1336"/>
      <c r="AL978" s="772"/>
    </row>
    <row r="979" spans="1:38" ht="0.75" customHeight="1">
      <c r="A979" s="1030" t="s">
        <v>1019</v>
      </c>
      <c r="E979" s="557"/>
      <c r="F979" s="1338"/>
      <c r="G979" s="1335"/>
      <c r="H979" s="1343"/>
      <c r="I979" s="1344"/>
      <c r="J979" s="1334"/>
      <c r="K979" s="1334"/>
      <c r="L979" s="1336"/>
      <c r="M979" s="1190"/>
      <c r="N979" s="1345"/>
      <c r="O979" s="1346"/>
      <c r="P979" s="1332"/>
      <c r="Q979" s="1334"/>
      <c r="R979" s="1334"/>
      <c r="S979" s="1334"/>
      <c r="T979" s="1334"/>
      <c r="U979" s="1334"/>
      <c r="V979" s="1334"/>
      <c r="W979" s="1334"/>
      <c r="X979" s="1334"/>
      <c r="Y979" s="1334"/>
      <c r="AA979" s="773"/>
      <c r="AB979" s="774"/>
      <c r="AC979" s="220"/>
      <c r="AD979" s="774"/>
      <c r="AE979" s="220"/>
      <c r="AF979" s="1342"/>
      <c r="AG979" s="1336"/>
      <c r="AH979" s="1336"/>
      <c r="AI979" s="1342"/>
      <c r="AJ979" s="1336"/>
      <c r="AK979" s="1336"/>
      <c r="AL979" s="772"/>
    </row>
    <row r="980" spans="1:38" ht="0.75" customHeight="1">
      <c r="A980" s="1030" t="s">
        <v>1019</v>
      </c>
      <c r="E980" s="557"/>
      <c r="F980" s="1338"/>
      <c r="G980" s="1335"/>
      <c r="H980" s="1343"/>
      <c r="I980" s="1344"/>
      <c r="J980" s="1334"/>
      <c r="K980" s="1334"/>
      <c r="L980" s="1336"/>
      <c r="M980" s="1190"/>
      <c r="N980" s="1345"/>
      <c r="O980" s="1346"/>
      <c r="P980" s="1333"/>
      <c r="Q980" s="1334"/>
      <c r="R980" s="1334"/>
      <c r="S980" s="1334"/>
      <c r="T980" s="1334"/>
      <c r="U980" s="1334"/>
      <c r="V980" s="1334"/>
      <c r="W980" s="1334"/>
      <c r="X980" s="1334"/>
      <c r="Y980" s="1334"/>
      <c r="Z980" s="216"/>
      <c r="AA980" s="217"/>
      <c r="AB980" s="221"/>
      <c r="AC980" s="218"/>
      <c r="AD980" s="218"/>
      <c r="AE980" s="222"/>
      <c r="AF980" s="1342"/>
      <c r="AG980" s="1336"/>
      <c r="AH980" s="1336"/>
      <c r="AI980" s="1342"/>
      <c r="AJ980" s="1336"/>
      <c r="AK980" s="1336"/>
      <c r="AL980" s="772"/>
    </row>
    <row r="981" spans="1:38" ht="0.75" customHeight="1">
      <c r="A981" s="1030" t="s">
        <v>1019</v>
      </c>
      <c r="E981" s="557"/>
      <c r="F981" s="1338"/>
      <c r="G981" s="1335"/>
      <c r="H981" s="1343"/>
      <c r="I981" s="1344"/>
      <c r="J981" s="1334"/>
      <c r="K981" s="1334"/>
      <c r="L981" s="1336"/>
      <c r="M981" s="1190"/>
      <c r="N981" s="217"/>
      <c r="O981" s="217"/>
      <c r="P981" s="221"/>
      <c r="Q981" s="217"/>
      <c r="R981" s="217"/>
      <c r="S981" s="217"/>
      <c r="T981" s="217"/>
      <c r="U981" s="217"/>
      <c r="V981" s="217"/>
      <c r="W981" s="217"/>
      <c r="X981" s="217"/>
      <c r="Y981" s="217"/>
      <c r="Z981" s="217"/>
      <c r="AA981" s="217"/>
      <c r="AB981" s="217"/>
      <c r="AC981" s="217"/>
      <c r="AD981" s="217"/>
      <c r="AE981" s="223"/>
      <c r="AF981" s="1342"/>
      <c r="AG981" s="1336"/>
      <c r="AH981" s="1336"/>
      <c r="AI981" s="1342"/>
      <c r="AJ981" s="1336"/>
      <c r="AK981" s="1336"/>
      <c r="AL981" s="772"/>
    </row>
    <row r="982" spans="1:38" ht="11.25" customHeight="1">
      <c r="A982" t="s">
        <v>1019</v>
      </c>
      <c r="B982" t="s">
        <v>22</v>
      </c>
      <c r="E982" s="557"/>
      <c r="F982" s="1339"/>
      <c r="G982" s="1325" t="s">
        <v>103</v>
      </c>
      <c r="H982" s="1335" t="s">
        <v>114</v>
      </c>
      <c r="I982" s="1347" t="s">
        <v>1071</v>
      </c>
      <c r="J982" s="1360" t="s">
        <v>22</v>
      </c>
      <c r="K982" s="1349" t="s">
        <v>1104</v>
      </c>
      <c r="L982" s="1079" t="s">
        <v>61</v>
      </c>
      <c r="M982" s="1364" t="s">
        <v>1018</v>
      </c>
      <c r="N982" s="242"/>
      <c r="O982" s="243" t="s">
        <v>384</v>
      </c>
      <c r="P982" s="244"/>
      <c r="Q982" s="244"/>
      <c r="R982" s="244"/>
      <c r="S982" s="244"/>
      <c r="T982" s="244"/>
      <c r="U982" s="244"/>
      <c r="V982" s="244"/>
      <c r="W982" s="244"/>
      <c r="X982" s="244"/>
      <c r="Y982" s="244"/>
      <c r="Z982" s="244"/>
      <c r="AA982" s="244"/>
      <c r="AB982" s="244"/>
      <c r="AC982" s="244"/>
      <c r="AD982" s="244"/>
      <c r="AE982" s="244"/>
      <c r="AF982" s="1350">
        <v>3</v>
      </c>
      <c r="AG982" s="1352" t="s">
        <v>1055</v>
      </c>
      <c r="AH982" s="1352" t="s">
        <v>1105</v>
      </c>
      <c r="AI982" s="1350">
        <v>3</v>
      </c>
      <c r="AJ982" s="1352" t="s">
        <v>1055</v>
      </c>
      <c r="AK982" s="1352" t="s">
        <v>1105</v>
      </c>
      <c r="AL982" s="772"/>
    </row>
    <row r="983" spans="1:38" ht="11.25" customHeight="1">
      <c r="A983" t="s">
        <v>1019</v>
      </c>
      <c r="E983" s="557"/>
      <c r="F983" s="1339"/>
      <c r="G983" s="1340"/>
      <c r="H983" s="1335" t="s">
        <v>384</v>
      </c>
      <c r="I983" s="1347"/>
      <c r="J983" s="1360"/>
      <c r="K983" s="1349"/>
      <c r="L983" s="1079"/>
      <c r="M983" s="1364"/>
      <c r="N983" s="1355"/>
      <c r="O983" s="1356">
        <v>1</v>
      </c>
      <c r="P983" s="1357" t="s">
        <v>61</v>
      </c>
      <c r="Q983" s="1348" t="s">
        <v>1074</v>
      </c>
      <c r="R983" s="1362" t="s">
        <v>1075</v>
      </c>
      <c r="S983" s="1362" t="s">
        <v>99</v>
      </c>
      <c r="T983" s="1362" t="s">
        <v>99</v>
      </c>
      <c r="U983" s="1362" t="s">
        <v>100</v>
      </c>
      <c r="V983" s="1362" t="s">
        <v>1066</v>
      </c>
      <c r="W983" s="1362" t="s">
        <v>1067</v>
      </c>
      <c r="X983" s="1362" t="s">
        <v>1076</v>
      </c>
      <c r="Y983" s="1362" t="s">
        <v>1077</v>
      </c>
      <c r="Z983" s="229"/>
      <c r="AA983" s="230"/>
      <c r="AB983" s="230"/>
      <c r="AC983" s="231"/>
      <c r="AD983" s="231"/>
      <c r="AE983" s="245"/>
      <c r="AF983" s="1350"/>
      <c r="AG983" s="1352"/>
      <c r="AH983" s="1352"/>
      <c r="AI983" s="1350"/>
      <c r="AJ983" s="1352"/>
      <c r="AK983" s="1352"/>
      <c r="AL983" s="772"/>
    </row>
    <row r="984" spans="1:38" ht="11.25" customHeight="1">
      <c r="A984" t="s">
        <v>1019</v>
      </c>
      <c r="E984" s="557"/>
      <c r="F984" s="1339"/>
      <c r="G984" s="1340"/>
      <c r="H984" s="1335" t="s">
        <v>384</v>
      </c>
      <c r="I984" s="1347"/>
      <c r="J984" s="1360"/>
      <c r="K984" s="1349"/>
      <c r="L984" s="1079"/>
      <c r="M984" s="1364"/>
      <c r="N984" s="1355"/>
      <c r="O984" s="1356"/>
      <c r="P984" s="1358"/>
      <c r="Q984" s="1348"/>
      <c r="R984" s="1308"/>
      <c r="S984" s="1361"/>
      <c r="T984" s="1308"/>
      <c r="U984" s="1308"/>
      <c r="V984" s="1308"/>
      <c r="W984" s="1308"/>
      <c r="X984" s="1308"/>
      <c r="Y984" s="1308"/>
      <c r="AA984" s="778">
        <v>1</v>
      </c>
      <c r="AB984" s="779" t="s">
        <v>1119</v>
      </c>
      <c r="AC984" s="237">
        <v>65417.221110113001</v>
      </c>
      <c r="AD984" s="779" t="str">
        <f>AB984</f>
        <v xml:space="preserve">  Прибыль направляемая на инвестиции</v>
      </c>
      <c r="AE984" s="237">
        <v>0</v>
      </c>
      <c r="AF984" s="1350"/>
      <c r="AG984" s="1352"/>
      <c r="AH984" s="1352"/>
      <c r="AI984" s="1350"/>
      <c r="AJ984" s="1352"/>
      <c r="AK984" s="1352"/>
      <c r="AL984" s="772"/>
    </row>
    <row r="985" spans="1:38" ht="11.25" customHeight="1">
      <c r="A985" t="s">
        <v>1019</v>
      </c>
      <c r="E985" s="557"/>
      <c r="F985" s="1340"/>
      <c r="G985" s="1340"/>
      <c r="H985" s="1340"/>
      <c r="I985" s="1340"/>
      <c r="J985" s="1340"/>
      <c r="K985" s="1340"/>
      <c r="L985" s="1340"/>
      <c r="M985" s="1365"/>
      <c r="N985" s="1340"/>
      <c r="O985" s="1340"/>
      <c r="P985" s="1340"/>
      <c r="Q985" s="1340"/>
      <c r="R985" s="1340"/>
      <c r="S985" s="1340"/>
      <c r="T985" s="1340"/>
      <c r="U985" s="1340"/>
      <c r="V985" s="1340"/>
      <c r="W985" s="1340"/>
      <c r="X985" s="1340"/>
      <c r="Y985" s="1340"/>
      <c r="Z985" s="181" t="s">
        <v>103</v>
      </c>
      <c r="AA985" s="780" t="s">
        <v>102</v>
      </c>
      <c r="AB985" s="779" t="s">
        <v>1120</v>
      </c>
      <c r="AC985" s="237">
        <v>23473.2768539391</v>
      </c>
      <c r="AD985" s="779" t="str">
        <f>AB985</f>
        <v xml:space="preserve">     Прочие амортизационные отчисления</v>
      </c>
      <c r="AE985" s="237">
        <v>0</v>
      </c>
      <c r="AF985" s="1351"/>
      <c r="AG985" s="1353"/>
      <c r="AH985" s="1353"/>
      <c r="AI985" s="1351"/>
      <c r="AJ985" s="1353"/>
      <c r="AK985" s="1354"/>
      <c r="AL985" s="772"/>
    </row>
    <row r="986" spans="1:38" ht="11.25" customHeight="1">
      <c r="A986" t="s">
        <v>1019</v>
      </c>
      <c r="E986" s="557"/>
      <c r="F986" s="1340"/>
      <c r="G986" s="1340"/>
      <c r="H986" s="1340"/>
      <c r="I986" s="1340"/>
      <c r="J986" s="1340"/>
      <c r="K986" s="1340"/>
      <c r="L986" s="1340"/>
      <c r="M986" s="1365"/>
      <c r="N986" s="1340"/>
      <c r="O986" s="1340"/>
      <c r="P986" s="1340"/>
      <c r="Q986" s="1340"/>
      <c r="R986" s="1340"/>
      <c r="S986" s="1340"/>
      <c r="T986" s="1340"/>
      <c r="U986" s="1340"/>
      <c r="V986" s="1340"/>
      <c r="W986" s="1340"/>
      <c r="X986" s="1340"/>
      <c r="Y986" s="1340"/>
      <c r="Z986" s="181" t="s">
        <v>103</v>
      </c>
      <c r="AA986" s="780" t="s">
        <v>89</v>
      </c>
      <c r="AB986" s="779" t="s">
        <v>1142</v>
      </c>
      <c r="AC986" s="237">
        <v>16359.9979215</v>
      </c>
      <c r="AD986" s="779" t="str">
        <f>AB986</f>
        <v xml:space="preserve">  Доход от взимания платы за негативное воздействие на работу централизованной системы водоотведения</v>
      </c>
      <c r="AE986" s="237">
        <v>0</v>
      </c>
      <c r="AF986" s="1351"/>
      <c r="AG986" s="1353"/>
      <c r="AH986" s="1353"/>
      <c r="AI986" s="1351"/>
      <c r="AJ986" s="1353"/>
      <c r="AK986" s="1354"/>
      <c r="AL986" s="772"/>
    </row>
    <row r="987" spans="1:38" ht="11.25" customHeight="1">
      <c r="A987" t="s">
        <v>1019</v>
      </c>
      <c r="E987" s="557"/>
      <c r="F987" s="1339"/>
      <c r="G987" s="1340"/>
      <c r="H987" s="1335" t="s">
        <v>384</v>
      </c>
      <c r="I987" s="1347"/>
      <c r="J987" s="1360"/>
      <c r="K987" s="1349"/>
      <c r="L987" s="1079"/>
      <c r="M987" s="1364"/>
      <c r="N987" s="1355"/>
      <c r="O987" s="1356"/>
      <c r="P987" s="1359"/>
      <c r="Q987" s="1348"/>
      <c r="R987" s="1308"/>
      <c r="S987" s="1361"/>
      <c r="T987" s="1308"/>
      <c r="U987" s="1308"/>
      <c r="V987" s="1308"/>
      <c r="W987" s="1308"/>
      <c r="X987" s="1308"/>
      <c r="Y987" s="1308"/>
      <c r="Z987" s="229"/>
      <c r="AA987" s="230"/>
      <c r="AB987" s="44" t="s">
        <v>1059</v>
      </c>
      <c r="AC987" s="231"/>
      <c r="AD987" s="231"/>
      <c r="AE987" s="246"/>
      <c r="AF987" s="1350"/>
      <c r="AG987" s="1352"/>
      <c r="AH987" s="1352"/>
      <c r="AI987" s="1350"/>
      <c r="AJ987" s="1352"/>
      <c r="AK987" s="1352"/>
      <c r="AL987" s="772"/>
    </row>
    <row r="988" spans="1:38" ht="11.25" customHeight="1">
      <c r="A988" t="s">
        <v>1019</v>
      </c>
      <c r="E988" s="557"/>
      <c r="F988" s="1339"/>
      <c r="G988" s="1340"/>
      <c r="H988" s="1335" t="s">
        <v>384</v>
      </c>
      <c r="I988" s="1347"/>
      <c r="J988" s="1360"/>
      <c r="K988" s="1349"/>
      <c r="L988" s="1079"/>
      <c r="M988" s="1364"/>
      <c r="N988" s="229"/>
      <c r="O988" s="230"/>
      <c r="P988" s="44" t="s">
        <v>1060</v>
      </c>
      <c r="Q988" s="230"/>
      <c r="R988" s="230"/>
      <c r="S988" s="230"/>
      <c r="T988" s="230"/>
      <c r="U988" s="230"/>
      <c r="V988" s="230"/>
      <c r="W988" s="230"/>
      <c r="X988" s="230"/>
      <c r="Y988" s="230"/>
      <c r="Z988" s="230"/>
      <c r="AA988" s="230"/>
      <c r="AB988" s="230"/>
      <c r="AC988" s="230"/>
      <c r="AD988" s="230"/>
      <c r="AE988" s="247"/>
      <c r="AF988" s="1350"/>
      <c r="AG988" s="1352"/>
      <c r="AH988" s="1352"/>
      <c r="AI988" s="1350"/>
      <c r="AJ988" s="1352"/>
      <c r="AK988" s="1352"/>
      <c r="AL988" s="772"/>
    </row>
    <row r="989" spans="1:38" ht="11.25" customHeight="1">
      <c r="A989" t="s">
        <v>1019</v>
      </c>
      <c r="B989" t="s">
        <v>22</v>
      </c>
      <c r="E989" s="557"/>
      <c r="F989" s="1339"/>
      <c r="G989" s="1325" t="s">
        <v>103</v>
      </c>
      <c r="H989" s="1335" t="s">
        <v>102</v>
      </c>
      <c r="I989" s="1347" t="s">
        <v>1071</v>
      </c>
      <c r="J989" s="1360" t="s">
        <v>22</v>
      </c>
      <c r="K989" s="1349" t="s">
        <v>1099</v>
      </c>
      <c r="L989" s="1079" t="s">
        <v>61</v>
      </c>
      <c r="M989" s="1364" t="s">
        <v>1018</v>
      </c>
      <c r="N989" s="242"/>
      <c r="O989" s="243" t="s">
        <v>384</v>
      </c>
      <c r="P989" s="244"/>
      <c r="Q989" s="244"/>
      <c r="R989" s="244"/>
      <c r="S989" s="244"/>
      <c r="T989" s="244"/>
      <c r="U989" s="244"/>
      <c r="V989" s="244"/>
      <c r="W989" s="244"/>
      <c r="X989" s="244"/>
      <c r="Y989" s="244"/>
      <c r="Z989" s="244"/>
      <c r="AA989" s="244"/>
      <c r="AB989" s="244"/>
      <c r="AC989" s="244"/>
      <c r="AD989" s="244"/>
      <c r="AE989" s="244"/>
      <c r="AF989" s="1350">
        <v>1</v>
      </c>
      <c r="AG989" s="1352" t="s">
        <v>1055</v>
      </c>
      <c r="AH989" s="1352" t="s">
        <v>1079</v>
      </c>
      <c r="AI989" s="1350">
        <v>1</v>
      </c>
      <c r="AJ989" s="1352" t="s">
        <v>1055</v>
      </c>
      <c r="AK989" s="1352" t="s">
        <v>1079</v>
      </c>
      <c r="AL989" s="772"/>
    </row>
    <row r="990" spans="1:38" ht="11.25" customHeight="1">
      <c r="A990" t="s">
        <v>1019</v>
      </c>
      <c r="E990" s="557"/>
      <c r="F990" s="1339"/>
      <c r="G990" s="1340"/>
      <c r="H990" s="1335" t="s">
        <v>114</v>
      </c>
      <c r="I990" s="1347"/>
      <c r="J990" s="1360"/>
      <c r="K990" s="1349"/>
      <c r="L990" s="1079"/>
      <c r="M990" s="1364"/>
      <c r="N990" s="1355"/>
      <c r="O990" s="1356">
        <v>1</v>
      </c>
      <c r="P990" s="1357" t="s">
        <v>61</v>
      </c>
      <c r="Q990" s="1348" t="s">
        <v>1074</v>
      </c>
      <c r="R990" s="1362" t="s">
        <v>1075</v>
      </c>
      <c r="S990" s="1362" t="s">
        <v>99</v>
      </c>
      <c r="T990" s="1362" t="s">
        <v>99</v>
      </c>
      <c r="U990" s="1362" t="s">
        <v>100</v>
      </c>
      <c r="V990" s="1362" t="s">
        <v>1066</v>
      </c>
      <c r="W990" s="1362" t="s">
        <v>1067</v>
      </c>
      <c r="X990" s="1362" t="s">
        <v>1076</v>
      </c>
      <c r="Y990" s="1362" t="s">
        <v>1077</v>
      </c>
      <c r="Z990" s="229"/>
      <c r="AA990" s="230"/>
      <c r="AB990" s="230"/>
      <c r="AC990" s="231"/>
      <c r="AD990" s="231"/>
      <c r="AE990" s="245"/>
      <c r="AF990" s="1350"/>
      <c r="AG990" s="1352"/>
      <c r="AH990" s="1352"/>
      <c r="AI990" s="1350"/>
      <c r="AJ990" s="1352"/>
      <c r="AK990" s="1352"/>
      <c r="AL990" s="772"/>
    </row>
    <row r="991" spans="1:38" ht="11.25" customHeight="1">
      <c r="A991" t="s">
        <v>1019</v>
      </c>
      <c r="E991" s="557"/>
      <c r="F991" s="1339"/>
      <c r="G991" s="1340"/>
      <c r="H991" s="1335" t="s">
        <v>114</v>
      </c>
      <c r="I991" s="1347"/>
      <c r="J991" s="1360"/>
      <c r="K991" s="1349"/>
      <c r="L991" s="1079"/>
      <c r="M991" s="1364"/>
      <c r="N991" s="1355"/>
      <c r="O991" s="1356"/>
      <c r="P991" s="1358"/>
      <c r="Q991" s="1348"/>
      <c r="R991" s="1308"/>
      <c r="S991" s="1361"/>
      <c r="T991" s="1308"/>
      <c r="U991" s="1308"/>
      <c r="V991" s="1308"/>
      <c r="W991" s="1308"/>
      <c r="X991" s="1308"/>
      <c r="Y991" s="1308"/>
      <c r="AA991" s="778">
        <v>1</v>
      </c>
      <c r="AB991" s="779" t="s">
        <v>1119</v>
      </c>
      <c r="AC991" s="237">
        <v>6619.8949407661403</v>
      </c>
      <c r="AD991" s="779" t="str">
        <f>AB991</f>
        <v xml:space="preserve">  Прибыль направляемая на инвестиции</v>
      </c>
      <c r="AE991" s="237">
        <v>0</v>
      </c>
      <c r="AF991" s="1350"/>
      <c r="AG991" s="1352"/>
      <c r="AH991" s="1352"/>
      <c r="AI991" s="1350"/>
      <c r="AJ991" s="1352"/>
      <c r="AK991" s="1352"/>
      <c r="AL991" s="772"/>
    </row>
    <row r="992" spans="1:38" ht="11.25" customHeight="1">
      <c r="A992" t="s">
        <v>1019</v>
      </c>
      <c r="E992" s="557"/>
      <c r="F992" s="1340"/>
      <c r="G992" s="1340"/>
      <c r="H992" s="1340"/>
      <c r="I992" s="1340"/>
      <c r="J992" s="1340"/>
      <c r="K992" s="1340"/>
      <c r="L992" s="1340"/>
      <c r="M992" s="1365"/>
      <c r="N992" s="1340"/>
      <c r="O992" s="1340"/>
      <c r="P992" s="1340"/>
      <c r="Q992" s="1340"/>
      <c r="R992" s="1340"/>
      <c r="S992" s="1340"/>
      <c r="T992" s="1340"/>
      <c r="U992" s="1340"/>
      <c r="V992" s="1340"/>
      <c r="W992" s="1340"/>
      <c r="X992" s="1340"/>
      <c r="Y992" s="1340"/>
      <c r="Z992" s="181" t="s">
        <v>103</v>
      </c>
      <c r="AA992" s="780" t="s">
        <v>102</v>
      </c>
      <c r="AB992" s="779" t="s">
        <v>1120</v>
      </c>
      <c r="AC992" s="237">
        <v>2375.3779823058298</v>
      </c>
      <c r="AD992" s="779" t="str">
        <f>AB992</f>
        <v xml:space="preserve">     Прочие амортизационные отчисления</v>
      </c>
      <c r="AE992" s="237">
        <v>0</v>
      </c>
      <c r="AF992" s="1351"/>
      <c r="AG992" s="1353"/>
      <c r="AH992" s="1353"/>
      <c r="AI992" s="1351"/>
      <c r="AJ992" s="1353"/>
      <c r="AK992" s="1354"/>
      <c r="AL992" s="772"/>
    </row>
    <row r="993" spans="1:38" ht="11.25" customHeight="1">
      <c r="A993" t="s">
        <v>1019</v>
      </c>
      <c r="E993" s="557"/>
      <c r="F993" s="1340"/>
      <c r="G993" s="1340"/>
      <c r="H993" s="1340"/>
      <c r="I993" s="1340"/>
      <c r="J993" s="1340"/>
      <c r="K993" s="1340"/>
      <c r="L993" s="1340"/>
      <c r="M993" s="1365"/>
      <c r="N993" s="1340"/>
      <c r="O993" s="1340"/>
      <c r="P993" s="1340"/>
      <c r="Q993" s="1340"/>
      <c r="R993" s="1340"/>
      <c r="S993" s="1340"/>
      <c r="T993" s="1340"/>
      <c r="U993" s="1340"/>
      <c r="V993" s="1340"/>
      <c r="W993" s="1340"/>
      <c r="X993" s="1340"/>
      <c r="Y993" s="1340"/>
      <c r="Z993" s="181" t="s">
        <v>103</v>
      </c>
      <c r="AA993" s="780" t="s">
        <v>89</v>
      </c>
      <c r="AB993" s="779" t="s">
        <v>1142</v>
      </c>
      <c r="AC993" s="237">
        <v>1655.5498022330401</v>
      </c>
      <c r="AD993" s="779" t="str">
        <f>AB993</f>
        <v xml:space="preserve">  Доход от взимания платы за негативное воздействие на работу централизованной системы водоотведения</v>
      </c>
      <c r="AE993" s="237">
        <v>0</v>
      </c>
      <c r="AF993" s="1351"/>
      <c r="AG993" s="1353"/>
      <c r="AH993" s="1353"/>
      <c r="AI993" s="1351"/>
      <c r="AJ993" s="1353"/>
      <c r="AK993" s="1354"/>
      <c r="AL993" s="772"/>
    </row>
    <row r="994" spans="1:38" ht="11.25" customHeight="1">
      <c r="A994" t="s">
        <v>1019</v>
      </c>
      <c r="E994" s="557"/>
      <c r="F994" s="1339"/>
      <c r="G994" s="1340"/>
      <c r="H994" s="1335" t="s">
        <v>114</v>
      </c>
      <c r="I994" s="1347"/>
      <c r="J994" s="1360"/>
      <c r="K994" s="1349"/>
      <c r="L994" s="1079"/>
      <c r="M994" s="1364"/>
      <c r="N994" s="1355"/>
      <c r="O994" s="1356"/>
      <c r="P994" s="1359"/>
      <c r="Q994" s="1348"/>
      <c r="R994" s="1308"/>
      <c r="S994" s="1361"/>
      <c r="T994" s="1308"/>
      <c r="U994" s="1308"/>
      <c r="V994" s="1308"/>
      <c r="W994" s="1308"/>
      <c r="X994" s="1308"/>
      <c r="Y994" s="1308"/>
      <c r="Z994" s="229"/>
      <c r="AA994" s="230"/>
      <c r="AB994" s="44" t="s">
        <v>1059</v>
      </c>
      <c r="AC994" s="231"/>
      <c r="AD994" s="231"/>
      <c r="AE994" s="246"/>
      <c r="AF994" s="1350"/>
      <c r="AG994" s="1352"/>
      <c r="AH994" s="1352"/>
      <c r="AI994" s="1350"/>
      <c r="AJ994" s="1352"/>
      <c r="AK994" s="1352"/>
      <c r="AL994" s="772"/>
    </row>
    <row r="995" spans="1:38" ht="11.25" customHeight="1">
      <c r="A995" t="s">
        <v>1019</v>
      </c>
      <c r="E995" s="557"/>
      <c r="F995" s="1339"/>
      <c r="G995" s="1340"/>
      <c r="H995" s="1335" t="s">
        <v>114</v>
      </c>
      <c r="I995" s="1347"/>
      <c r="J995" s="1360"/>
      <c r="K995" s="1349"/>
      <c r="L995" s="1079"/>
      <c r="M995" s="1364"/>
      <c r="N995" s="229"/>
      <c r="O995" s="230"/>
      <c r="P995" s="44" t="s">
        <v>1060</v>
      </c>
      <c r="Q995" s="230"/>
      <c r="R995" s="230"/>
      <c r="S995" s="230"/>
      <c r="T995" s="230"/>
      <c r="U995" s="230"/>
      <c r="V995" s="230"/>
      <c r="W995" s="230"/>
      <c r="X995" s="230"/>
      <c r="Y995" s="230"/>
      <c r="Z995" s="230"/>
      <c r="AA995" s="230"/>
      <c r="AB995" s="230"/>
      <c r="AC995" s="230"/>
      <c r="AD995" s="230"/>
      <c r="AE995" s="247"/>
      <c r="AF995" s="1350"/>
      <c r="AG995" s="1352"/>
      <c r="AH995" s="1352"/>
      <c r="AI995" s="1350"/>
      <c r="AJ995" s="1352"/>
      <c r="AK995" s="1352"/>
      <c r="AL995" s="772"/>
    </row>
    <row r="996" spans="1:38" ht="11.25" customHeight="1">
      <c r="A996" t="s">
        <v>1019</v>
      </c>
      <c r="B996" t="s">
        <v>22</v>
      </c>
      <c r="E996" s="557"/>
      <c r="F996" s="1339"/>
      <c r="G996" s="1325" t="s">
        <v>103</v>
      </c>
      <c r="H996" s="1335" t="s">
        <v>89</v>
      </c>
      <c r="I996" s="1347" t="s">
        <v>1071</v>
      </c>
      <c r="J996" s="1360" t="s">
        <v>22</v>
      </c>
      <c r="K996" s="1349" t="s">
        <v>1139</v>
      </c>
      <c r="L996" s="1079" t="s">
        <v>61</v>
      </c>
      <c r="M996" s="1364" t="s">
        <v>1018</v>
      </c>
      <c r="N996" s="242"/>
      <c r="O996" s="243" t="s">
        <v>384</v>
      </c>
      <c r="P996" s="244"/>
      <c r="Q996" s="244"/>
      <c r="R996" s="244"/>
      <c r="S996" s="244"/>
      <c r="T996" s="244"/>
      <c r="U996" s="244"/>
      <c r="V996" s="244"/>
      <c r="W996" s="244"/>
      <c r="X996" s="244"/>
      <c r="Y996" s="244"/>
      <c r="Z996" s="244"/>
      <c r="AA996" s="244"/>
      <c r="AB996" s="244"/>
      <c r="AC996" s="244"/>
      <c r="AD996" s="244"/>
      <c r="AE996" s="244"/>
      <c r="AF996" s="1350">
        <v>1</v>
      </c>
      <c r="AG996" s="1352" t="s">
        <v>1055</v>
      </c>
      <c r="AH996" s="1352" t="s">
        <v>1079</v>
      </c>
      <c r="AI996" s="1350">
        <v>1</v>
      </c>
      <c r="AJ996" s="1352" t="s">
        <v>1055</v>
      </c>
      <c r="AK996" s="1352" t="s">
        <v>1079</v>
      </c>
      <c r="AL996" s="772"/>
    </row>
    <row r="997" spans="1:38" ht="11.25" customHeight="1">
      <c r="A997" t="s">
        <v>1019</v>
      </c>
      <c r="E997" s="557"/>
      <c r="F997" s="1339"/>
      <c r="G997" s="1340"/>
      <c r="H997" s="1335" t="s">
        <v>102</v>
      </c>
      <c r="I997" s="1347"/>
      <c r="J997" s="1360"/>
      <c r="K997" s="1349"/>
      <c r="L997" s="1079"/>
      <c r="M997" s="1364"/>
      <c r="N997" s="1355"/>
      <c r="O997" s="1356">
        <v>1</v>
      </c>
      <c r="P997" s="1357" t="s">
        <v>61</v>
      </c>
      <c r="Q997" s="1348" t="s">
        <v>1074</v>
      </c>
      <c r="R997" s="1362" t="s">
        <v>1075</v>
      </c>
      <c r="S997" s="1362" t="s">
        <v>99</v>
      </c>
      <c r="T997" s="1362" t="s">
        <v>99</v>
      </c>
      <c r="U997" s="1362" t="s">
        <v>100</v>
      </c>
      <c r="V997" s="1362" t="s">
        <v>1066</v>
      </c>
      <c r="W997" s="1362" t="s">
        <v>1067</v>
      </c>
      <c r="X997" s="1362" t="s">
        <v>1076</v>
      </c>
      <c r="Y997" s="1362" t="s">
        <v>1077</v>
      </c>
      <c r="Z997" s="229"/>
      <c r="AA997" s="230"/>
      <c r="AB997" s="230"/>
      <c r="AC997" s="231"/>
      <c r="AD997" s="231"/>
      <c r="AE997" s="245"/>
      <c r="AF997" s="1350"/>
      <c r="AG997" s="1352"/>
      <c r="AH997" s="1352"/>
      <c r="AI997" s="1350"/>
      <c r="AJ997" s="1352"/>
      <c r="AK997" s="1352"/>
      <c r="AL997" s="772"/>
    </row>
    <row r="998" spans="1:38" ht="11.25" customHeight="1">
      <c r="A998" t="s">
        <v>1019</v>
      </c>
      <c r="E998" s="557"/>
      <c r="F998" s="1339"/>
      <c r="G998" s="1340"/>
      <c r="H998" s="1335" t="s">
        <v>102</v>
      </c>
      <c r="I998" s="1347"/>
      <c r="J998" s="1360"/>
      <c r="K998" s="1349"/>
      <c r="L998" s="1079"/>
      <c r="M998" s="1364"/>
      <c r="N998" s="1355"/>
      <c r="O998" s="1356"/>
      <c r="P998" s="1358"/>
      <c r="Q998" s="1348"/>
      <c r="R998" s="1308"/>
      <c r="S998" s="1361"/>
      <c r="T998" s="1308"/>
      <c r="U998" s="1308"/>
      <c r="V998" s="1308"/>
      <c r="W998" s="1308"/>
      <c r="X998" s="1308"/>
      <c r="Y998" s="1308"/>
      <c r="AA998" s="778">
        <v>1</v>
      </c>
      <c r="AB998" s="779" t="s">
        <v>1147</v>
      </c>
      <c r="AC998" s="237">
        <v>3502996.2403719299</v>
      </c>
      <c r="AD998" s="779" t="str">
        <f>AB998</f>
        <v xml:space="preserve">  Федеральный бюджет</v>
      </c>
      <c r="AE998" s="237">
        <v>0</v>
      </c>
      <c r="AF998" s="1350"/>
      <c r="AG998" s="1352"/>
      <c r="AH998" s="1352"/>
      <c r="AI998" s="1350"/>
      <c r="AJ998" s="1352"/>
      <c r="AK998" s="1352"/>
      <c r="AL998" s="772"/>
    </row>
    <row r="999" spans="1:38" ht="11.25" customHeight="1">
      <c r="A999" t="s">
        <v>1019</v>
      </c>
      <c r="E999" s="557"/>
      <c r="F999" s="1340"/>
      <c r="G999" s="1340"/>
      <c r="H999" s="1340"/>
      <c r="I999" s="1340"/>
      <c r="J999" s="1340"/>
      <c r="K999" s="1340"/>
      <c r="L999" s="1340"/>
      <c r="M999" s="1365"/>
      <c r="N999" s="1340"/>
      <c r="O999" s="1340"/>
      <c r="P999" s="1340"/>
      <c r="Q999" s="1340"/>
      <c r="R999" s="1340"/>
      <c r="S999" s="1340"/>
      <c r="T999" s="1340"/>
      <c r="U999" s="1340"/>
      <c r="V999" s="1340"/>
      <c r="W999" s="1340"/>
      <c r="X999" s="1340"/>
      <c r="Y999" s="1340"/>
      <c r="Z999" s="181" t="s">
        <v>103</v>
      </c>
      <c r="AA999" s="780" t="s">
        <v>102</v>
      </c>
      <c r="AB999" s="779" t="s">
        <v>1148</v>
      </c>
      <c r="AC999" s="237">
        <v>6557997.9196621096</v>
      </c>
      <c r="AD999" s="779" t="str">
        <f>AB999</f>
        <v xml:space="preserve">  Бюджет субъекта РФ</v>
      </c>
      <c r="AE999" s="237">
        <v>0</v>
      </c>
      <c r="AF999" s="1351"/>
      <c r="AG999" s="1353"/>
      <c r="AH999" s="1353"/>
      <c r="AI999" s="1351"/>
      <c r="AJ999" s="1353"/>
      <c r="AK999" s="1354"/>
      <c r="AL999" s="772"/>
    </row>
    <row r="1000" spans="1:38" ht="11.25" customHeight="1">
      <c r="A1000" t="s">
        <v>1019</v>
      </c>
      <c r="E1000" s="557"/>
      <c r="F1000" s="1340"/>
      <c r="G1000" s="1340"/>
      <c r="H1000" s="1340"/>
      <c r="I1000" s="1340"/>
      <c r="J1000" s="1340"/>
      <c r="K1000" s="1340"/>
      <c r="L1000" s="1340"/>
      <c r="M1000" s="1365"/>
      <c r="N1000" s="1340"/>
      <c r="O1000" s="1340"/>
      <c r="P1000" s="1340"/>
      <c r="Q1000" s="1340"/>
      <c r="R1000" s="1340"/>
      <c r="S1000" s="1340"/>
      <c r="T1000" s="1340"/>
      <c r="U1000" s="1340"/>
      <c r="V1000" s="1340"/>
      <c r="W1000" s="1340"/>
      <c r="X1000" s="1340"/>
      <c r="Y1000" s="1340"/>
      <c r="Z1000" s="181" t="s">
        <v>103</v>
      </c>
      <c r="AA1000" s="780" t="s">
        <v>89</v>
      </c>
      <c r="AB1000" s="779" t="s">
        <v>1149</v>
      </c>
      <c r="AC1000" s="237">
        <v>136379.84498596101</v>
      </c>
      <c r="AD1000" s="779" t="str">
        <f>AB1000</f>
        <v xml:space="preserve">  Бюджет муниципального образования</v>
      </c>
      <c r="AE1000" s="237">
        <v>0</v>
      </c>
      <c r="AF1000" s="1351"/>
      <c r="AG1000" s="1353"/>
      <c r="AH1000" s="1353"/>
      <c r="AI1000" s="1351"/>
      <c r="AJ1000" s="1353"/>
      <c r="AK1000" s="1354"/>
      <c r="AL1000" s="772"/>
    </row>
    <row r="1001" spans="1:38" ht="11.25" customHeight="1">
      <c r="A1001" t="s">
        <v>1019</v>
      </c>
      <c r="E1001" s="557"/>
      <c r="F1001" s="1339"/>
      <c r="G1001" s="1340"/>
      <c r="H1001" s="1335" t="s">
        <v>102</v>
      </c>
      <c r="I1001" s="1347"/>
      <c r="J1001" s="1360"/>
      <c r="K1001" s="1349"/>
      <c r="L1001" s="1079"/>
      <c r="M1001" s="1364"/>
      <c r="N1001" s="1355"/>
      <c r="O1001" s="1356"/>
      <c r="P1001" s="1359"/>
      <c r="Q1001" s="1348"/>
      <c r="R1001" s="1308"/>
      <c r="S1001" s="1361"/>
      <c r="T1001" s="1308"/>
      <c r="U1001" s="1308"/>
      <c r="V1001" s="1308"/>
      <c r="W1001" s="1308"/>
      <c r="X1001" s="1308"/>
      <c r="Y1001" s="1308"/>
      <c r="Z1001" s="229"/>
      <c r="AA1001" s="230"/>
      <c r="AB1001" s="44" t="s">
        <v>1059</v>
      </c>
      <c r="AC1001" s="231"/>
      <c r="AD1001" s="231"/>
      <c r="AE1001" s="246"/>
      <c r="AF1001" s="1350"/>
      <c r="AG1001" s="1352"/>
      <c r="AH1001" s="1352"/>
      <c r="AI1001" s="1350"/>
      <c r="AJ1001" s="1352"/>
      <c r="AK1001" s="1352"/>
      <c r="AL1001" s="772"/>
    </row>
    <row r="1002" spans="1:38" ht="11.25" customHeight="1">
      <c r="A1002" t="s">
        <v>1019</v>
      </c>
      <c r="E1002" s="557"/>
      <c r="F1002" s="1339"/>
      <c r="G1002" s="1340"/>
      <c r="H1002" s="1335" t="s">
        <v>102</v>
      </c>
      <c r="I1002" s="1347"/>
      <c r="J1002" s="1360"/>
      <c r="K1002" s="1349"/>
      <c r="L1002" s="1079"/>
      <c r="M1002" s="1364"/>
      <c r="N1002" s="229"/>
      <c r="O1002" s="230"/>
      <c r="P1002" s="44" t="s">
        <v>1060</v>
      </c>
      <c r="Q1002" s="230"/>
      <c r="R1002" s="230"/>
      <c r="S1002" s="230"/>
      <c r="T1002" s="230"/>
      <c r="U1002" s="230"/>
      <c r="V1002" s="230"/>
      <c r="W1002" s="230"/>
      <c r="X1002" s="230"/>
      <c r="Y1002" s="230"/>
      <c r="Z1002" s="230"/>
      <c r="AA1002" s="230"/>
      <c r="AB1002" s="230"/>
      <c r="AC1002" s="230"/>
      <c r="AD1002" s="230"/>
      <c r="AE1002" s="247"/>
      <c r="AF1002" s="1350"/>
      <c r="AG1002" s="1352"/>
      <c r="AH1002" s="1352"/>
      <c r="AI1002" s="1350"/>
      <c r="AJ1002" s="1352"/>
      <c r="AK1002" s="1352"/>
      <c r="AL1002" s="772"/>
    </row>
    <row r="1003" spans="1:38" ht="11.25" customHeight="1">
      <c r="A1003" t="s">
        <v>1019</v>
      </c>
      <c r="B1003" t="s">
        <v>22</v>
      </c>
      <c r="E1003" s="557"/>
      <c r="F1003" s="1339"/>
      <c r="G1003" s="1325" t="s">
        <v>103</v>
      </c>
      <c r="H1003" s="1335" t="s">
        <v>90</v>
      </c>
      <c r="I1003" s="1347" t="s">
        <v>1071</v>
      </c>
      <c r="J1003" s="1360" t="s">
        <v>22</v>
      </c>
      <c r="K1003" s="1349" t="s">
        <v>1151</v>
      </c>
      <c r="L1003" s="1079" t="s">
        <v>19</v>
      </c>
      <c r="M1003" s="1080"/>
      <c r="N1003" s="242"/>
      <c r="O1003" s="243" t="s">
        <v>384</v>
      </c>
      <c r="P1003" s="244"/>
      <c r="Q1003" s="244"/>
      <c r="R1003" s="244"/>
      <c r="S1003" s="244"/>
      <c r="T1003" s="244"/>
      <c r="U1003" s="244"/>
      <c r="V1003" s="244"/>
      <c r="W1003" s="244"/>
      <c r="X1003" s="244"/>
      <c r="Y1003" s="244"/>
      <c r="Z1003" s="244"/>
      <c r="AA1003" s="244"/>
      <c r="AB1003" s="244"/>
      <c r="AC1003" s="244"/>
      <c r="AD1003" s="244"/>
      <c r="AE1003" s="244"/>
      <c r="AF1003" s="1350">
        <v>2</v>
      </c>
      <c r="AG1003" s="1352" t="s">
        <v>1055</v>
      </c>
      <c r="AH1003" s="1352" t="s">
        <v>1152</v>
      </c>
      <c r="AI1003" s="1350">
        <v>2</v>
      </c>
      <c r="AJ1003" s="1352" t="s">
        <v>1055</v>
      </c>
      <c r="AK1003" s="1352" t="s">
        <v>1152</v>
      </c>
      <c r="AL1003" s="772"/>
    </row>
    <row r="1004" spans="1:38" ht="11.25" customHeight="1">
      <c r="A1004" t="s">
        <v>1019</v>
      </c>
      <c r="E1004" s="557"/>
      <c r="F1004" s="1339"/>
      <c r="G1004" s="1340"/>
      <c r="H1004" s="1335" t="s">
        <v>89</v>
      </c>
      <c r="I1004" s="1347"/>
      <c r="J1004" s="1360"/>
      <c r="K1004" s="1349"/>
      <c r="L1004" s="1079"/>
      <c r="M1004" s="1080"/>
      <c r="N1004" s="1355"/>
      <c r="O1004" s="1356">
        <v>1</v>
      </c>
      <c r="P1004" s="1357" t="s">
        <v>19</v>
      </c>
      <c r="Q1004" s="1308" t="s">
        <v>22</v>
      </c>
      <c r="R1004" s="1308" t="s">
        <v>22</v>
      </c>
      <c r="S1004" s="1308" t="s">
        <v>22</v>
      </c>
      <c r="T1004" s="1308" t="s">
        <v>22</v>
      </c>
      <c r="U1004" s="1308" t="s">
        <v>22</v>
      </c>
      <c r="V1004" s="1308" t="s">
        <v>22</v>
      </c>
      <c r="W1004" s="1308" t="s">
        <v>22</v>
      </c>
      <c r="X1004" s="1308" t="s">
        <v>22</v>
      </c>
      <c r="Y1004" s="1308"/>
      <c r="Z1004" s="229"/>
      <c r="AA1004" s="230"/>
      <c r="AB1004" s="230"/>
      <c r="AC1004" s="231"/>
      <c r="AD1004" s="231"/>
      <c r="AE1004" s="245"/>
      <c r="AF1004" s="1350"/>
      <c r="AG1004" s="1352"/>
      <c r="AH1004" s="1352"/>
      <c r="AI1004" s="1350"/>
      <c r="AJ1004" s="1352"/>
      <c r="AK1004" s="1352"/>
      <c r="AL1004" s="772"/>
    </row>
    <row r="1005" spans="1:38" ht="11.25" customHeight="1">
      <c r="A1005" t="s">
        <v>1019</v>
      </c>
      <c r="E1005" s="557"/>
      <c r="F1005" s="1339"/>
      <c r="G1005" s="1340"/>
      <c r="H1005" s="1335" t="s">
        <v>89</v>
      </c>
      <c r="I1005" s="1347"/>
      <c r="J1005" s="1360"/>
      <c r="K1005" s="1349"/>
      <c r="L1005" s="1079"/>
      <c r="M1005" s="1080"/>
      <c r="N1005" s="1355"/>
      <c r="O1005" s="1356"/>
      <c r="P1005" s="1358"/>
      <c r="Q1005" s="1308"/>
      <c r="R1005" s="1308"/>
      <c r="S1005" s="1361"/>
      <c r="T1005" s="1308"/>
      <c r="U1005" s="1308"/>
      <c r="V1005" s="1308"/>
      <c r="W1005" s="1308"/>
      <c r="X1005" s="1308"/>
      <c r="Y1005" s="1308"/>
      <c r="AA1005" s="778">
        <v>1</v>
      </c>
      <c r="AB1005" s="779" t="s">
        <v>1119</v>
      </c>
      <c r="AC1005" s="237">
        <v>52890.006706741602</v>
      </c>
      <c r="AD1005" s="779" t="str">
        <f>AB1005</f>
        <v xml:space="preserve">  Прибыль направляемая на инвестиции</v>
      </c>
      <c r="AE1005" s="237">
        <v>0</v>
      </c>
      <c r="AF1005" s="1350"/>
      <c r="AG1005" s="1352"/>
      <c r="AH1005" s="1352"/>
      <c r="AI1005" s="1350"/>
      <c r="AJ1005" s="1352"/>
      <c r="AK1005" s="1352"/>
      <c r="AL1005" s="772"/>
    </row>
    <row r="1006" spans="1:38" ht="11.25" customHeight="1">
      <c r="A1006" t="s">
        <v>1019</v>
      </c>
      <c r="E1006" s="557"/>
      <c r="F1006" s="1340"/>
      <c r="G1006" s="1340"/>
      <c r="H1006" s="1340"/>
      <c r="I1006" s="1340"/>
      <c r="J1006" s="1340"/>
      <c r="K1006" s="1340"/>
      <c r="L1006" s="1340"/>
      <c r="M1006" s="1340"/>
      <c r="N1006" s="1340"/>
      <c r="O1006" s="1340"/>
      <c r="P1006" s="1340"/>
      <c r="Q1006" s="1340"/>
      <c r="R1006" s="1340"/>
      <c r="S1006" s="1340"/>
      <c r="T1006" s="1340"/>
      <c r="U1006" s="1340"/>
      <c r="V1006" s="1340"/>
      <c r="W1006" s="1340"/>
      <c r="X1006" s="1340"/>
      <c r="Y1006" s="1340"/>
      <c r="Z1006" s="181" t="s">
        <v>103</v>
      </c>
      <c r="AA1006" s="780" t="s">
        <v>102</v>
      </c>
      <c r="AB1006" s="779" t="s">
        <v>1120</v>
      </c>
      <c r="AC1006" s="237">
        <v>18978.210158824899</v>
      </c>
      <c r="AD1006" s="779" t="str">
        <f>AB1006</f>
        <v xml:space="preserve">     Прочие амортизационные отчисления</v>
      </c>
      <c r="AE1006" s="237">
        <v>0</v>
      </c>
      <c r="AF1006" s="1351"/>
      <c r="AG1006" s="1353"/>
      <c r="AH1006" s="1353"/>
      <c r="AI1006" s="1351"/>
      <c r="AJ1006" s="1353"/>
      <c r="AK1006" s="1354"/>
      <c r="AL1006" s="772"/>
    </row>
    <row r="1007" spans="1:38" ht="11.25" customHeight="1">
      <c r="A1007" t="s">
        <v>1019</v>
      </c>
      <c r="E1007" s="557"/>
      <c r="F1007" s="1340"/>
      <c r="G1007" s="1340"/>
      <c r="H1007" s="1340"/>
      <c r="I1007" s="1340"/>
      <c r="J1007" s="1340"/>
      <c r="K1007" s="1340"/>
      <c r="L1007" s="1340"/>
      <c r="M1007" s="1340"/>
      <c r="N1007" s="1340"/>
      <c r="O1007" s="1340"/>
      <c r="P1007" s="1340"/>
      <c r="Q1007" s="1340"/>
      <c r="R1007" s="1340"/>
      <c r="S1007" s="1340"/>
      <c r="T1007" s="1340"/>
      <c r="U1007" s="1340"/>
      <c r="V1007" s="1340"/>
      <c r="W1007" s="1340"/>
      <c r="X1007" s="1340"/>
      <c r="Y1007" s="1340"/>
      <c r="Z1007" s="181" t="s">
        <v>103</v>
      </c>
      <c r="AA1007" s="780" t="s">
        <v>89</v>
      </c>
      <c r="AB1007" s="779" t="s">
        <v>1142</v>
      </c>
      <c r="AC1007" s="237">
        <v>13227.1041952996</v>
      </c>
      <c r="AD1007" s="779" t="str">
        <f>AB1007</f>
        <v xml:space="preserve">  Доход от взимания платы за негативное воздействие на работу централизованной системы водоотведения</v>
      </c>
      <c r="AE1007" s="237">
        <v>0</v>
      </c>
      <c r="AF1007" s="1351"/>
      <c r="AG1007" s="1353"/>
      <c r="AH1007" s="1353"/>
      <c r="AI1007" s="1351"/>
      <c r="AJ1007" s="1353"/>
      <c r="AK1007" s="1354"/>
      <c r="AL1007" s="772"/>
    </row>
    <row r="1008" spans="1:38" ht="11.25" customHeight="1">
      <c r="A1008" t="s">
        <v>1019</v>
      </c>
      <c r="E1008" s="557"/>
      <c r="F1008" s="1339"/>
      <c r="G1008" s="1340"/>
      <c r="H1008" s="1335" t="s">
        <v>89</v>
      </c>
      <c r="I1008" s="1347"/>
      <c r="J1008" s="1360"/>
      <c r="K1008" s="1349"/>
      <c r="L1008" s="1079"/>
      <c r="M1008" s="1080"/>
      <c r="N1008" s="1355"/>
      <c r="O1008" s="1356"/>
      <c r="P1008" s="1359"/>
      <c r="Q1008" s="1308"/>
      <c r="R1008" s="1308"/>
      <c r="S1008" s="1361"/>
      <c r="T1008" s="1308"/>
      <c r="U1008" s="1308"/>
      <c r="V1008" s="1308"/>
      <c r="W1008" s="1308"/>
      <c r="X1008" s="1308"/>
      <c r="Y1008" s="1308"/>
      <c r="Z1008" s="229"/>
      <c r="AA1008" s="230"/>
      <c r="AB1008" s="44" t="s">
        <v>1059</v>
      </c>
      <c r="AC1008" s="231"/>
      <c r="AD1008" s="231"/>
      <c r="AE1008" s="246"/>
      <c r="AF1008" s="1350"/>
      <c r="AG1008" s="1352"/>
      <c r="AH1008" s="1352"/>
      <c r="AI1008" s="1350"/>
      <c r="AJ1008" s="1352"/>
      <c r="AK1008" s="1352"/>
      <c r="AL1008" s="772"/>
    </row>
    <row r="1009" spans="1:38" ht="11.25" customHeight="1">
      <c r="A1009" t="s">
        <v>1019</v>
      </c>
      <c r="E1009" s="557"/>
      <c r="F1009" s="1339"/>
      <c r="G1009" s="1340"/>
      <c r="H1009" s="1335" t="s">
        <v>89</v>
      </c>
      <c r="I1009" s="1347"/>
      <c r="J1009" s="1360"/>
      <c r="K1009" s="1349"/>
      <c r="L1009" s="1079"/>
      <c r="M1009" s="1080"/>
      <c r="N1009" s="229"/>
      <c r="O1009" s="230"/>
      <c r="P1009" s="44" t="s">
        <v>1060</v>
      </c>
      <c r="Q1009" s="230"/>
      <c r="R1009" s="230"/>
      <c r="S1009" s="230"/>
      <c r="T1009" s="230"/>
      <c r="U1009" s="230"/>
      <c r="V1009" s="230"/>
      <c r="W1009" s="230"/>
      <c r="X1009" s="230"/>
      <c r="Y1009" s="230"/>
      <c r="Z1009" s="230"/>
      <c r="AA1009" s="230"/>
      <c r="AB1009" s="230"/>
      <c r="AC1009" s="230"/>
      <c r="AD1009" s="230"/>
      <c r="AE1009" s="247"/>
      <c r="AF1009" s="1350"/>
      <c r="AG1009" s="1352"/>
      <c r="AH1009" s="1352"/>
      <c r="AI1009" s="1350"/>
      <c r="AJ1009" s="1352"/>
      <c r="AK1009" s="1352"/>
      <c r="AL1009" s="772"/>
    </row>
    <row r="1010" spans="1:38" ht="11.25" customHeight="1">
      <c r="A1010" t="s">
        <v>1019</v>
      </c>
      <c r="B1010" t="s">
        <v>1051</v>
      </c>
      <c r="E1010" s="557"/>
      <c r="F1010" s="1339"/>
      <c r="G1010" s="1325" t="s">
        <v>103</v>
      </c>
      <c r="H1010" s="1335" t="s">
        <v>115</v>
      </c>
      <c r="I1010" s="1347" t="s">
        <v>1052</v>
      </c>
      <c r="J1010" s="1363" t="s">
        <v>1093</v>
      </c>
      <c r="K1010" s="1349" t="s">
        <v>1100</v>
      </c>
      <c r="L1010" s="1079" t="s">
        <v>19</v>
      </c>
      <c r="M1010" s="1080"/>
      <c r="N1010" s="242"/>
      <c r="O1010" s="243" t="s">
        <v>384</v>
      </c>
      <c r="P1010" s="244"/>
      <c r="Q1010" s="244"/>
      <c r="R1010" s="244"/>
      <c r="S1010" s="244"/>
      <c r="T1010" s="244"/>
      <c r="U1010" s="244"/>
      <c r="V1010" s="244"/>
      <c r="W1010" s="244"/>
      <c r="X1010" s="244"/>
      <c r="Y1010" s="244"/>
      <c r="Z1010" s="244"/>
      <c r="AA1010" s="244"/>
      <c r="AB1010" s="244"/>
      <c r="AC1010" s="244"/>
      <c r="AD1010" s="244"/>
      <c r="AE1010" s="244"/>
      <c r="AF1010" s="1350">
        <v>5</v>
      </c>
      <c r="AG1010" s="1352" t="s">
        <v>1055</v>
      </c>
      <c r="AH1010" s="1352" t="s">
        <v>1101</v>
      </c>
      <c r="AI1010" s="1350">
        <v>5</v>
      </c>
      <c r="AJ1010" s="1352" t="s">
        <v>1055</v>
      </c>
      <c r="AK1010" s="1352" t="s">
        <v>1101</v>
      </c>
      <c r="AL1010" s="772"/>
    </row>
    <row r="1011" spans="1:38" ht="11.25" customHeight="1">
      <c r="A1011" t="s">
        <v>1019</v>
      </c>
      <c r="E1011" s="557"/>
      <c r="F1011" s="1339"/>
      <c r="G1011" s="1340"/>
      <c r="H1011" s="1335" t="s">
        <v>90</v>
      </c>
      <c r="I1011" s="1347"/>
      <c r="J1011" s="1363"/>
      <c r="K1011" s="1349"/>
      <c r="L1011" s="1079"/>
      <c r="M1011" s="1080"/>
      <c r="N1011" s="1355"/>
      <c r="O1011" s="1356">
        <v>1</v>
      </c>
      <c r="P1011" s="1357" t="s">
        <v>19</v>
      </c>
      <c r="Q1011" s="1308" t="s">
        <v>22</v>
      </c>
      <c r="R1011" s="1308" t="s">
        <v>22</v>
      </c>
      <c r="S1011" s="1308" t="s">
        <v>22</v>
      </c>
      <c r="T1011" s="1308" t="s">
        <v>22</v>
      </c>
      <c r="U1011" s="1308" t="s">
        <v>22</v>
      </c>
      <c r="V1011" s="1308" t="s">
        <v>22</v>
      </c>
      <c r="W1011" s="1308" t="s">
        <v>22</v>
      </c>
      <c r="X1011" s="1308" t="s">
        <v>22</v>
      </c>
      <c r="Y1011" s="1308"/>
      <c r="Z1011" s="229"/>
      <c r="AA1011" s="230"/>
      <c r="AB1011" s="230"/>
      <c r="AC1011" s="231"/>
      <c r="AD1011" s="231"/>
      <c r="AE1011" s="245"/>
      <c r="AF1011" s="1350"/>
      <c r="AG1011" s="1352"/>
      <c r="AH1011" s="1352"/>
      <c r="AI1011" s="1350"/>
      <c r="AJ1011" s="1352"/>
      <c r="AK1011" s="1352"/>
      <c r="AL1011" s="772"/>
    </row>
    <row r="1012" spans="1:38" ht="11.25" customHeight="1">
      <c r="A1012" t="s">
        <v>1019</v>
      </c>
      <c r="E1012" s="557"/>
      <c r="F1012" s="1339"/>
      <c r="G1012" s="1340"/>
      <c r="H1012" s="1335" t="s">
        <v>90</v>
      </c>
      <c r="I1012" s="1347"/>
      <c r="J1012" s="1363"/>
      <c r="K1012" s="1349"/>
      <c r="L1012" s="1079"/>
      <c r="M1012" s="1080"/>
      <c r="N1012" s="1355"/>
      <c r="O1012" s="1356"/>
      <c r="P1012" s="1358"/>
      <c r="Q1012" s="1308"/>
      <c r="R1012" s="1308"/>
      <c r="S1012" s="1361"/>
      <c r="T1012" s="1308"/>
      <c r="U1012" s="1308"/>
      <c r="V1012" s="1308"/>
      <c r="W1012" s="1308"/>
      <c r="X1012" s="1308"/>
      <c r="Y1012" s="1308"/>
      <c r="AA1012" s="778">
        <v>1</v>
      </c>
      <c r="AB1012" s="779" t="s">
        <v>1119</v>
      </c>
      <c r="AC1012" s="237">
        <v>609.58630360291602</v>
      </c>
      <c r="AD1012" s="779" t="str">
        <f>AB1012</f>
        <v xml:space="preserve">  Прибыль направляемая на инвестиции</v>
      </c>
      <c r="AE1012" s="237">
        <v>0</v>
      </c>
      <c r="AF1012" s="1350"/>
      <c r="AG1012" s="1352"/>
      <c r="AH1012" s="1352"/>
      <c r="AI1012" s="1350"/>
      <c r="AJ1012" s="1352"/>
      <c r="AK1012" s="1352"/>
      <c r="AL1012" s="772"/>
    </row>
    <row r="1013" spans="1:38" ht="11.25" customHeight="1">
      <c r="A1013" t="s">
        <v>1019</v>
      </c>
      <c r="E1013" s="557"/>
      <c r="F1013" s="1340"/>
      <c r="G1013" s="1340"/>
      <c r="H1013" s="1340"/>
      <c r="I1013" s="1340"/>
      <c r="J1013" s="1340"/>
      <c r="K1013" s="1340"/>
      <c r="L1013" s="1340"/>
      <c r="M1013" s="1340"/>
      <c r="N1013" s="1340"/>
      <c r="O1013" s="1340"/>
      <c r="P1013" s="1340"/>
      <c r="Q1013" s="1340"/>
      <c r="R1013" s="1340"/>
      <c r="S1013" s="1340"/>
      <c r="T1013" s="1340"/>
      <c r="U1013" s="1340"/>
      <c r="V1013" s="1340"/>
      <c r="W1013" s="1340"/>
      <c r="X1013" s="1340"/>
      <c r="Y1013" s="1340"/>
      <c r="Z1013" s="181" t="s">
        <v>103</v>
      </c>
      <c r="AA1013" s="780" t="s">
        <v>102</v>
      </c>
      <c r="AB1013" s="779" t="s">
        <v>1120</v>
      </c>
      <c r="AC1013" s="237">
        <v>218.7342694786</v>
      </c>
      <c r="AD1013" s="779" t="str">
        <f>AB1013</f>
        <v xml:space="preserve">     Прочие амортизационные отчисления</v>
      </c>
      <c r="AE1013" s="237">
        <v>0</v>
      </c>
      <c r="AF1013" s="1351"/>
      <c r="AG1013" s="1353"/>
      <c r="AH1013" s="1353"/>
      <c r="AI1013" s="1351"/>
      <c r="AJ1013" s="1353"/>
      <c r="AK1013" s="1354"/>
      <c r="AL1013" s="772"/>
    </row>
    <row r="1014" spans="1:38" ht="11.25" customHeight="1">
      <c r="A1014" t="s">
        <v>1019</v>
      </c>
      <c r="E1014" s="557"/>
      <c r="F1014" s="1340"/>
      <c r="G1014" s="1340"/>
      <c r="H1014" s="1340"/>
      <c r="I1014" s="1340"/>
      <c r="J1014" s="1340"/>
      <c r="K1014" s="1340"/>
      <c r="L1014" s="1340"/>
      <c r="M1014" s="1340"/>
      <c r="N1014" s="1340"/>
      <c r="O1014" s="1340"/>
      <c r="P1014" s="1340"/>
      <c r="Q1014" s="1340"/>
      <c r="R1014" s="1340"/>
      <c r="S1014" s="1340"/>
      <c r="T1014" s="1340"/>
      <c r="U1014" s="1340"/>
      <c r="V1014" s="1340"/>
      <c r="W1014" s="1340"/>
      <c r="X1014" s="1340"/>
      <c r="Y1014" s="1340"/>
      <c r="Z1014" s="181" t="s">
        <v>103</v>
      </c>
      <c r="AA1014" s="780" t="s">
        <v>89</v>
      </c>
      <c r="AB1014" s="779" t="s">
        <v>1142</v>
      </c>
      <c r="AC1014" s="237">
        <v>152.44962244929201</v>
      </c>
      <c r="AD1014" s="779" t="str">
        <f>AB1014</f>
        <v xml:space="preserve">  Доход от взимания платы за негативное воздействие на работу централизованной системы водоотведения</v>
      </c>
      <c r="AE1014" s="237">
        <v>0</v>
      </c>
      <c r="AF1014" s="1351"/>
      <c r="AG1014" s="1353"/>
      <c r="AH1014" s="1353"/>
      <c r="AI1014" s="1351"/>
      <c r="AJ1014" s="1353"/>
      <c r="AK1014" s="1354"/>
      <c r="AL1014" s="772"/>
    </row>
    <row r="1015" spans="1:38" ht="11.25" customHeight="1">
      <c r="A1015" t="s">
        <v>1019</v>
      </c>
      <c r="E1015" s="557"/>
      <c r="F1015" s="1339"/>
      <c r="G1015" s="1340"/>
      <c r="H1015" s="1335" t="s">
        <v>90</v>
      </c>
      <c r="I1015" s="1347"/>
      <c r="J1015" s="1363"/>
      <c r="K1015" s="1349"/>
      <c r="L1015" s="1079"/>
      <c r="M1015" s="1080"/>
      <c r="N1015" s="1355"/>
      <c r="O1015" s="1356"/>
      <c r="P1015" s="1359"/>
      <c r="Q1015" s="1308"/>
      <c r="R1015" s="1308"/>
      <c r="S1015" s="1361"/>
      <c r="T1015" s="1308"/>
      <c r="U1015" s="1308"/>
      <c r="V1015" s="1308"/>
      <c r="W1015" s="1308"/>
      <c r="X1015" s="1308"/>
      <c r="Y1015" s="1308"/>
      <c r="Z1015" s="229"/>
      <c r="AA1015" s="230"/>
      <c r="AB1015" s="44" t="s">
        <v>1059</v>
      </c>
      <c r="AC1015" s="231"/>
      <c r="AD1015" s="231"/>
      <c r="AE1015" s="246"/>
      <c r="AF1015" s="1350"/>
      <c r="AG1015" s="1352"/>
      <c r="AH1015" s="1352"/>
      <c r="AI1015" s="1350"/>
      <c r="AJ1015" s="1352"/>
      <c r="AK1015" s="1352"/>
      <c r="AL1015" s="772"/>
    </row>
    <row r="1016" spans="1:38" ht="11.25" customHeight="1">
      <c r="A1016" t="s">
        <v>1019</v>
      </c>
      <c r="E1016" s="557"/>
      <c r="F1016" s="1339"/>
      <c r="G1016" s="1340"/>
      <c r="H1016" s="1335" t="s">
        <v>90</v>
      </c>
      <c r="I1016" s="1347"/>
      <c r="J1016" s="1363"/>
      <c r="K1016" s="1349"/>
      <c r="L1016" s="1079"/>
      <c r="M1016" s="1080"/>
      <c r="N1016" s="229"/>
      <c r="O1016" s="230"/>
      <c r="P1016" s="44" t="s">
        <v>1060</v>
      </c>
      <c r="Q1016" s="230"/>
      <c r="R1016" s="230"/>
      <c r="S1016" s="230"/>
      <c r="T1016" s="230"/>
      <c r="U1016" s="230"/>
      <c r="V1016" s="230"/>
      <c r="W1016" s="230"/>
      <c r="X1016" s="230"/>
      <c r="Y1016" s="230"/>
      <c r="Z1016" s="230"/>
      <c r="AA1016" s="230"/>
      <c r="AB1016" s="230"/>
      <c r="AC1016" s="230"/>
      <c r="AD1016" s="230"/>
      <c r="AE1016" s="247"/>
      <c r="AF1016" s="1350"/>
      <c r="AG1016" s="1352"/>
      <c r="AH1016" s="1352"/>
      <c r="AI1016" s="1350"/>
      <c r="AJ1016" s="1352"/>
      <c r="AK1016" s="1352"/>
      <c r="AL1016" s="772"/>
    </row>
    <row r="1017" spans="1:38" ht="11.25" customHeight="1">
      <c r="A1017" t="s">
        <v>1019</v>
      </c>
      <c r="B1017" t="s">
        <v>1051</v>
      </c>
      <c r="E1017" s="557"/>
      <c r="F1017" s="1339"/>
      <c r="G1017" s="1325" t="s">
        <v>103</v>
      </c>
      <c r="H1017" s="1335" t="s">
        <v>91</v>
      </c>
      <c r="I1017" s="1347" t="s">
        <v>1052</v>
      </c>
      <c r="J1017" s="1363" t="s">
        <v>1053</v>
      </c>
      <c r="K1017" s="1349" t="s">
        <v>1078</v>
      </c>
      <c r="L1017" s="1079" t="s">
        <v>61</v>
      </c>
      <c r="M1017" s="1364" t="s">
        <v>1018</v>
      </c>
      <c r="N1017" s="242"/>
      <c r="O1017" s="243" t="s">
        <v>384</v>
      </c>
      <c r="P1017" s="244"/>
      <c r="Q1017" s="244"/>
      <c r="R1017" s="244"/>
      <c r="S1017" s="244"/>
      <c r="T1017" s="244"/>
      <c r="U1017" s="244"/>
      <c r="V1017" s="244"/>
      <c r="W1017" s="244"/>
      <c r="X1017" s="244"/>
      <c r="Y1017" s="244"/>
      <c r="Z1017" s="244"/>
      <c r="AA1017" s="244"/>
      <c r="AB1017" s="244"/>
      <c r="AC1017" s="244"/>
      <c r="AD1017" s="244"/>
      <c r="AE1017" s="244"/>
      <c r="AF1017" s="1350">
        <v>2</v>
      </c>
      <c r="AG1017" s="1352" t="s">
        <v>1055</v>
      </c>
      <c r="AH1017" s="1352" t="s">
        <v>1152</v>
      </c>
      <c r="AI1017" s="1350">
        <v>2</v>
      </c>
      <c r="AJ1017" s="1352" t="s">
        <v>1055</v>
      </c>
      <c r="AK1017" s="1352" t="s">
        <v>1152</v>
      </c>
      <c r="AL1017" s="772"/>
    </row>
    <row r="1018" spans="1:38" ht="11.25" customHeight="1">
      <c r="A1018" t="s">
        <v>1019</v>
      </c>
      <c r="E1018" s="557"/>
      <c r="F1018" s="1339"/>
      <c r="G1018" s="1340"/>
      <c r="H1018" s="1335" t="s">
        <v>115</v>
      </c>
      <c r="I1018" s="1347"/>
      <c r="J1018" s="1363"/>
      <c r="K1018" s="1349"/>
      <c r="L1018" s="1079"/>
      <c r="M1018" s="1364"/>
      <c r="N1018" s="1355"/>
      <c r="O1018" s="1356">
        <v>1</v>
      </c>
      <c r="P1018" s="1357" t="s">
        <v>19</v>
      </c>
      <c r="Q1018" s="1308" t="s">
        <v>22</v>
      </c>
      <c r="R1018" s="1308" t="s">
        <v>22</v>
      </c>
      <c r="S1018" s="1308" t="s">
        <v>22</v>
      </c>
      <c r="T1018" s="1308" t="s">
        <v>22</v>
      </c>
      <c r="U1018" s="1308" t="s">
        <v>22</v>
      </c>
      <c r="V1018" s="1308" t="s">
        <v>22</v>
      </c>
      <c r="W1018" s="1308" t="s">
        <v>22</v>
      </c>
      <c r="X1018" s="1308" t="s">
        <v>22</v>
      </c>
      <c r="Y1018" s="1308"/>
      <c r="Z1018" s="229"/>
      <c r="AA1018" s="230"/>
      <c r="AB1018" s="230"/>
      <c r="AC1018" s="231"/>
      <c r="AD1018" s="231"/>
      <c r="AE1018" s="245"/>
      <c r="AF1018" s="1350"/>
      <c r="AG1018" s="1352"/>
      <c r="AH1018" s="1352"/>
      <c r="AI1018" s="1350"/>
      <c r="AJ1018" s="1352"/>
      <c r="AK1018" s="1352"/>
      <c r="AL1018" s="772"/>
    </row>
    <row r="1019" spans="1:38" ht="11.25" customHeight="1">
      <c r="A1019" t="s">
        <v>1019</v>
      </c>
      <c r="E1019" s="557"/>
      <c r="F1019" s="1339"/>
      <c r="G1019" s="1340"/>
      <c r="H1019" s="1335" t="s">
        <v>115</v>
      </c>
      <c r="I1019" s="1347"/>
      <c r="J1019" s="1363"/>
      <c r="K1019" s="1349"/>
      <c r="L1019" s="1079"/>
      <c r="M1019" s="1364"/>
      <c r="N1019" s="1355"/>
      <c r="O1019" s="1356"/>
      <c r="P1019" s="1358"/>
      <c r="Q1019" s="1308"/>
      <c r="R1019" s="1308"/>
      <c r="S1019" s="1361"/>
      <c r="T1019" s="1308"/>
      <c r="U1019" s="1308"/>
      <c r="V1019" s="1308"/>
      <c r="W1019" s="1308"/>
      <c r="X1019" s="1308"/>
      <c r="Y1019" s="1308"/>
      <c r="AA1019" s="778">
        <v>1</v>
      </c>
      <c r="AB1019" s="779" t="s">
        <v>1119</v>
      </c>
      <c r="AC1019" s="237">
        <v>31212.866438326</v>
      </c>
      <c r="AD1019" s="779" t="str">
        <f>AB1019</f>
        <v xml:space="preserve">  Прибыль направляемая на инвестиции</v>
      </c>
      <c r="AE1019" s="237">
        <v>0</v>
      </c>
      <c r="AF1019" s="1350"/>
      <c r="AG1019" s="1352"/>
      <c r="AH1019" s="1352"/>
      <c r="AI1019" s="1350"/>
      <c r="AJ1019" s="1352"/>
      <c r="AK1019" s="1352"/>
      <c r="AL1019" s="772"/>
    </row>
    <row r="1020" spans="1:38" ht="11.25" customHeight="1">
      <c r="A1020" t="s">
        <v>1019</v>
      </c>
      <c r="E1020" s="557"/>
      <c r="F1020" s="1340"/>
      <c r="G1020" s="1340"/>
      <c r="H1020" s="1340"/>
      <c r="I1020" s="1340"/>
      <c r="J1020" s="1340"/>
      <c r="K1020" s="1340"/>
      <c r="L1020" s="1340"/>
      <c r="M1020" s="1365"/>
      <c r="N1020" s="1340"/>
      <c r="O1020" s="1340"/>
      <c r="P1020" s="1340"/>
      <c r="Q1020" s="1340"/>
      <c r="R1020" s="1340"/>
      <c r="S1020" s="1340"/>
      <c r="T1020" s="1340"/>
      <c r="U1020" s="1340"/>
      <c r="V1020" s="1340"/>
      <c r="W1020" s="1340"/>
      <c r="X1020" s="1340"/>
      <c r="Y1020" s="1340"/>
      <c r="Z1020" s="181" t="s">
        <v>103</v>
      </c>
      <c r="AA1020" s="780" t="s">
        <v>102</v>
      </c>
      <c r="AB1020" s="779" t="s">
        <v>1120</v>
      </c>
      <c r="AC1020" s="237">
        <v>11199.929359252201</v>
      </c>
      <c r="AD1020" s="779" t="str">
        <f>AB1020</f>
        <v xml:space="preserve">     Прочие амортизационные отчисления</v>
      </c>
      <c r="AE1020" s="237">
        <v>0</v>
      </c>
      <c r="AF1020" s="1351"/>
      <c r="AG1020" s="1353"/>
      <c r="AH1020" s="1353"/>
      <c r="AI1020" s="1351"/>
      <c r="AJ1020" s="1353"/>
      <c r="AK1020" s="1354"/>
      <c r="AL1020" s="772"/>
    </row>
    <row r="1021" spans="1:38" ht="11.25" customHeight="1">
      <c r="A1021" t="s">
        <v>1019</v>
      </c>
      <c r="E1021" s="557"/>
      <c r="F1021" s="1340"/>
      <c r="G1021" s="1340"/>
      <c r="H1021" s="1340"/>
      <c r="I1021" s="1340"/>
      <c r="J1021" s="1340"/>
      <c r="K1021" s="1340"/>
      <c r="L1021" s="1340"/>
      <c r="M1021" s="1365"/>
      <c r="N1021" s="1340"/>
      <c r="O1021" s="1340"/>
      <c r="P1021" s="1340"/>
      <c r="Q1021" s="1340"/>
      <c r="R1021" s="1340"/>
      <c r="S1021" s="1340"/>
      <c r="T1021" s="1340"/>
      <c r="U1021" s="1340"/>
      <c r="V1021" s="1340"/>
      <c r="W1021" s="1340"/>
      <c r="X1021" s="1340"/>
      <c r="Y1021" s="1340"/>
      <c r="Z1021" s="181" t="s">
        <v>103</v>
      </c>
      <c r="AA1021" s="780" t="s">
        <v>89</v>
      </c>
      <c r="AB1021" s="779" t="s">
        <v>1142</v>
      </c>
      <c r="AC1021" s="237">
        <v>7805.9327710594198</v>
      </c>
      <c r="AD1021" s="779" t="str">
        <f>AB1021</f>
        <v xml:space="preserve">  Доход от взимания платы за негативное воздействие на работу централизованной системы водоотведения</v>
      </c>
      <c r="AE1021" s="237">
        <v>0</v>
      </c>
      <c r="AF1021" s="1351"/>
      <c r="AG1021" s="1353"/>
      <c r="AH1021" s="1353"/>
      <c r="AI1021" s="1351"/>
      <c r="AJ1021" s="1353"/>
      <c r="AK1021" s="1354"/>
      <c r="AL1021" s="772"/>
    </row>
    <row r="1022" spans="1:38" ht="11.25" customHeight="1">
      <c r="A1022" t="s">
        <v>1019</v>
      </c>
      <c r="E1022" s="557"/>
      <c r="F1022" s="1339"/>
      <c r="G1022" s="1340"/>
      <c r="H1022" s="1335" t="s">
        <v>115</v>
      </c>
      <c r="I1022" s="1347"/>
      <c r="J1022" s="1363"/>
      <c r="K1022" s="1349"/>
      <c r="L1022" s="1079"/>
      <c r="M1022" s="1364"/>
      <c r="N1022" s="1355"/>
      <c r="O1022" s="1356"/>
      <c r="P1022" s="1359"/>
      <c r="Q1022" s="1308"/>
      <c r="R1022" s="1308"/>
      <c r="S1022" s="1361"/>
      <c r="T1022" s="1308"/>
      <c r="U1022" s="1308"/>
      <c r="V1022" s="1308"/>
      <c r="W1022" s="1308"/>
      <c r="X1022" s="1308"/>
      <c r="Y1022" s="1308"/>
      <c r="Z1022" s="229"/>
      <c r="AA1022" s="230"/>
      <c r="AB1022" s="44" t="s">
        <v>1059</v>
      </c>
      <c r="AC1022" s="231"/>
      <c r="AD1022" s="231"/>
      <c r="AE1022" s="246"/>
      <c r="AF1022" s="1350"/>
      <c r="AG1022" s="1352"/>
      <c r="AH1022" s="1352"/>
      <c r="AI1022" s="1350"/>
      <c r="AJ1022" s="1352"/>
      <c r="AK1022" s="1352"/>
      <c r="AL1022" s="772"/>
    </row>
    <row r="1023" spans="1:38" ht="11.25" customHeight="1">
      <c r="A1023" t="s">
        <v>1019</v>
      </c>
      <c r="E1023" s="557"/>
      <c r="F1023" s="1339"/>
      <c r="G1023" s="1340"/>
      <c r="H1023" s="1335" t="s">
        <v>115</v>
      </c>
      <c r="I1023" s="1347"/>
      <c r="J1023" s="1363"/>
      <c r="K1023" s="1349"/>
      <c r="L1023" s="1079"/>
      <c r="M1023" s="1364"/>
      <c r="N1023" s="229"/>
      <c r="O1023" s="230"/>
      <c r="P1023" s="44" t="s">
        <v>1060</v>
      </c>
      <c r="Q1023" s="230"/>
      <c r="R1023" s="230"/>
      <c r="S1023" s="230"/>
      <c r="T1023" s="230"/>
      <c r="U1023" s="230"/>
      <c r="V1023" s="230"/>
      <c r="W1023" s="230"/>
      <c r="X1023" s="230"/>
      <c r="Y1023" s="230"/>
      <c r="Z1023" s="230"/>
      <c r="AA1023" s="230"/>
      <c r="AB1023" s="230"/>
      <c r="AC1023" s="230"/>
      <c r="AD1023" s="230"/>
      <c r="AE1023" s="247"/>
      <c r="AF1023" s="1350"/>
      <c r="AG1023" s="1352"/>
      <c r="AH1023" s="1352"/>
      <c r="AI1023" s="1350"/>
      <c r="AJ1023" s="1352"/>
      <c r="AK1023" s="1352"/>
      <c r="AL1023" s="772"/>
    </row>
    <row r="1024" spans="1:38" ht="11.25" customHeight="1">
      <c r="A1024" t="s">
        <v>1019</v>
      </c>
      <c r="B1024" t="s">
        <v>1051</v>
      </c>
      <c r="E1024" s="557"/>
      <c r="F1024" s="1339"/>
      <c r="G1024" s="1325" t="s">
        <v>103</v>
      </c>
      <c r="H1024" s="1335" t="s">
        <v>92</v>
      </c>
      <c r="I1024" s="1347" t="s">
        <v>1052</v>
      </c>
      <c r="J1024" s="1363" t="s">
        <v>1053</v>
      </c>
      <c r="K1024" s="1349" t="s">
        <v>1102</v>
      </c>
      <c r="L1024" s="1079" t="s">
        <v>61</v>
      </c>
      <c r="M1024" s="1364" t="s">
        <v>1018</v>
      </c>
      <c r="N1024" s="242"/>
      <c r="O1024" s="243" t="s">
        <v>384</v>
      </c>
      <c r="P1024" s="244"/>
      <c r="Q1024" s="244"/>
      <c r="R1024" s="244"/>
      <c r="S1024" s="244"/>
      <c r="T1024" s="244"/>
      <c r="U1024" s="244"/>
      <c r="V1024" s="244"/>
      <c r="W1024" s="244"/>
      <c r="X1024" s="244"/>
      <c r="Y1024" s="244"/>
      <c r="Z1024" s="244"/>
      <c r="AA1024" s="244"/>
      <c r="AB1024" s="244"/>
      <c r="AC1024" s="244"/>
      <c r="AD1024" s="244"/>
      <c r="AE1024" s="244"/>
      <c r="AF1024" s="1350">
        <v>4</v>
      </c>
      <c r="AG1024" s="1352" t="s">
        <v>1055</v>
      </c>
      <c r="AH1024" s="1352" t="s">
        <v>1103</v>
      </c>
      <c r="AI1024" s="1350">
        <v>4</v>
      </c>
      <c r="AJ1024" s="1352" t="s">
        <v>1055</v>
      </c>
      <c r="AK1024" s="1352" t="s">
        <v>1103</v>
      </c>
      <c r="AL1024" s="772"/>
    </row>
    <row r="1025" spans="1:38" ht="11.25" customHeight="1">
      <c r="A1025" t="s">
        <v>1019</v>
      </c>
      <c r="E1025" s="557"/>
      <c r="F1025" s="1339"/>
      <c r="G1025" s="1340"/>
      <c r="H1025" s="1335" t="s">
        <v>91</v>
      </c>
      <c r="I1025" s="1347"/>
      <c r="J1025" s="1363"/>
      <c r="K1025" s="1349"/>
      <c r="L1025" s="1079"/>
      <c r="M1025" s="1364"/>
      <c r="N1025" s="1355"/>
      <c r="O1025" s="1356">
        <v>1</v>
      </c>
      <c r="P1025" s="1357" t="s">
        <v>19</v>
      </c>
      <c r="Q1025" s="1308" t="s">
        <v>22</v>
      </c>
      <c r="R1025" s="1308" t="s">
        <v>22</v>
      </c>
      <c r="S1025" s="1308" t="s">
        <v>22</v>
      </c>
      <c r="T1025" s="1308" t="s">
        <v>22</v>
      </c>
      <c r="U1025" s="1308" t="s">
        <v>22</v>
      </c>
      <c r="V1025" s="1308" t="s">
        <v>22</v>
      </c>
      <c r="W1025" s="1308" t="s">
        <v>22</v>
      </c>
      <c r="X1025" s="1308" t="s">
        <v>22</v>
      </c>
      <c r="Y1025" s="1308"/>
      <c r="Z1025" s="229"/>
      <c r="AA1025" s="230"/>
      <c r="AB1025" s="230"/>
      <c r="AC1025" s="231"/>
      <c r="AD1025" s="231"/>
      <c r="AE1025" s="245"/>
      <c r="AF1025" s="1350"/>
      <c r="AG1025" s="1352"/>
      <c r="AH1025" s="1352"/>
      <c r="AI1025" s="1350"/>
      <c r="AJ1025" s="1352"/>
      <c r="AK1025" s="1352"/>
      <c r="AL1025" s="772"/>
    </row>
    <row r="1026" spans="1:38" ht="11.25" customHeight="1">
      <c r="A1026" t="s">
        <v>1019</v>
      </c>
      <c r="E1026" s="557"/>
      <c r="F1026" s="1339"/>
      <c r="G1026" s="1340"/>
      <c r="H1026" s="1335" t="s">
        <v>91</v>
      </c>
      <c r="I1026" s="1347"/>
      <c r="J1026" s="1363"/>
      <c r="K1026" s="1349"/>
      <c r="L1026" s="1079"/>
      <c r="M1026" s="1364"/>
      <c r="N1026" s="1355"/>
      <c r="O1026" s="1356"/>
      <c r="P1026" s="1358"/>
      <c r="Q1026" s="1308"/>
      <c r="R1026" s="1308"/>
      <c r="S1026" s="1361"/>
      <c r="T1026" s="1308"/>
      <c r="U1026" s="1308"/>
      <c r="V1026" s="1308"/>
      <c r="W1026" s="1308"/>
      <c r="X1026" s="1308"/>
      <c r="Y1026" s="1308"/>
      <c r="AA1026" s="778">
        <v>1</v>
      </c>
      <c r="AB1026" s="779" t="s">
        <v>1119</v>
      </c>
      <c r="AC1026" s="237">
        <v>4692.7867781160903</v>
      </c>
      <c r="AD1026" s="779" t="str">
        <f>AB1026</f>
        <v xml:space="preserve">  Прибыль направляемая на инвестиции</v>
      </c>
      <c r="AE1026" s="237">
        <v>0</v>
      </c>
      <c r="AF1026" s="1350"/>
      <c r="AG1026" s="1352"/>
      <c r="AH1026" s="1352"/>
      <c r="AI1026" s="1350"/>
      <c r="AJ1026" s="1352"/>
      <c r="AK1026" s="1352"/>
      <c r="AL1026" s="772"/>
    </row>
    <row r="1027" spans="1:38" ht="11.25" customHeight="1">
      <c r="A1027" t="s">
        <v>1019</v>
      </c>
      <c r="E1027" s="557"/>
      <c r="F1027" s="1340"/>
      <c r="G1027" s="1340"/>
      <c r="H1027" s="1340"/>
      <c r="I1027" s="1340"/>
      <c r="J1027" s="1340"/>
      <c r="K1027" s="1340"/>
      <c r="L1027" s="1340"/>
      <c r="M1027" s="1365"/>
      <c r="N1027" s="1340"/>
      <c r="O1027" s="1340"/>
      <c r="P1027" s="1340"/>
      <c r="Q1027" s="1340"/>
      <c r="R1027" s="1340"/>
      <c r="S1027" s="1340"/>
      <c r="T1027" s="1340"/>
      <c r="U1027" s="1340"/>
      <c r="V1027" s="1340"/>
      <c r="W1027" s="1340"/>
      <c r="X1027" s="1340"/>
      <c r="Y1027" s="1340"/>
      <c r="Z1027" s="181" t="s">
        <v>103</v>
      </c>
      <c r="AA1027" s="780" t="s">
        <v>102</v>
      </c>
      <c r="AB1027" s="779" t="s">
        <v>1120</v>
      </c>
      <c r="AC1027" s="237">
        <v>1683.8850900408299</v>
      </c>
      <c r="AD1027" s="779" t="str">
        <f>AB1027</f>
        <v xml:space="preserve">     Прочие амортизационные отчисления</v>
      </c>
      <c r="AE1027" s="237">
        <v>0</v>
      </c>
      <c r="AF1027" s="1351"/>
      <c r="AG1027" s="1353"/>
      <c r="AH1027" s="1353"/>
      <c r="AI1027" s="1351"/>
      <c r="AJ1027" s="1353"/>
      <c r="AK1027" s="1354"/>
      <c r="AL1027" s="772"/>
    </row>
    <row r="1028" spans="1:38" ht="11.25" customHeight="1">
      <c r="A1028" t="s">
        <v>1019</v>
      </c>
      <c r="E1028" s="557"/>
      <c r="F1028" s="1340"/>
      <c r="G1028" s="1340"/>
      <c r="H1028" s="1340"/>
      <c r="I1028" s="1340"/>
      <c r="J1028" s="1340"/>
      <c r="K1028" s="1340"/>
      <c r="L1028" s="1340"/>
      <c r="M1028" s="1365"/>
      <c r="N1028" s="1340"/>
      <c r="O1028" s="1340"/>
      <c r="P1028" s="1340"/>
      <c r="Q1028" s="1340"/>
      <c r="R1028" s="1340"/>
      <c r="S1028" s="1340"/>
      <c r="T1028" s="1340"/>
      <c r="U1028" s="1340"/>
      <c r="V1028" s="1340"/>
      <c r="W1028" s="1340"/>
      <c r="X1028" s="1340"/>
      <c r="Y1028" s="1340"/>
      <c r="Z1028" s="181" t="s">
        <v>103</v>
      </c>
      <c r="AA1028" s="780" t="s">
        <v>89</v>
      </c>
      <c r="AB1028" s="779" t="s">
        <v>1142</v>
      </c>
      <c r="AC1028" s="237">
        <v>1173.6050635167301</v>
      </c>
      <c r="AD1028" s="779" t="str">
        <f>AB1028</f>
        <v xml:space="preserve">  Доход от взимания платы за негативное воздействие на работу централизованной системы водоотведения</v>
      </c>
      <c r="AE1028" s="237">
        <v>0</v>
      </c>
      <c r="AF1028" s="1351"/>
      <c r="AG1028" s="1353"/>
      <c r="AH1028" s="1353"/>
      <c r="AI1028" s="1351"/>
      <c r="AJ1028" s="1353"/>
      <c r="AK1028" s="1354"/>
      <c r="AL1028" s="772"/>
    </row>
    <row r="1029" spans="1:38" ht="11.25" customHeight="1">
      <c r="A1029" t="s">
        <v>1019</v>
      </c>
      <c r="E1029" s="557"/>
      <c r="F1029" s="1339"/>
      <c r="G1029" s="1340"/>
      <c r="H1029" s="1335" t="s">
        <v>91</v>
      </c>
      <c r="I1029" s="1347"/>
      <c r="J1029" s="1363"/>
      <c r="K1029" s="1349"/>
      <c r="L1029" s="1079"/>
      <c r="M1029" s="1364"/>
      <c r="N1029" s="1355"/>
      <c r="O1029" s="1356"/>
      <c r="P1029" s="1359"/>
      <c r="Q1029" s="1308"/>
      <c r="R1029" s="1308"/>
      <c r="S1029" s="1361"/>
      <c r="T1029" s="1308"/>
      <c r="U1029" s="1308"/>
      <c r="V1029" s="1308"/>
      <c r="W1029" s="1308"/>
      <c r="X1029" s="1308"/>
      <c r="Y1029" s="1308"/>
      <c r="Z1029" s="229"/>
      <c r="AA1029" s="230"/>
      <c r="AB1029" s="44" t="s">
        <v>1059</v>
      </c>
      <c r="AC1029" s="231"/>
      <c r="AD1029" s="231"/>
      <c r="AE1029" s="246"/>
      <c r="AF1029" s="1350"/>
      <c r="AG1029" s="1352"/>
      <c r="AH1029" s="1352"/>
      <c r="AI1029" s="1350"/>
      <c r="AJ1029" s="1352"/>
      <c r="AK1029" s="1352"/>
      <c r="AL1029" s="772"/>
    </row>
    <row r="1030" spans="1:38" ht="11.25" customHeight="1">
      <c r="A1030" t="s">
        <v>1019</v>
      </c>
      <c r="E1030" s="557"/>
      <c r="F1030" s="1339"/>
      <c r="G1030" s="1340"/>
      <c r="H1030" s="1335" t="s">
        <v>91</v>
      </c>
      <c r="I1030" s="1347"/>
      <c r="J1030" s="1363"/>
      <c r="K1030" s="1349"/>
      <c r="L1030" s="1079"/>
      <c r="M1030" s="1364"/>
      <c r="N1030" s="229"/>
      <c r="O1030" s="230"/>
      <c r="P1030" s="44" t="s">
        <v>1060</v>
      </c>
      <c r="Q1030" s="230"/>
      <c r="R1030" s="230"/>
      <c r="S1030" s="230"/>
      <c r="T1030" s="230"/>
      <c r="U1030" s="230"/>
      <c r="V1030" s="230"/>
      <c r="W1030" s="230"/>
      <c r="X1030" s="230"/>
      <c r="Y1030" s="230"/>
      <c r="Z1030" s="230"/>
      <c r="AA1030" s="230"/>
      <c r="AB1030" s="230"/>
      <c r="AC1030" s="230"/>
      <c r="AD1030" s="230"/>
      <c r="AE1030" s="247"/>
      <c r="AF1030" s="1350"/>
      <c r="AG1030" s="1352"/>
      <c r="AH1030" s="1352"/>
      <c r="AI1030" s="1350"/>
      <c r="AJ1030" s="1352"/>
      <c r="AK1030" s="1352"/>
      <c r="AL1030" s="772"/>
    </row>
    <row r="1031" spans="1:38" ht="11.25" customHeight="1">
      <c r="A1031" t="s">
        <v>1019</v>
      </c>
      <c r="B1031" t="s">
        <v>1051</v>
      </c>
      <c r="E1031" s="557"/>
      <c r="F1031" s="1339"/>
      <c r="G1031" s="1325" t="s">
        <v>103</v>
      </c>
      <c r="H1031" s="1335" t="s">
        <v>116</v>
      </c>
      <c r="I1031" s="1347" t="s">
        <v>1052</v>
      </c>
      <c r="J1031" s="1363" t="s">
        <v>1053</v>
      </c>
      <c r="K1031" s="1349" t="s">
        <v>1114</v>
      </c>
      <c r="L1031" s="1079" t="s">
        <v>61</v>
      </c>
      <c r="M1031" s="1364" t="s">
        <v>1018</v>
      </c>
      <c r="N1031" s="242"/>
      <c r="O1031" s="243" t="s">
        <v>384</v>
      </c>
      <c r="P1031" s="244"/>
      <c r="Q1031" s="244"/>
      <c r="R1031" s="244"/>
      <c r="S1031" s="244"/>
      <c r="T1031" s="244"/>
      <c r="U1031" s="244"/>
      <c r="V1031" s="244"/>
      <c r="W1031" s="244"/>
      <c r="X1031" s="244"/>
      <c r="Y1031" s="244"/>
      <c r="Z1031" s="244"/>
      <c r="AA1031" s="244"/>
      <c r="AB1031" s="244"/>
      <c r="AC1031" s="244"/>
      <c r="AD1031" s="244"/>
      <c r="AE1031" s="244"/>
      <c r="AF1031" s="1350">
        <v>1</v>
      </c>
      <c r="AG1031" s="1352" t="s">
        <v>1055</v>
      </c>
      <c r="AH1031" s="1352" t="s">
        <v>1079</v>
      </c>
      <c r="AI1031" s="1350">
        <v>1</v>
      </c>
      <c r="AJ1031" s="1352" t="s">
        <v>1055</v>
      </c>
      <c r="AK1031" s="1352" t="s">
        <v>1079</v>
      </c>
      <c r="AL1031" s="772"/>
    </row>
    <row r="1032" spans="1:38" ht="11.25" customHeight="1">
      <c r="A1032" t="s">
        <v>1019</v>
      </c>
      <c r="E1032" s="557"/>
      <c r="F1032" s="1339"/>
      <c r="G1032" s="1340"/>
      <c r="H1032" s="1335" t="s">
        <v>92</v>
      </c>
      <c r="I1032" s="1347"/>
      <c r="J1032" s="1363"/>
      <c r="K1032" s="1349"/>
      <c r="L1032" s="1079"/>
      <c r="M1032" s="1364"/>
      <c r="N1032" s="1355"/>
      <c r="O1032" s="1356">
        <v>1</v>
      </c>
      <c r="P1032" s="1357" t="s">
        <v>19</v>
      </c>
      <c r="Q1032" s="1308" t="s">
        <v>22</v>
      </c>
      <c r="R1032" s="1308" t="s">
        <v>22</v>
      </c>
      <c r="S1032" s="1308" t="s">
        <v>22</v>
      </c>
      <c r="T1032" s="1308" t="s">
        <v>22</v>
      </c>
      <c r="U1032" s="1308" t="s">
        <v>22</v>
      </c>
      <c r="V1032" s="1308" t="s">
        <v>22</v>
      </c>
      <c r="W1032" s="1308" t="s">
        <v>22</v>
      </c>
      <c r="X1032" s="1308" t="s">
        <v>22</v>
      </c>
      <c r="Y1032" s="1308"/>
      <c r="Z1032" s="229"/>
      <c r="AA1032" s="230"/>
      <c r="AB1032" s="230"/>
      <c r="AC1032" s="231"/>
      <c r="AD1032" s="231"/>
      <c r="AE1032" s="245"/>
      <c r="AF1032" s="1350"/>
      <c r="AG1032" s="1352"/>
      <c r="AH1032" s="1352"/>
      <c r="AI1032" s="1350"/>
      <c r="AJ1032" s="1352"/>
      <c r="AK1032" s="1352"/>
      <c r="AL1032" s="772"/>
    </row>
    <row r="1033" spans="1:38" ht="11.25" customHeight="1">
      <c r="A1033" t="s">
        <v>1019</v>
      </c>
      <c r="E1033" s="557"/>
      <c r="F1033" s="1339"/>
      <c r="G1033" s="1340"/>
      <c r="H1033" s="1335" t="s">
        <v>92</v>
      </c>
      <c r="I1033" s="1347"/>
      <c r="J1033" s="1363"/>
      <c r="K1033" s="1349"/>
      <c r="L1033" s="1079"/>
      <c r="M1033" s="1364"/>
      <c r="N1033" s="1355"/>
      <c r="O1033" s="1356"/>
      <c r="P1033" s="1358"/>
      <c r="Q1033" s="1308"/>
      <c r="R1033" s="1308"/>
      <c r="S1033" s="1361"/>
      <c r="T1033" s="1308"/>
      <c r="U1033" s="1308"/>
      <c r="V1033" s="1308"/>
      <c r="W1033" s="1308"/>
      <c r="X1033" s="1308"/>
      <c r="Y1033" s="1308"/>
      <c r="AA1033" s="778">
        <v>1</v>
      </c>
      <c r="AB1033" s="779" t="s">
        <v>1119</v>
      </c>
      <c r="AC1033" s="237">
        <v>2375.8860272412498</v>
      </c>
      <c r="AD1033" s="779" t="str">
        <f>AB1033</f>
        <v xml:space="preserve">  Прибыль направляемая на инвестиции</v>
      </c>
      <c r="AE1033" s="237">
        <v>0</v>
      </c>
      <c r="AF1033" s="1350"/>
      <c r="AG1033" s="1352"/>
      <c r="AH1033" s="1352"/>
      <c r="AI1033" s="1350"/>
      <c r="AJ1033" s="1352"/>
      <c r="AK1033" s="1352"/>
      <c r="AL1033" s="772"/>
    </row>
    <row r="1034" spans="1:38" ht="11.25" customHeight="1">
      <c r="A1034" t="s">
        <v>1019</v>
      </c>
      <c r="E1034" s="557"/>
      <c r="F1034" s="1340"/>
      <c r="G1034" s="1340"/>
      <c r="H1034" s="1340"/>
      <c r="I1034" s="1340"/>
      <c r="J1034" s="1340"/>
      <c r="K1034" s="1340"/>
      <c r="L1034" s="1340"/>
      <c r="M1034" s="1365"/>
      <c r="N1034" s="1340"/>
      <c r="O1034" s="1340"/>
      <c r="P1034" s="1340"/>
      <c r="Q1034" s="1340"/>
      <c r="R1034" s="1340"/>
      <c r="S1034" s="1340"/>
      <c r="T1034" s="1340"/>
      <c r="U1034" s="1340"/>
      <c r="V1034" s="1340"/>
      <c r="W1034" s="1340"/>
      <c r="X1034" s="1340"/>
      <c r="Y1034" s="1340"/>
      <c r="Z1034" s="181" t="s">
        <v>103</v>
      </c>
      <c r="AA1034" s="780" t="s">
        <v>102</v>
      </c>
      <c r="AB1034" s="779" t="s">
        <v>1120</v>
      </c>
      <c r="AC1034" s="237">
        <v>852.52521498834903</v>
      </c>
      <c r="AD1034" s="779" t="str">
        <f>AB1034</f>
        <v xml:space="preserve">     Прочие амортизационные отчисления</v>
      </c>
      <c r="AE1034" s="237">
        <v>0</v>
      </c>
      <c r="AF1034" s="1351"/>
      <c r="AG1034" s="1353"/>
      <c r="AH1034" s="1353"/>
      <c r="AI1034" s="1351"/>
      <c r="AJ1034" s="1353"/>
      <c r="AK1034" s="1354"/>
      <c r="AL1034" s="772"/>
    </row>
    <row r="1035" spans="1:38" ht="11.25" customHeight="1">
      <c r="A1035" t="s">
        <v>1019</v>
      </c>
      <c r="E1035" s="557"/>
      <c r="F1035" s="1340"/>
      <c r="G1035" s="1340"/>
      <c r="H1035" s="1340"/>
      <c r="I1035" s="1340"/>
      <c r="J1035" s="1340"/>
      <c r="K1035" s="1340"/>
      <c r="L1035" s="1340"/>
      <c r="M1035" s="1365"/>
      <c r="N1035" s="1340"/>
      <c r="O1035" s="1340"/>
      <c r="P1035" s="1340"/>
      <c r="Q1035" s="1340"/>
      <c r="R1035" s="1340"/>
      <c r="S1035" s="1340"/>
      <c r="T1035" s="1340"/>
      <c r="U1035" s="1340"/>
      <c r="V1035" s="1340"/>
      <c r="W1035" s="1340"/>
      <c r="X1035" s="1340"/>
      <c r="Y1035" s="1340"/>
      <c r="Z1035" s="181" t="s">
        <v>103</v>
      </c>
      <c r="AA1035" s="780" t="s">
        <v>89</v>
      </c>
      <c r="AB1035" s="779" t="s">
        <v>1142</v>
      </c>
      <c r="AC1035" s="237">
        <v>594.178257770399</v>
      </c>
      <c r="AD1035" s="779" t="str">
        <f>AB1035</f>
        <v xml:space="preserve">  Доход от взимания платы за негативное воздействие на работу централизованной системы водоотведения</v>
      </c>
      <c r="AE1035" s="237">
        <v>0</v>
      </c>
      <c r="AF1035" s="1351"/>
      <c r="AG1035" s="1353"/>
      <c r="AH1035" s="1353"/>
      <c r="AI1035" s="1351"/>
      <c r="AJ1035" s="1353"/>
      <c r="AK1035" s="1354"/>
      <c r="AL1035" s="772"/>
    </row>
    <row r="1036" spans="1:38" ht="11.25" customHeight="1">
      <c r="A1036" t="s">
        <v>1019</v>
      </c>
      <c r="E1036" s="557"/>
      <c r="F1036" s="1339"/>
      <c r="G1036" s="1340"/>
      <c r="H1036" s="1335" t="s">
        <v>92</v>
      </c>
      <c r="I1036" s="1347"/>
      <c r="J1036" s="1363"/>
      <c r="K1036" s="1349"/>
      <c r="L1036" s="1079"/>
      <c r="M1036" s="1364"/>
      <c r="N1036" s="1355"/>
      <c r="O1036" s="1356"/>
      <c r="P1036" s="1359"/>
      <c r="Q1036" s="1308"/>
      <c r="R1036" s="1308"/>
      <c r="S1036" s="1361"/>
      <c r="T1036" s="1308"/>
      <c r="U1036" s="1308"/>
      <c r="V1036" s="1308"/>
      <c r="W1036" s="1308"/>
      <c r="X1036" s="1308"/>
      <c r="Y1036" s="1308"/>
      <c r="Z1036" s="229"/>
      <c r="AA1036" s="230"/>
      <c r="AB1036" s="44" t="s">
        <v>1059</v>
      </c>
      <c r="AC1036" s="231"/>
      <c r="AD1036" s="231"/>
      <c r="AE1036" s="246"/>
      <c r="AF1036" s="1350"/>
      <c r="AG1036" s="1352"/>
      <c r="AH1036" s="1352"/>
      <c r="AI1036" s="1350"/>
      <c r="AJ1036" s="1352"/>
      <c r="AK1036" s="1352"/>
      <c r="AL1036" s="772"/>
    </row>
    <row r="1037" spans="1:38" ht="11.25" customHeight="1">
      <c r="A1037" t="s">
        <v>1019</v>
      </c>
      <c r="E1037" s="557"/>
      <c r="F1037" s="1339"/>
      <c r="G1037" s="1340"/>
      <c r="H1037" s="1335" t="s">
        <v>92</v>
      </c>
      <c r="I1037" s="1347"/>
      <c r="J1037" s="1363"/>
      <c r="K1037" s="1349"/>
      <c r="L1037" s="1079"/>
      <c r="M1037" s="1364"/>
      <c r="N1037" s="229"/>
      <c r="O1037" s="230"/>
      <c r="P1037" s="44" t="s">
        <v>1060</v>
      </c>
      <c r="Q1037" s="230"/>
      <c r="R1037" s="230"/>
      <c r="S1037" s="230"/>
      <c r="T1037" s="230"/>
      <c r="U1037" s="230"/>
      <c r="V1037" s="230"/>
      <c r="W1037" s="230"/>
      <c r="X1037" s="230"/>
      <c r="Y1037" s="230"/>
      <c r="Z1037" s="230"/>
      <c r="AA1037" s="230"/>
      <c r="AB1037" s="230"/>
      <c r="AC1037" s="230"/>
      <c r="AD1037" s="230"/>
      <c r="AE1037" s="247"/>
      <c r="AF1037" s="1350"/>
      <c r="AG1037" s="1352"/>
      <c r="AH1037" s="1352"/>
      <c r="AI1037" s="1350"/>
      <c r="AJ1037" s="1352"/>
      <c r="AK1037" s="1352"/>
      <c r="AL1037" s="772"/>
    </row>
    <row r="1038" spans="1:38" ht="11.25" customHeight="1">
      <c r="A1038" t="s">
        <v>1019</v>
      </c>
      <c r="B1038" t="s">
        <v>1051</v>
      </c>
      <c r="E1038" s="557"/>
      <c r="F1038" s="1339"/>
      <c r="G1038" s="1325" t="s">
        <v>103</v>
      </c>
      <c r="H1038" s="1335" t="s">
        <v>158</v>
      </c>
      <c r="I1038" s="1347" t="s">
        <v>1052</v>
      </c>
      <c r="J1038" s="1363" t="s">
        <v>1053</v>
      </c>
      <c r="K1038" s="1349" t="s">
        <v>1121</v>
      </c>
      <c r="L1038" s="1079" t="s">
        <v>61</v>
      </c>
      <c r="M1038" s="1364" t="s">
        <v>1018</v>
      </c>
      <c r="N1038" s="242"/>
      <c r="O1038" s="243" t="s">
        <v>384</v>
      </c>
      <c r="P1038" s="244"/>
      <c r="Q1038" s="244"/>
      <c r="R1038" s="244"/>
      <c r="S1038" s="244"/>
      <c r="T1038" s="244"/>
      <c r="U1038" s="244"/>
      <c r="V1038" s="244"/>
      <c r="W1038" s="244"/>
      <c r="X1038" s="244"/>
      <c r="Y1038" s="244"/>
      <c r="Z1038" s="244"/>
      <c r="AA1038" s="244"/>
      <c r="AB1038" s="244"/>
      <c r="AC1038" s="244"/>
      <c r="AD1038" s="244"/>
      <c r="AE1038" s="244"/>
      <c r="AF1038" s="1350">
        <v>1</v>
      </c>
      <c r="AG1038" s="1352" t="s">
        <v>1055</v>
      </c>
      <c r="AH1038" s="1352" t="s">
        <v>1079</v>
      </c>
      <c r="AI1038" s="1350">
        <v>1</v>
      </c>
      <c r="AJ1038" s="1352" t="s">
        <v>1055</v>
      </c>
      <c r="AK1038" s="1352" t="s">
        <v>1079</v>
      </c>
      <c r="AL1038" s="772"/>
    </row>
    <row r="1039" spans="1:38" ht="11.25" customHeight="1">
      <c r="A1039" t="s">
        <v>1019</v>
      </c>
      <c r="E1039" s="557"/>
      <c r="F1039" s="1339"/>
      <c r="G1039" s="1340"/>
      <c r="H1039" s="1335" t="s">
        <v>116</v>
      </c>
      <c r="I1039" s="1347"/>
      <c r="J1039" s="1363"/>
      <c r="K1039" s="1349"/>
      <c r="L1039" s="1079"/>
      <c r="M1039" s="1364"/>
      <c r="N1039" s="1355"/>
      <c r="O1039" s="1356">
        <v>1</v>
      </c>
      <c r="P1039" s="1357" t="s">
        <v>19</v>
      </c>
      <c r="Q1039" s="1308" t="s">
        <v>22</v>
      </c>
      <c r="R1039" s="1308" t="s">
        <v>22</v>
      </c>
      <c r="S1039" s="1308" t="s">
        <v>22</v>
      </c>
      <c r="T1039" s="1308" t="s">
        <v>22</v>
      </c>
      <c r="U1039" s="1308" t="s">
        <v>22</v>
      </c>
      <c r="V1039" s="1308" t="s">
        <v>22</v>
      </c>
      <c r="W1039" s="1308" t="s">
        <v>22</v>
      </c>
      <c r="X1039" s="1308" t="s">
        <v>22</v>
      </c>
      <c r="Y1039" s="1308"/>
      <c r="Z1039" s="229"/>
      <c r="AA1039" s="230"/>
      <c r="AB1039" s="230"/>
      <c r="AC1039" s="231"/>
      <c r="AD1039" s="231"/>
      <c r="AE1039" s="245"/>
      <c r="AF1039" s="1350"/>
      <c r="AG1039" s="1352"/>
      <c r="AH1039" s="1352"/>
      <c r="AI1039" s="1350"/>
      <c r="AJ1039" s="1352"/>
      <c r="AK1039" s="1352"/>
      <c r="AL1039" s="772"/>
    </row>
    <row r="1040" spans="1:38" ht="11.25" customHeight="1">
      <c r="A1040" t="s">
        <v>1019</v>
      </c>
      <c r="E1040" s="557"/>
      <c r="F1040" s="1339"/>
      <c r="G1040" s="1340"/>
      <c r="H1040" s="1335" t="s">
        <v>116</v>
      </c>
      <c r="I1040" s="1347"/>
      <c r="J1040" s="1363"/>
      <c r="K1040" s="1349"/>
      <c r="L1040" s="1079"/>
      <c r="M1040" s="1364"/>
      <c r="N1040" s="1355"/>
      <c r="O1040" s="1356"/>
      <c r="P1040" s="1358"/>
      <c r="Q1040" s="1308"/>
      <c r="R1040" s="1308"/>
      <c r="S1040" s="1361"/>
      <c r="T1040" s="1308"/>
      <c r="U1040" s="1308"/>
      <c r="V1040" s="1308"/>
      <c r="W1040" s="1308"/>
      <c r="X1040" s="1308"/>
      <c r="Y1040" s="1308"/>
      <c r="AA1040" s="778">
        <v>1</v>
      </c>
      <c r="AB1040" s="779" t="s">
        <v>1119</v>
      </c>
      <c r="AC1040" s="237">
        <v>74879.121172716405</v>
      </c>
      <c r="AD1040" s="779" t="str">
        <f>AB1040</f>
        <v xml:space="preserve">  Прибыль направляемая на инвестиции</v>
      </c>
      <c r="AE1040" s="237">
        <v>0</v>
      </c>
      <c r="AF1040" s="1350"/>
      <c r="AG1040" s="1352"/>
      <c r="AH1040" s="1352"/>
      <c r="AI1040" s="1350"/>
      <c r="AJ1040" s="1352"/>
      <c r="AK1040" s="1352"/>
      <c r="AL1040" s="772"/>
    </row>
    <row r="1041" spans="1:38" ht="11.25" customHeight="1">
      <c r="A1041" t="s">
        <v>1019</v>
      </c>
      <c r="E1041" s="557"/>
      <c r="F1041" s="1340"/>
      <c r="G1041" s="1340"/>
      <c r="H1041" s="1340"/>
      <c r="I1041" s="1340"/>
      <c r="J1041" s="1340"/>
      <c r="K1041" s="1340"/>
      <c r="L1041" s="1340"/>
      <c r="M1041" s="1365"/>
      <c r="N1041" s="1340"/>
      <c r="O1041" s="1340"/>
      <c r="P1041" s="1340"/>
      <c r="Q1041" s="1340"/>
      <c r="R1041" s="1340"/>
      <c r="S1041" s="1340"/>
      <c r="T1041" s="1340"/>
      <c r="U1041" s="1340"/>
      <c r="V1041" s="1340"/>
      <c r="W1041" s="1340"/>
      <c r="X1041" s="1340"/>
      <c r="Y1041" s="1340"/>
      <c r="Z1041" s="181" t="s">
        <v>103</v>
      </c>
      <c r="AA1041" s="780" t="s">
        <v>102</v>
      </c>
      <c r="AB1041" s="779" t="s">
        <v>1120</v>
      </c>
      <c r="AC1041" s="237">
        <v>26868.4348255677</v>
      </c>
      <c r="AD1041" s="779" t="str">
        <f>AB1041</f>
        <v xml:space="preserve">     Прочие амортизационные отчисления</v>
      </c>
      <c r="AE1041" s="237">
        <v>0</v>
      </c>
      <c r="AF1041" s="1351"/>
      <c r="AG1041" s="1353"/>
      <c r="AH1041" s="1353"/>
      <c r="AI1041" s="1351"/>
      <c r="AJ1041" s="1353"/>
      <c r="AK1041" s="1354"/>
      <c r="AL1041" s="772"/>
    </row>
    <row r="1042" spans="1:38" ht="11.25" customHeight="1">
      <c r="A1042" t="s">
        <v>1019</v>
      </c>
      <c r="E1042" s="557"/>
      <c r="F1042" s="1340"/>
      <c r="G1042" s="1340"/>
      <c r="H1042" s="1340"/>
      <c r="I1042" s="1340"/>
      <c r="J1042" s="1340"/>
      <c r="K1042" s="1340"/>
      <c r="L1042" s="1340"/>
      <c r="M1042" s="1365"/>
      <c r="N1042" s="1340"/>
      <c r="O1042" s="1340"/>
      <c r="P1042" s="1340"/>
      <c r="Q1042" s="1340"/>
      <c r="R1042" s="1340"/>
      <c r="S1042" s="1340"/>
      <c r="T1042" s="1340"/>
      <c r="U1042" s="1340"/>
      <c r="V1042" s="1340"/>
      <c r="W1042" s="1340"/>
      <c r="X1042" s="1340"/>
      <c r="Y1042" s="1340"/>
      <c r="Z1042" s="181" t="s">
        <v>103</v>
      </c>
      <c r="AA1042" s="780" t="s">
        <v>89</v>
      </c>
      <c r="AB1042" s="779" t="s">
        <v>1142</v>
      </c>
      <c r="AC1042" s="237">
        <v>18726.2963171025</v>
      </c>
      <c r="AD1042" s="779" t="str">
        <f>AB1042</f>
        <v xml:space="preserve">  Доход от взимания платы за негативное воздействие на работу централизованной системы водоотведения</v>
      </c>
      <c r="AE1042" s="237">
        <v>0</v>
      </c>
      <c r="AF1042" s="1351"/>
      <c r="AG1042" s="1353"/>
      <c r="AH1042" s="1353"/>
      <c r="AI1042" s="1351"/>
      <c r="AJ1042" s="1353"/>
      <c r="AK1042" s="1354"/>
      <c r="AL1042" s="772"/>
    </row>
    <row r="1043" spans="1:38" ht="11.25" customHeight="1">
      <c r="A1043" t="s">
        <v>1019</v>
      </c>
      <c r="E1043" s="557"/>
      <c r="F1043" s="1339"/>
      <c r="G1043" s="1340"/>
      <c r="H1043" s="1335" t="s">
        <v>116</v>
      </c>
      <c r="I1043" s="1347"/>
      <c r="J1043" s="1363"/>
      <c r="K1043" s="1349"/>
      <c r="L1043" s="1079"/>
      <c r="M1043" s="1364"/>
      <c r="N1043" s="1355"/>
      <c r="O1043" s="1356"/>
      <c r="P1043" s="1359"/>
      <c r="Q1043" s="1308"/>
      <c r="R1043" s="1308"/>
      <c r="S1043" s="1361"/>
      <c r="T1043" s="1308"/>
      <c r="U1043" s="1308"/>
      <c r="V1043" s="1308"/>
      <c r="W1043" s="1308"/>
      <c r="X1043" s="1308"/>
      <c r="Y1043" s="1308"/>
      <c r="Z1043" s="229"/>
      <c r="AA1043" s="230"/>
      <c r="AB1043" s="44" t="s">
        <v>1059</v>
      </c>
      <c r="AC1043" s="231"/>
      <c r="AD1043" s="231"/>
      <c r="AE1043" s="246"/>
      <c r="AF1043" s="1350"/>
      <c r="AG1043" s="1352"/>
      <c r="AH1043" s="1352"/>
      <c r="AI1043" s="1350"/>
      <c r="AJ1043" s="1352"/>
      <c r="AK1043" s="1352"/>
      <c r="AL1043" s="772"/>
    </row>
    <row r="1044" spans="1:38" ht="11.25" customHeight="1">
      <c r="A1044" t="s">
        <v>1019</v>
      </c>
      <c r="E1044" s="557"/>
      <c r="F1044" s="1339"/>
      <c r="G1044" s="1340"/>
      <c r="H1044" s="1335" t="s">
        <v>116</v>
      </c>
      <c r="I1044" s="1347"/>
      <c r="J1044" s="1363"/>
      <c r="K1044" s="1349"/>
      <c r="L1044" s="1079"/>
      <c r="M1044" s="1364"/>
      <c r="N1044" s="229"/>
      <c r="O1044" s="230"/>
      <c r="P1044" s="44" t="s">
        <v>1060</v>
      </c>
      <c r="Q1044" s="230"/>
      <c r="R1044" s="230"/>
      <c r="S1044" s="230"/>
      <c r="T1044" s="230"/>
      <c r="U1044" s="230"/>
      <c r="V1044" s="230"/>
      <c r="W1044" s="230"/>
      <c r="X1044" s="230"/>
      <c r="Y1044" s="230"/>
      <c r="Z1044" s="230"/>
      <c r="AA1044" s="230"/>
      <c r="AB1044" s="230"/>
      <c r="AC1044" s="230"/>
      <c r="AD1044" s="230"/>
      <c r="AE1044" s="247"/>
      <c r="AF1044" s="1350"/>
      <c r="AG1044" s="1352"/>
      <c r="AH1044" s="1352"/>
      <c r="AI1044" s="1350"/>
      <c r="AJ1044" s="1352"/>
      <c r="AK1044" s="1352"/>
      <c r="AL1044" s="772"/>
    </row>
    <row r="1045" spans="1:38" ht="11.25" customHeight="1">
      <c r="A1045" t="s">
        <v>1019</v>
      </c>
      <c r="B1045" t="s">
        <v>1051</v>
      </c>
      <c r="E1045" s="557"/>
      <c r="F1045" s="1339"/>
      <c r="G1045" s="1325" t="s">
        <v>103</v>
      </c>
      <c r="H1045" s="1335" t="s">
        <v>159</v>
      </c>
      <c r="I1045" s="1347" t="s">
        <v>1052</v>
      </c>
      <c r="J1045" s="1363" t="s">
        <v>1053</v>
      </c>
      <c r="K1045" s="1349" t="s">
        <v>1153</v>
      </c>
      <c r="L1045" s="1079" t="s">
        <v>19</v>
      </c>
      <c r="M1045" s="1080"/>
      <c r="N1045" s="242"/>
      <c r="O1045" s="243" t="s">
        <v>384</v>
      </c>
      <c r="P1045" s="244"/>
      <c r="Q1045" s="244"/>
      <c r="R1045" s="244"/>
      <c r="S1045" s="244"/>
      <c r="T1045" s="244"/>
      <c r="U1045" s="244"/>
      <c r="V1045" s="244"/>
      <c r="W1045" s="244"/>
      <c r="X1045" s="244"/>
      <c r="Y1045" s="244"/>
      <c r="Z1045" s="244"/>
      <c r="AA1045" s="244"/>
      <c r="AB1045" s="244"/>
      <c r="AC1045" s="244"/>
      <c r="AD1045" s="244"/>
      <c r="AE1045" s="244"/>
      <c r="AF1045" s="1350">
        <v>1</v>
      </c>
      <c r="AG1045" s="1352" t="s">
        <v>1055</v>
      </c>
      <c r="AH1045" s="1352" t="s">
        <v>1079</v>
      </c>
      <c r="AI1045" s="1350">
        <v>1</v>
      </c>
      <c r="AJ1045" s="1352" t="s">
        <v>1055</v>
      </c>
      <c r="AK1045" s="1352" t="s">
        <v>1079</v>
      </c>
      <c r="AL1045" s="772"/>
    </row>
    <row r="1046" spans="1:38" ht="11.25" customHeight="1">
      <c r="A1046" t="s">
        <v>1019</v>
      </c>
      <c r="E1046" s="557"/>
      <c r="F1046" s="1339"/>
      <c r="G1046" s="1340"/>
      <c r="H1046" s="1335" t="s">
        <v>158</v>
      </c>
      <c r="I1046" s="1347"/>
      <c r="J1046" s="1363"/>
      <c r="K1046" s="1349"/>
      <c r="L1046" s="1079"/>
      <c r="M1046" s="1080"/>
      <c r="N1046" s="1355"/>
      <c r="O1046" s="1356">
        <v>1</v>
      </c>
      <c r="P1046" s="1357" t="s">
        <v>19</v>
      </c>
      <c r="Q1046" s="1308" t="s">
        <v>22</v>
      </c>
      <c r="R1046" s="1308" t="s">
        <v>22</v>
      </c>
      <c r="S1046" s="1308" t="s">
        <v>22</v>
      </c>
      <c r="T1046" s="1308" t="s">
        <v>22</v>
      </c>
      <c r="U1046" s="1308" t="s">
        <v>22</v>
      </c>
      <c r="V1046" s="1308" t="s">
        <v>22</v>
      </c>
      <c r="W1046" s="1308" t="s">
        <v>22</v>
      </c>
      <c r="X1046" s="1308" t="s">
        <v>22</v>
      </c>
      <c r="Y1046" s="1308"/>
      <c r="Z1046" s="229"/>
      <c r="AA1046" s="230"/>
      <c r="AB1046" s="230"/>
      <c r="AC1046" s="231"/>
      <c r="AD1046" s="231"/>
      <c r="AE1046" s="245"/>
      <c r="AF1046" s="1350"/>
      <c r="AG1046" s="1352"/>
      <c r="AH1046" s="1352"/>
      <c r="AI1046" s="1350"/>
      <c r="AJ1046" s="1352"/>
      <c r="AK1046" s="1352"/>
      <c r="AL1046" s="772"/>
    </row>
    <row r="1047" spans="1:38" ht="11.25" customHeight="1">
      <c r="A1047" t="s">
        <v>1019</v>
      </c>
      <c r="E1047" s="557"/>
      <c r="F1047" s="1339"/>
      <c r="G1047" s="1340"/>
      <c r="H1047" s="1335" t="s">
        <v>158</v>
      </c>
      <c r="I1047" s="1347"/>
      <c r="J1047" s="1363"/>
      <c r="K1047" s="1349"/>
      <c r="L1047" s="1079"/>
      <c r="M1047" s="1080"/>
      <c r="N1047" s="1355"/>
      <c r="O1047" s="1356"/>
      <c r="P1047" s="1358"/>
      <c r="Q1047" s="1308"/>
      <c r="R1047" s="1308"/>
      <c r="S1047" s="1361"/>
      <c r="T1047" s="1308"/>
      <c r="U1047" s="1308"/>
      <c r="V1047" s="1308"/>
      <c r="W1047" s="1308"/>
      <c r="X1047" s="1308"/>
      <c r="Y1047" s="1308"/>
      <c r="AA1047" s="778">
        <v>1</v>
      </c>
      <c r="AB1047" s="779" t="s">
        <v>1119</v>
      </c>
      <c r="AC1047" s="237">
        <v>4766.1338741564396</v>
      </c>
      <c r="AD1047" s="779" t="str">
        <f>AB1047</f>
        <v xml:space="preserve">  Прибыль направляемая на инвестиции</v>
      </c>
      <c r="AE1047" s="237">
        <v>0</v>
      </c>
      <c r="AF1047" s="1350"/>
      <c r="AG1047" s="1352"/>
      <c r="AH1047" s="1352"/>
      <c r="AI1047" s="1350"/>
      <c r="AJ1047" s="1352"/>
      <c r="AK1047" s="1352"/>
      <c r="AL1047" s="772"/>
    </row>
    <row r="1048" spans="1:38" ht="11.25" customHeight="1">
      <c r="A1048" t="s">
        <v>1019</v>
      </c>
      <c r="E1048" s="557"/>
      <c r="F1048" s="1340"/>
      <c r="G1048" s="1340"/>
      <c r="H1048" s="1340"/>
      <c r="I1048" s="1340"/>
      <c r="J1048" s="1340"/>
      <c r="K1048" s="1340"/>
      <c r="L1048" s="1340"/>
      <c r="M1048" s="1340"/>
      <c r="N1048" s="1340"/>
      <c r="O1048" s="1340"/>
      <c r="P1048" s="1340"/>
      <c r="Q1048" s="1340"/>
      <c r="R1048" s="1340"/>
      <c r="S1048" s="1340"/>
      <c r="T1048" s="1340"/>
      <c r="U1048" s="1340"/>
      <c r="V1048" s="1340"/>
      <c r="W1048" s="1340"/>
      <c r="X1048" s="1340"/>
      <c r="Y1048" s="1340"/>
      <c r="Z1048" s="181" t="s">
        <v>103</v>
      </c>
      <c r="AA1048" s="780" t="s">
        <v>102</v>
      </c>
      <c r="AB1048" s="779" t="s">
        <v>1120</v>
      </c>
      <c r="AC1048" s="237">
        <v>1710.20379729514</v>
      </c>
      <c r="AD1048" s="779" t="str">
        <f>AB1048</f>
        <v xml:space="preserve">     Прочие амортизационные отчисления</v>
      </c>
      <c r="AE1048" s="237">
        <v>0</v>
      </c>
      <c r="AF1048" s="1351"/>
      <c r="AG1048" s="1353"/>
      <c r="AH1048" s="1353"/>
      <c r="AI1048" s="1351"/>
      <c r="AJ1048" s="1353"/>
      <c r="AK1048" s="1354"/>
      <c r="AL1048" s="772"/>
    </row>
    <row r="1049" spans="1:38" ht="11.25" customHeight="1">
      <c r="A1049" t="s">
        <v>1019</v>
      </c>
      <c r="E1049" s="557"/>
      <c r="F1049" s="1340"/>
      <c r="G1049" s="1340"/>
      <c r="H1049" s="1340"/>
      <c r="I1049" s="1340"/>
      <c r="J1049" s="1340"/>
      <c r="K1049" s="1340"/>
      <c r="L1049" s="1340"/>
      <c r="M1049" s="1340"/>
      <c r="N1049" s="1340"/>
      <c r="O1049" s="1340"/>
      <c r="P1049" s="1340"/>
      <c r="Q1049" s="1340"/>
      <c r="R1049" s="1340"/>
      <c r="S1049" s="1340"/>
      <c r="T1049" s="1340"/>
      <c r="U1049" s="1340"/>
      <c r="V1049" s="1340"/>
      <c r="W1049" s="1340"/>
      <c r="X1049" s="1340"/>
      <c r="Y1049" s="1340"/>
      <c r="Z1049" s="181" t="s">
        <v>103</v>
      </c>
      <c r="AA1049" s="780" t="s">
        <v>89</v>
      </c>
      <c r="AB1049" s="779" t="s">
        <v>1142</v>
      </c>
      <c r="AC1049" s="237">
        <v>1191.94822023304</v>
      </c>
      <c r="AD1049" s="779" t="str">
        <f>AB1049</f>
        <v xml:space="preserve">  Доход от взимания платы за негативное воздействие на работу централизованной системы водоотведения</v>
      </c>
      <c r="AE1049" s="237">
        <v>0</v>
      </c>
      <c r="AF1049" s="1351"/>
      <c r="AG1049" s="1353"/>
      <c r="AH1049" s="1353"/>
      <c r="AI1049" s="1351"/>
      <c r="AJ1049" s="1353"/>
      <c r="AK1049" s="1354"/>
      <c r="AL1049" s="772"/>
    </row>
    <row r="1050" spans="1:38" ht="11.25" customHeight="1">
      <c r="A1050" t="s">
        <v>1019</v>
      </c>
      <c r="E1050" s="557"/>
      <c r="F1050" s="1339"/>
      <c r="G1050" s="1340"/>
      <c r="H1050" s="1335" t="s">
        <v>158</v>
      </c>
      <c r="I1050" s="1347"/>
      <c r="J1050" s="1363"/>
      <c r="K1050" s="1349"/>
      <c r="L1050" s="1079"/>
      <c r="M1050" s="1080"/>
      <c r="N1050" s="1355"/>
      <c r="O1050" s="1356"/>
      <c r="P1050" s="1359"/>
      <c r="Q1050" s="1308"/>
      <c r="R1050" s="1308"/>
      <c r="S1050" s="1361"/>
      <c r="T1050" s="1308"/>
      <c r="U1050" s="1308"/>
      <c r="V1050" s="1308"/>
      <c r="W1050" s="1308"/>
      <c r="X1050" s="1308"/>
      <c r="Y1050" s="1308"/>
      <c r="Z1050" s="229"/>
      <c r="AA1050" s="230"/>
      <c r="AB1050" s="44" t="s">
        <v>1059</v>
      </c>
      <c r="AC1050" s="231"/>
      <c r="AD1050" s="231"/>
      <c r="AE1050" s="246"/>
      <c r="AF1050" s="1350"/>
      <c r="AG1050" s="1352"/>
      <c r="AH1050" s="1352"/>
      <c r="AI1050" s="1350"/>
      <c r="AJ1050" s="1352"/>
      <c r="AK1050" s="1352"/>
      <c r="AL1050" s="772"/>
    </row>
    <row r="1051" spans="1:38" ht="11.25" customHeight="1">
      <c r="A1051" t="s">
        <v>1019</v>
      </c>
      <c r="E1051" s="557"/>
      <c r="F1051" s="1339"/>
      <c r="G1051" s="1340"/>
      <c r="H1051" s="1335" t="s">
        <v>158</v>
      </c>
      <c r="I1051" s="1347"/>
      <c r="J1051" s="1363"/>
      <c r="K1051" s="1349"/>
      <c r="L1051" s="1079"/>
      <c r="M1051" s="1080"/>
      <c r="N1051" s="229"/>
      <c r="O1051" s="230"/>
      <c r="P1051" s="44" t="s">
        <v>1060</v>
      </c>
      <c r="Q1051" s="230"/>
      <c r="R1051" s="230"/>
      <c r="S1051" s="230"/>
      <c r="T1051" s="230"/>
      <c r="U1051" s="230"/>
      <c r="V1051" s="230"/>
      <c r="W1051" s="230"/>
      <c r="X1051" s="230"/>
      <c r="Y1051" s="230"/>
      <c r="Z1051" s="230"/>
      <c r="AA1051" s="230"/>
      <c r="AB1051" s="230"/>
      <c r="AC1051" s="230"/>
      <c r="AD1051" s="230"/>
      <c r="AE1051" s="247"/>
      <c r="AF1051" s="1350"/>
      <c r="AG1051" s="1352"/>
      <c r="AH1051" s="1352"/>
      <c r="AI1051" s="1350"/>
      <c r="AJ1051" s="1352"/>
      <c r="AK1051" s="1352"/>
      <c r="AL1051" s="772"/>
    </row>
    <row r="1052" spans="1:38" ht="11.25" customHeight="1">
      <c r="A1052" t="s">
        <v>1019</v>
      </c>
      <c r="B1052" t="s">
        <v>1051</v>
      </c>
      <c r="E1052" s="557"/>
      <c r="F1052" s="1339"/>
      <c r="G1052" s="1325" t="s">
        <v>103</v>
      </c>
      <c r="H1052" s="1335" t="s">
        <v>160</v>
      </c>
      <c r="I1052" s="1347" t="s">
        <v>1052</v>
      </c>
      <c r="J1052" s="1363" t="s">
        <v>1053</v>
      </c>
      <c r="K1052" s="1349" t="s">
        <v>1154</v>
      </c>
      <c r="L1052" s="1079" t="s">
        <v>19</v>
      </c>
      <c r="M1052" s="1080"/>
      <c r="N1052" s="242"/>
      <c r="O1052" s="243" t="s">
        <v>384</v>
      </c>
      <c r="P1052" s="244"/>
      <c r="Q1052" s="244"/>
      <c r="R1052" s="244"/>
      <c r="S1052" s="244"/>
      <c r="T1052" s="244"/>
      <c r="U1052" s="244"/>
      <c r="V1052" s="244"/>
      <c r="W1052" s="244"/>
      <c r="X1052" s="244"/>
      <c r="Y1052" s="244"/>
      <c r="Z1052" s="244"/>
      <c r="AA1052" s="244"/>
      <c r="AB1052" s="244"/>
      <c r="AC1052" s="244"/>
      <c r="AD1052" s="244"/>
      <c r="AE1052" s="244"/>
      <c r="AF1052" s="1350">
        <v>1</v>
      </c>
      <c r="AG1052" s="1352" t="s">
        <v>1055</v>
      </c>
      <c r="AH1052" s="1352" t="s">
        <v>1079</v>
      </c>
      <c r="AI1052" s="1350">
        <v>1</v>
      </c>
      <c r="AJ1052" s="1352" t="s">
        <v>1055</v>
      </c>
      <c r="AK1052" s="1352" t="s">
        <v>1079</v>
      </c>
      <c r="AL1052" s="772"/>
    </row>
    <row r="1053" spans="1:38" ht="11.25" customHeight="1">
      <c r="A1053" t="s">
        <v>1019</v>
      </c>
      <c r="E1053" s="557"/>
      <c r="F1053" s="1339"/>
      <c r="G1053" s="1340"/>
      <c r="H1053" s="1335" t="s">
        <v>159</v>
      </c>
      <c r="I1053" s="1347"/>
      <c r="J1053" s="1363"/>
      <c r="K1053" s="1349"/>
      <c r="L1053" s="1079"/>
      <c r="M1053" s="1080"/>
      <c r="N1053" s="1355"/>
      <c r="O1053" s="1356">
        <v>1</v>
      </c>
      <c r="P1053" s="1357" t="s">
        <v>19</v>
      </c>
      <c r="Q1053" s="1308" t="s">
        <v>22</v>
      </c>
      <c r="R1053" s="1308" t="s">
        <v>22</v>
      </c>
      <c r="S1053" s="1308" t="s">
        <v>22</v>
      </c>
      <c r="T1053" s="1308" t="s">
        <v>22</v>
      </c>
      <c r="U1053" s="1308" t="s">
        <v>22</v>
      </c>
      <c r="V1053" s="1308" t="s">
        <v>22</v>
      </c>
      <c r="W1053" s="1308" t="s">
        <v>22</v>
      </c>
      <c r="X1053" s="1308" t="s">
        <v>22</v>
      </c>
      <c r="Y1053" s="1308"/>
      <c r="Z1053" s="229"/>
      <c r="AA1053" s="230"/>
      <c r="AB1053" s="230"/>
      <c r="AC1053" s="231"/>
      <c r="AD1053" s="231"/>
      <c r="AE1053" s="245"/>
      <c r="AF1053" s="1350"/>
      <c r="AG1053" s="1352"/>
      <c r="AH1053" s="1352"/>
      <c r="AI1053" s="1350"/>
      <c r="AJ1053" s="1352"/>
      <c r="AK1053" s="1352"/>
      <c r="AL1053" s="772"/>
    </row>
    <row r="1054" spans="1:38" ht="11.25" customHeight="1">
      <c r="A1054" t="s">
        <v>1019</v>
      </c>
      <c r="E1054" s="557"/>
      <c r="F1054" s="1339"/>
      <c r="G1054" s="1340"/>
      <c r="H1054" s="1335" t="s">
        <v>159</v>
      </c>
      <c r="I1054" s="1347"/>
      <c r="J1054" s="1363"/>
      <c r="K1054" s="1349"/>
      <c r="L1054" s="1079"/>
      <c r="M1054" s="1080"/>
      <c r="N1054" s="1355"/>
      <c r="O1054" s="1356"/>
      <c r="P1054" s="1358"/>
      <c r="Q1054" s="1308"/>
      <c r="R1054" s="1308"/>
      <c r="S1054" s="1361"/>
      <c r="T1054" s="1308"/>
      <c r="U1054" s="1308"/>
      <c r="V1054" s="1308"/>
      <c r="W1054" s="1308"/>
      <c r="X1054" s="1308"/>
      <c r="Y1054" s="1308"/>
      <c r="AA1054" s="778">
        <v>1</v>
      </c>
      <c r="AB1054" s="779" t="s">
        <v>1119</v>
      </c>
      <c r="AC1054" s="237">
        <v>1703.1240876330901</v>
      </c>
      <c r="AD1054" s="779" t="str">
        <f>AB1054</f>
        <v xml:space="preserve">  Прибыль направляемая на инвестиции</v>
      </c>
      <c r="AE1054" s="237">
        <v>0</v>
      </c>
      <c r="AF1054" s="1350"/>
      <c r="AG1054" s="1352"/>
      <c r="AH1054" s="1352"/>
      <c r="AI1054" s="1350"/>
      <c r="AJ1054" s="1352"/>
      <c r="AK1054" s="1352"/>
      <c r="AL1054" s="772"/>
    </row>
    <row r="1055" spans="1:38" ht="11.25" customHeight="1">
      <c r="A1055" t="s">
        <v>1019</v>
      </c>
      <c r="E1055" s="557"/>
      <c r="F1055" s="1340"/>
      <c r="G1055" s="1340"/>
      <c r="H1055" s="1340"/>
      <c r="I1055" s="1340"/>
      <c r="J1055" s="1340"/>
      <c r="K1055" s="1340"/>
      <c r="L1055" s="1340"/>
      <c r="M1055" s="1340"/>
      <c r="N1055" s="1340"/>
      <c r="O1055" s="1340"/>
      <c r="P1055" s="1340"/>
      <c r="Q1055" s="1340"/>
      <c r="R1055" s="1340"/>
      <c r="S1055" s="1340"/>
      <c r="T1055" s="1340"/>
      <c r="U1055" s="1340"/>
      <c r="V1055" s="1340"/>
      <c r="W1055" s="1340"/>
      <c r="X1055" s="1340"/>
      <c r="Y1055" s="1340"/>
      <c r="Z1055" s="181" t="s">
        <v>103</v>
      </c>
      <c r="AA1055" s="780" t="s">
        <v>102</v>
      </c>
      <c r="AB1055" s="779" t="s">
        <v>1120</v>
      </c>
      <c r="AC1055" s="237">
        <v>611.12200346039799</v>
      </c>
      <c r="AD1055" s="779" t="str">
        <f>AB1055</f>
        <v xml:space="preserve">     Прочие амортизационные отчисления</v>
      </c>
      <c r="AE1055" s="237">
        <v>0</v>
      </c>
      <c r="AF1055" s="1351"/>
      <c r="AG1055" s="1353"/>
      <c r="AH1055" s="1353"/>
      <c r="AI1055" s="1351"/>
      <c r="AJ1055" s="1353"/>
      <c r="AK1055" s="1354"/>
      <c r="AL1055" s="772"/>
    </row>
    <row r="1056" spans="1:38" ht="11.25" customHeight="1">
      <c r="A1056" t="s">
        <v>1019</v>
      </c>
      <c r="E1056" s="557"/>
      <c r="F1056" s="1340"/>
      <c r="G1056" s="1340"/>
      <c r="H1056" s="1340"/>
      <c r="I1056" s="1340"/>
      <c r="J1056" s="1340"/>
      <c r="K1056" s="1340"/>
      <c r="L1056" s="1340"/>
      <c r="M1056" s="1340"/>
      <c r="N1056" s="1340"/>
      <c r="O1056" s="1340"/>
      <c r="P1056" s="1340"/>
      <c r="Q1056" s="1340"/>
      <c r="R1056" s="1340"/>
      <c r="S1056" s="1340"/>
      <c r="T1056" s="1340"/>
      <c r="U1056" s="1340"/>
      <c r="V1056" s="1340"/>
      <c r="W1056" s="1340"/>
      <c r="X1056" s="1340"/>
      <c r="Y1056" s="1340"/>
      <c r="Z1056" s="181" t="s">
        <v>103</v>
      </c>
      <c r="AA1056" s="780" t="s">
        <v>89</v>
      </c>
      <c r="AB1056" s="779" t="s">
        <v>1142</v>
      </c>
      <c r="AC1056" s="237">
        <v>425.92922873984099</v>
      </c>
      <c r="AD1056" s="779" t="str">
        <f>AB1056</f>
        <v xml:space="preserve">  Доход от взимания платы за негативное воздействие на работу централизованной системы водоотведения</v>
      </c>
      <c r="AE1056" s="237">
        <v>0</v>
      </c>
      <c r="AF1056" s="1351"/>
      <c r="AG1056" s="1353"/>
      <c r="AH1056" s="1353"/>
      <c r="AI1056" s="1351"/>
      <c r="AJ1056" s="1353"/>
      <c r="AK1056" s="1354"/>
      <c r="AL1056" s="772"/>
    </row>
    <row r="1057" spans="1:38" ht="11.25" customHeight="1">
      <c r="A1057" t="s">
        <v>1019</v>
      </c>
      <c r="E1057" s="557"/>
      <c r="F1057" s="1339"/>
      <c r="G1057" s="1340"/>
      <c r="H1057" s="1335" t="s">
        <v>159</v>
      </c>
      <c r="I1057" s="1347"/>
      <c r="J1057" s="1363"/>
      <c r="K1057" s="1349"/>
      <c r="L1057" s="1079"/>
      <c r="M1057" s="1080"/>
      <c r="N1057" s="1355"/>
      <c r="O1057" s="1356"/>
      <c r="P1057" s="1359"/>
      <c r="Q1057" s="1308"/>
      <c r="R1057" s="1308"/>
      <c r="S1057" s="1361"/>
      <c r="T1057" s="1308"/>
      <c r="U1057" s="1308"/>
      <c r="V1057" s="1308"/>
      <c r="W1057" s="1308"/>
      <c r="X1057" s="1308"/>
      <c r="Y1057" s="1308"/>
      <c r="Z1057" s="229"/>
      <c r="AA1057" s="230"/>
      <c r="AB1057" s="44" t="s">
        <v>1059</v>
      </c>
      <c r="AC1057" s="231"/>
      <c r="AD1057" s="231"/>
      <c r="AE1057" s="246"/>
      <c r="AF1057" s="1350"/>
      <c r="AG1057" s="1352"/>
      <c r="AH1057" s="1352"/>
      <c r="AI1057" s="1350"/>
      <c r="AJ1057" s="1352"/>
      <c r="AK1057" s="1352"/>
      <c r="AL1057" s="772"/>
    </row>
    <row r="1058" spans="1:38" ht="11.25" customHeight="1">
      <c r="A1058" t="s">
        <v>1019</v>
      </c>
      <c r="E1058" s="557"/>
      <c r="F1058" s="1339"/>
      <c r="G1058" s="1340"/>
      <c r="H1058" s="1335" t="s">
        <v>159</v>
      </c>
      <c r="I1058" s="1347"/>
      <c r="J1058" s="1363"/>
      <c r="K1058" s="1349"/>
      <c r="L1058" s="1079"/>
      <c r="M1058" s="1080"/>
      <c r="N1058" s="229"/>
      <c r="O1058" s="230"/>
      <c r="P1058" s="44" t="s">
        <v>1060</v>
      </c>
      <c r="Q1058" s="230"/>
      <c r="R1058" s="230"/>
      <c r="S1058" s="230"/>
      <c r="T1058" s="230"/>
      <c r="U1058" s="230"/>
      <c r="V1058" s="230"/>
      <c r="W1058" s="230"/>
      <c r="X1058" s="230"/>
      <c r="Y1058" s="230"/>
      <c r="Z1058" s="230"/>
      <c r="AA1058" s="230"/>
      <c r="AB1058" s="230"/>
      <c r="AC1058" s="230"/>
      <c r="AD1058" s="230"/>
      <c r="AE1058" s="247"/>
      <c r="AF1058" s="1350"/>
      <c r="AG1058" s="1352"/>
      <c r="AH1058" s="1352"/>
      <c r="AI1058" s="1350"/>
      <c r="AJ1058" s="1352"/>
      <c r="AK1058" s="1352"/>
      <c r="AL1058" s="772"/>
    </row>
    <row r="1059" spans="1:38" ht="11.25" customHeight="1">
      <c r="A1059" t="s">
        <v>1019</v>
      </c>
      <c r="B1059" t="s">
        <v>1051</v>
      </c>
      <c r="E1059" s="557"/>
      <c r="F1059" s="1339"/>
      <c r="G1059" s="1325" t="s">
        <v>103</v>
      </c>
      <c r="H1059" s="1335" t="s">
        <v>161</v>
      </c>
      <c r="I1059" s="1347" t="s">
        <v>1052</v>
      </c>
      <c r="J1059" s="1363" t="s">
        <v>1093</v>
      </c>
      <c r="K1059" s="1349" t="s">
        <v>1193</v>
      </c>
      <c r="L1059" s="1079" t="s">
        <v>61</v>
      </c>
      <c r="M1059" s="1364" t="s">
        <v>1018</v>
      </c>
      <c r="N1059" s="242"/>
      <c r="O1059" s="243" t="s">
        <v>384</v>
      </c>
      <c r="P1059" s="244"/>
      <c r="Q1059" s="244"/>
      <c r="R1059" s="244"/>
      <c r="S1059" s="244"/>
      <c r="T1059" s="244"/>
      <c r="U1059" s="244"/>
      <c r="V1059" s="244"/>
      <c r="W1059" s="244"/>
      <c r="X1059" s="244"/>
      <c r="Y1059" s="244"/>
      <c r="Z1059" s="244"/>
      <c r="AA1059" s="244"/>
      <c r="AB1059" s="244"/>
      <c r="AC1059" s="244"/>
      <c r="AD1059" s="244"/>
      <c r="AE1059" s="244"/>
      <c r="AF1059" s="1350">
        <v>1</v>
      </c>
      <c r="AG1059" s="1352" t="s">
        <v>1055</v>
      </c>
      <c r="AH1059" s="1352" t="s">
        <v>1079</v>
      </c>
      <c r="AI1059" s="1350">
        <v>1</v>
      </c>
      <c r="AJ1059" s="1352" t="s">
        <v>1055</v>
      </c>
      <c r="AK1059" s="1352" t="s">
        <v>1079</v>
      </c>
      <c r="AL1059" s="772"/>
    </row>
    <row r="1060" spans="1:38" ht="11.25" customHeight="1">
      <c r="A1060" t="s">
        <v>1019</v>
      </c>
      <c r="E1060" s="557"/>
      <c r="F1060" s="1339"/>
      <c r="G1060" s="1340"/>
      <c r="H1060" s="1335" t="s">
        <v>160</v>
      </c>
      <c r="I1060" s="1347"/>
      <c r="J1060" s="1363"/>
      <c r="K1060" s="1349"/>
      <c r="L1060" s="1079"/>
      <c r="M1060" s="1364"/>
      <c r="N1060" s="1355"/>
      <c r="O1060" s="1356">
        <v>1</v>
      </c>
      <c r="P1060" s="1357" t="s">
        <v>19</v>
      </c>
      <c r="Q1060" s="1308" t="s">
        <v>22</v>
      </c>
      <c r="R1060" s="1308" t="s">
        <v>22</v>
      </c>
      <c r="S1060" s="1308" t="s">
        <v>22</v>
      </c>
      <c r="T1060" s="1308" t="s">
        <v>22</v>
      </c>
      <c r="U1060" s="1308" t="s">
        <v>22</v>
      </c>
      <c r="V1060" s="1308" t="s">
        <v>22</v>
      </c>
      <c r="W1060" s="1308" t="s">
        <v>22</v>
      </c>
      <c r="X1060" s="1308" t="s">
        <v>22</v>
      </c>
      <c r="Y1060" s="1308"/>
      <c r="Z1060" s="229"/>
      <c r="AA1060" s="230"/>
      <c r="AB1060" s="230"/>
      <c r="AC1060" s="231"/>
      <c r="AD1060" s="231"/>
      <c r="AE1060" s="245"/>
      <c r="AF1060" s="1350"/>
      <c r="AG1060" s="1352"/>
      <c r="AH1060" s="1352"/>
      <c r="AI1060" s="1350"/>
      <c r="AJ1060" s="1352"/>
      <c r="AK1060" s="1352"/>
      <c r="AL1060" s="772"/>
    </row>
    <row r="1061" spans="1:38" ht="11.25" customHeight="1">
      <c r="A1061" t="s">
        <v>1019</v>
      </c>
      <c r="E1061" s="557"/>
      <c r="F1061" s="1339"/>
      <c r="G1061" s="1340"/>
      <c r="H1061" s="1335" t="s">
        <v>160</v>
      </c>
      <c r="I1061" s="1347"/>
      <c r="J1061" s="1363"/>
      <c r="K1061" s="1349"/>
      <c r="L1061" s="1079"/>
      <c r="M1061" s="1364"/>
      <c r="N1061" s="1355"/>
      <c r="O1061" s="1356"/>
      <c r="P1061" s="1358"/>
      <c r="Q1061" s="1308"/>
      <c r="R1061" s="1308"/>
      <c r="S1061" s="1361"/>
      <c r="T1061" s="1308"/>
      <c r="U1061" s="1308"/>
      <c r="V1061" s="1308"/>
      <c r="W1061" s="1308"/>
      <c r="X1061" s="1308"/>
      <c r="Y1061" s="1308"/>
      <c r="AA1061" s="778">
        <v>1</v>
      </c>
      <c r="AB1061" s="779" t="s">
        <v>1119</v>
      </c>
      <c r="AC1061" s="237">
        <v>10067.4930078827</v>
      </c>
      <c r="AD1061" s="779" t="str">
        <f>AB1061</f>
        <v xml:space="preserve">  Прибыль направляемая на инвестиции</v>
      </c>
      <c r="AE1061" s="237">
        <v>0</v>
      </c>
      <c r="AF1061" s="1350"/>
      <c r="AG1061" s="1352"/>
      <c r="AH1061" s="1352"/>
      <c r="AI1061" s="1350"/>
      <c r="AJ1061" s="1352"/>
      <c r="AK1061" s="1352"/>
      <c r="AL1061" s="772"/>
    </row>
    <row r="1062" spans="1:38" ht="11.25" customHeight="1">
      <c r="A1062" t="s">
        <v>1019</v>
      </c>
      <c r="E1062" s="557"/>
      <c r="F1062" s="1340"/>
      <c r="G1062" s="1340"/>
      <c r="H1062" s="1340"/>
      <c r="I1062" s="1340"/>
      <c r="J1062" s="1340"/>
      <c r="K1062" s="1340"/>
      <c r="L1062" s="1340"/>
      <c r="M1062" s="1365"/>
      <c r="N1062" s="1340"/>
      <c r="O1062" s="1340"/>
      <c r="P1062" s="1340"/>
      <c r="Q1062" s="1340"/>
      <c r="R1062" s="1340"/>
      <c r="S1062" s="1340"/>
      <c r="T1062" s="1340"/>
      <c r="U1062" s="1340"/>
      <c r="V1062" s="1340"/>
      <c r="W1062" s="1340"/>
      <c r="X1062" s="1340"/>
      <c r="Y1062" s="1340"/>
      <c r="Z1062" s="181" t="s">
        <v>103</v>
      </c>
      <c r="AA1062" s="780" t="s">
        <v>102</v>
      </c>
      <c r="AB1062" s="779" t="s">
        <v>1120</v>
      </c>
      <c r="AC1062" s="237">
        <v>3612.4593278174698</v>
      </c>
      <c r="AD1062" s="779" t="str">
        <f>AB1062</f>
        <v xml:space="preserve">     Прочие амортизационные отчисления</v>
      </c>
      <c r="AE1062" s="237">
        <v>0</v>
      </c>
      <c r="AF1062" s="1351"/>
      <c r="AG1062" s="1353"/>
      <c r="AH1062" s="1353"/>
      <c r="AI1062" s="1351"/>
      <c r="AJ1062" s="1353"/>
      <c r="AK1062" s="1354"/>
      <c r="AL1062" s="772"/>
    </row>
    <row r="1063" spans="1:38" ht="11.25" customHeight="1">
      <c r="A1063" t="s">
        <v>1019</v>
      </c>
      <c r="E1063" s="557"/>
      <c r="F1063" s="1340"/>
      <c r="G1063" s="1340"/>
      <c r="H1063" s="1340"/>
      <c r="I1063" s="1340"/>
      <c r="J1063" s="1340"/>
      <c r="K1063" s="1340"/>
      <c r="L1063" s="1340"/>
      <c r="M1063" s="1365"/>
      <c r="N1063" s="1340"/>
      <c r="O1063" s="1340"/>
      <c r="P1063" s="1340"/>
      <c r="Q1063" s="1340"/>
      <c r="R1063" s="1340"/>
      <c r="S1063" s="1340"/>
      <c r="T1063" s="1340"/>
      <c r="U1063" s="1340"/>
      <c r="V1063" s="1340"/>
      <c r="W1063" s="1340"/>
      <c r="X1063" s="1340"/>
      <c r="Y1063" s="1340"/>
      <c r="Z1063" s="181" t="s">
        <v>103</v>
      </c>
      <c r="AA1063" s="780" t="s">
        <v>89</v>
      </c>
      <c r="AB1063" s="779" t="s">
        <v>1142</v>
      </c>
      <c r="AC1063" s="237">
        <v>2517.7493309665301</v>
      </c>
      <c r="AD1063" s="779" t="str">
        <f>AB1063</f>
        <v xml:space="preserve">  Доход от взимания платы за негативное воздействие на работу централизованной системы водоотведения</v>
      </c>
      <c r="AE1063" s="237">
        <v>0</v>
      </c>
      <c r="AF1063" s="1351"/>
      <c r="AG1063" s="1353"/>
      <c r="AH1063" s="1353"/>
      <c r="AI1063" s="1351"/>
      <c r="AJ1063" s="1353"/>
      <c r="AK1063" s="1354"/>
      <c r="AL1063" s="772"/>
    </row>
    <row r="1064" spans="1:38" ht="11.25" customHeight="1">
      <c r="A1064" t="s">
        <v>1019</v>
      </c>
      <c r="E1064" s="557"/>
      <c r="F1064" s="1339"/>
      <c r="G1064" s="1340"/>
      <c r="H1064" s="1335" t="s">
        <v>160</v>
      </c>
      <c r="I1064" s="1347"/>
      <c r="J1064" s="1363"/>
      <c r="K1064" s="1349"/>
      <c r="L1064" s="1079"/>
      <c r="M1064" s="1364"/>
      <c r="N1064" s="1355"/>
      <c r="O1064" s="1356"/>
      <c r="P1064" s="1359"/>
      <c r="Q1064" s="1308"/>
      <c r="R1064" s="1308"/>
      <c r="S1064" s="1361"/>
      <c r="T1064" s="1308"/>
      <c r="U1064" s="1308"/>
      <c r="V1064" s="1308"/>
      <c r="W1064" s="1308"/>
      <c r="X1064" s="1308"/>
      <c r="Y1064" s="1308"/>
      <c r="Z1064" s="229"/>
      <c r="AA1064" s="230"/>
      <c r="AB1064" s="44" t="s">
        <v>1059</v>
      </c>
      <c r="AC1064" s="231"/>
      <c r="AD1064" s="231"/>
      <c r="AE1064" s="246"/>
      <c r="AF1064" s="1350"/>
      <c r="AG1064" s="1352"/>
      <c r="AH1064" s="1352"/>
      <c r="AI1064" s="1350"/>
      <c r="AJ1064" s="1352"/>
      <c r="AK1064" s="1352"/>
      <c r="AL1064" s="772"/>
    </row>
    <row r="1065" spans="1:38" ht="11.25" customHeight="1">
      <c r="A1065" t="s">
        <v>1019</v>
      </c>
      <c r="E1065" s="557"/>
      <c r="F1065" s="1339"/>
      <c r="G1065" s="1340"/>
      <c r="H1065" s="1335" t="s">
        <v>160</v>
      </c>
      <c r="I1065" s="1347"/>
      <c r="J1065" s="1363"/>
      <c r="K1065" s="1349"/>
      <c r="L1065" s="1079"/>
      <c r="M1065" s="1364"/>
      <c r="N1065" s="229"/>
      <c r="O1065" s="230"/>
      <c r="P1065" s="44" t="s">
        <v>1060</v>
      </c>
      <c r="Q1065" s="230"/>
      <c r="R1065" s="230"/>
      <c r="S1065" s="230"/>
      <c r="T1065" s="230"/>
      <c r="U1065" s="230"/>
      <c r="V1065" s="230"/>
      <c r="W1065" s="230"/>
      <c r="X1065" s="230"/>
      <c r="Y1065" s="230"/>
      <c r="Z1065" s="230"/>
      <c r="AA1065" s="230"/>
      <c r="AB1065" s="230"/>
      <c r="AC1065" s="230"/>
      <c r="AD1065" s="230"/>
      <c r="AE1065" s="247"/>
      <c r="AF1065" s="1350"/>
      <c r="AG1065" s="1352"/>
      <c r="AH1065" s="1352"/>
      <c r="AI1065" s="1350"/>
      <c r="AJ1065" s="1352"/>
      <c r="AK1065" s="1352"/>
      <c r="AL1065" s="772"/>
    </row>
    <row r="1066" spans="1:38" ht="11.25" customHeight="1">
      <c r="A1066" t="s">
        <v>1019</v>
      </c>
      <c r="B1066" t="s">
        <v>1051</v>
      </c>
      <c r="E1066" s="557"/>
      <c r="F1066" s="1339"/>
      <c r="G1066" s="1325" t="s">
        <v>103</v>
      </c>
      <c r="H1066" s="1335" t="s">
        <v>162</v>
      </c>
      <c r="I1066" s="1347" t="s">
        <v>1052</v>
      </c>
      <c r="J1066" s="1363" t="s">
        <v>1053</v>
      </c>
      <c r="K1066" s="1349" t="s">
        <v>1123</v>
      </c>
      <c r="L1066" s="1079" t="s">
        <v>61</v>
      </c>
      <c r="M1066" s="1364" t="s">
        <v>1018</v>
      </c>
      <c r="N1066" s="242"/>
      <c r="O1066" s="243" t="s">
        <v>384</v>
      </c>
      <c r="P1066" s="244"/>
      <c r="Q1066" s="244"/>
      <c r="R1066" s="244"/>
      <c r="S1066" s="244"/>
      <c r="T1066" s="244"/>
      <c r="U1066" s="244"/>
      <c r="V1066" s="244"/>
      <c r="W1066" s="244"/>
      <c r="X1066" s="244"/>
      <c r="Y1066" s="244"/>
      <c r="Z1066" s="244"/>
      <c r="AA1066" s="244"/>
      <c r="AB1066" s="244"/>
      <c r="AC1066" s="244"/>
      <c r="AD1066" s="244"/>
      <c r="AE1066" s="244"/>
      <c r="AF1066" s="1350">
        <v>1</v>
      </c>
      <c r="AG1066" s="1352" t="s">
        <v>1055</v>
      </c>
      <c r="AH1066" s="1352" t="s">
        <v>1079</v>
      </c>
      <c r="AI1066" s="1350">
        <v>1</v>
      </c>
      <c r="AJ1066" s="1352" t="s">
        <v>1055</v>
      </c>
      <c r="AK1066" s="1352" t="s">
        <v>1079</v>
      </c>
      <c r="AL1066" s="772"/>
    </row>
    <row r="1067" spans="1:38" ht="11.25" customHeight="1">
      <c r="A1067" t="s">
        <v>1019</v>
      </c>
      <c r="E1067" s="557"/>
      <c r="F1067" s="1339"/>
      <c r="G1067" s="1340"/>
      <c r="H1067" s="1335" t="s">
        <v>161</v>
      </c>
      <c r="I1067" s="1347"/>
      <c r="J1067" s="1363"/>
      <c r="K1067" s="1349"/>
      <c r="L1067" s="1079"/>
      <c r="M1067" s="1364"/>
      <c r="N1067" s="1355"/>
      <c r="O1067" s="1356">
        <v>1</v>
      </c>
      <c r="P1067" s="1357" t="s">
        <v>19</v>
      </c>
      <c r="Q1067" s="1308" t="s">
        <v>22</v>
      </c>
      <c r="R1067" s="1308" t="s">
        <v>22</v>
      </c>
      <c r="S1067" s="1308" t="s">
        <v>22</v>
      </c>
      <c r="T1067" s="1308" t="s">
        <v>22</v>
      </c>
      <c r="U1067" s="1308" t="s">
        <v>22</v>
      </c>
      <c r="V1067" s="1308" t="s">
        <v>22</v>
      </c>
      <c r="W1067" s="1308" t="s">
        <v>22</v>
      </c>
      <c r="X1067" s="1308" t="s">
        <v>22</v>
      </c>
      <c r="Y1067" s="1308"/>
      <c r="Z1067" s="229"/>
      <c r="AA1067" s="230"/>
      <c r="AB1067" s="230"/>
      <c r="AC1067" s="231"/>
      <c r="AD1067" s="231"/>
      <c r="AE1067" s="245"/>
      <c r="AF1067" s="1350"/>
      <c r="AG1067" s="1352"/>
      <c r="AH1067" s="1352"/>
      <c r="AI1067" s="1350"/>
      <c r="AJ1067" s="1352"/>
      <c r="AK1067" s="1352"/>
      <c r="AL1067" s="772"/>
    </row>
    <row r="1068" spans="1:38" ht="11.25" customHeight="1">
      <c r="A1068" t="s">
        <v>1019</v>
      </c>
      <c r="E1068" s="557"/>
      <c r="F1068" s="1339"/>
      <c r="G1068" s="1340"/>
      <c r="H1068" s="1335" t="s">
        <v>161</v>
      </c>
      <c r="I1068" s="1347"/>
      <c r="J1068" s="1363"/>
      <c r="K1068" s="1349"/>
      <c r="L1068" s="1079"/>
      <c r="M1068" s="1364"/>
      <c r="N1068" s="1355"/>
      <c r="O1068" s="1356"/>
      <c r="P1068" s="1358"/>
      <c r="Q1068" s="1308"/>
      <c r="R1068" s="1308"/>
      <c r="S1068" s="1361"/>
      <c r="T1068" s="1308"/>
      <c r="U1068" s="1308"/>
      <c r="V1068" s="1308"/>
      <c r="W1068" s="1308"/>
      <c r="X1068" s="1308"/>
      <c r="Y1068" s="1308"/>
      <c r="AA1068" s="778">
        <v>1</v>
      </c>
      <c r="AB1068" s="779" t="s">
        <v>1119</v>
      </c>
      <c r="AC1068" s="237">
        <v>26231.380234323198</v>
      </c>
      <c r="AD1068" s="779" t="str">
        <f>AB1068</f>
        <v xml:space="preserve">  Прибыль направляемая на инвестиции</v>
      </c>
      <c r="AE1068" s="237">
        <v>0</v>
      </c>
      <c r="AF1068" s="1350"/>
      <c r="AG1068" s="1352"/>
      <c r="AH1068" s="1352"/>
      <c r="AI1068" s="1350"/>
      <c r="AJ1068" s="1352"/>
      <c r="AK1068" s="1352"/>
      <c r="AL1068" s="772"/>
    </row>
    <row r="1069" spans="1:38" ht="11.25" customHeight="1">
      <c r="A1069" t="s">
        <v>1019</v>
      </c>
      <c r="E1069" s="557"/>
      <c r="F1069" s="1340"/>
      <c r="G1069" s="1340"/>
      <c r="H1069" s="1340"/>
      <c r="I1069" s="1340"/>
      <c r="J1069" s="1340"/>
      <c r="K1069" s="1340"/>
      <c r="L1069" s="1340"/>
      <c r="M1069" s="1365"/>
      <c r="N1069" s="1340"/>
      <c r="O1069" s="1340"/>
      <c r="P1069" s="1340"/>
      <c r="Q1069" s="1340"/>
      <c r="R1069" s="1340"/>
      <c r="S1069" s="1340"/>
      <c r="T1069" s="1340"/>
      <c r="U1069" s="1340"/>
      <c r="V1069" s="1340"/>
      <c r="W1069" s="1340"/>
      <c r="X1069" s="1340"/>
      <c r="Y1069" s="1340"/>
      <c r="Z1069" s="181" t="s">
        <v>103</v>
      </c>
      <c r="AA1069" s="780" t="s">
        <v>102</v>
      </c>
      <c r="AB1069" s="779" t="s">
        <v>1120</v>
      </c>
      <c r="AC1069" s="237">
        <v>9412.4519515248303</v>
      </c>
      <c r="AD1069" s="779" t="str">
        <f>AB1069</f>
        <v xml:space="preserve">     Прочие амортизационные отчисления</v>
      </c>
      <c r="AE1069" s="237">
        <v>0</v>
      </c>
      <c r="AF1069" s="1351"/>
      <c r="AG1069" s="1353"/>
      <c r="AH1069" s="1353"/>
      <c r="AI1069" s="1351"/>
      <c r="AJ1069" s="1353"/>
      <c r="AK1069" s="1354"/>
      <c r="AL1069" s="772"/>
    </row>
    <row r="1070" spans="1:38" ht="11.25" customHeight="1">
      <c r="A1070" t="s">
        <v>1019</v>
      </c>
      <c r="E1070" s="557"/>
      <c r="F1070" s="1340"/>
      <c r="G1070" s="1340"/>
      <c r="H1070" s="1340"/>
      <c r="I1070" s="1340"/>
      <c r="J1070" s="1340"/>
      <c r="K1070" s="1340"/>
      <c r="L1070" s="1340"/>
      <c r="M1070" s="1365"/>
      <c r="N1070" s="1340"/>
      <c r="O1070" s="1340"/>
      <c r="P1070" s="1340"/>
      <c r="Q1070" s="1340"/>
      <c r="R1070" s="1340"/>
      <c r="S1070" s="1340"/>
      <c r="T1070" s="1340"/>
      <c r="U1070" s="1340"/>
      <c r="V1070" s="1340"/>
      <c r="W1070" s="1340"/>
      <c r="X1070" s="1340"/>
      <c r="Y1070" s="1340"/>
      <c r="Z1070" s="181" t="s">
        <v>103</v>
      </c>
      <c r="AA1070" s="780" t="s">
        <v>89</v>
      </c>
      <c r="AB1070" s="779" t="s">
        <v>1142</v>
      </c>
      <c r="AC1070" s="237">
        <v>6560.1277282819701</v>
      </c>
      <c r="AD1070" s="779" t="str">
        <f>AB1070</f>
        <v xml:space="preserve">  Доход от взимания платы за негативное воздействие на работу централизованной системы водоотведения</v>
      </c>
      <c r="AE1070" s="237">
        <v>0</v>
      </c>
      <c r="AF1070" s="1351"/>
      <c r="AG1070" s="1353"/>
      <c r="AH1070" s="1353"/>
      <c r="AI1070" s="1351"/>
      <c r="AJ1070" s="1353"/>
      <c r="AK1070" s="1354"/>
      <c r="AL1070" s="772"/>
    </row>
    <row r="1071" spans="1:38" ht="11.25" customHeight="1">
      <c r="A1071" t="s">
        <v>1019</v>
      </c>
      <c r="E1071" s="557"/>
      <c r="F1071" s="1339"/>
      <c r="G1071" s="1340"/>
      <c r="H1071" s="1335" t="s">
        <v>161</v>
      </c>
      <c r="I1071" s="1347"/>
      <c r="J1071" s="1363"/>
      <c r="K1071" s="1349"/>
      <c r="L1071" s="1079"/>
      <c r="M1071" s="1364"/>
      <c r="N1071" s="1355"/>
      <c r="O1071" s="1356"/>
      <c r="P1071" s="1359"/>
      <c r="Q1071" s="1308"/>
      <c r="R1071" s="1308"/>
      <c r="S1071" s="1361"/>
      <c r="T1071" s="1308"/>
      <c r="U1071" s="1308"/>
      <c r="V1071" s="1308"/>
      <c r="W1071" s="1308"/>
      <c r="X1071" s="1308"/>
      <c r="Y1071" s="1308"/>
      <c r="Z1071" s="229"/>
      <c r="AA1071" s="230"/>
      <c r="AB1071" s="44" t="s">
        <v>1059</v>
      </c>
      <c r="AC1071" s="231"/>
      <c r="AD1071" s="231"/>
      <c r="AE1071" s="246"/>
      <c r="AF1071" s="1350"/>
      <c r="AG1071" s="1352"/>
      <c r="AH1071" s="1352"/>
      <c r="AI1071" s="1350"/>
      <c r="AJ1071" s="1352"/>
      <c r="AK1071" s="1352"/>
      <c r="AL1071" s="772"/>
    </row>
    <row r="1072" spans="1:38" ht="11.25" customHeight="1">
      <c r="A1072" t="s">
        <v>1019</v>
      </c>
      <c r="E1072" s="557"/>
      <c r="F1072" s="1339"/>
      <c r="G1072" s="1340"/>
      <c r="H1072" s="1335" t="s">
        <v>161</v>
      </c>
      <c r="I1072" s="1347"/>
      <c r="J1072" s="1363"/>
      <c r="K1072" s="1349"/>
      <c r="L1072" s="1079"/>
      <c r="M1072" s="1364"/>
      <c r="N1072" s="229"/>
      <c r="O1072" s="230"/>
      <c r="P1072" s="44" t="s">
        <v>1060</v>
      </c>
      <c r="Q1072" s="230"/>
      <c r="R1072" s="230"/>
      <c r="S1072" s="230"/>
      <c r="T1072" s="230"/>
      <c r="U1072" s="230"/>
      <c r="V1072" s="230"/>
      <c r="W1072" s="230"/>
      <c r="X1072" s="230"/>
      <c r="Y1072" s="230"/>
      <c r="Z1072" s="230"/>
      <c r="AA1072" s="230"/>
      <c r="AB1072" s="230"/>
      <c r="AC1072" s="230"/>
      <c r="AD1072" s="230"/>
      <c r="AE1072" s="247"/>
      <c r="AF1072" s="1350"/>
      <c r="AG1072" s="1352"/>
      <c r="AH1072" s="1352"/>
      <c r="AI1072" s="1350"/>
      <c r="AJ1072" s="1352"/>
      <c r="AK1072" s="1352"/>
      <c r="AL1072" s="772"/>
    </row>
    <row r="1073" spans="1:38" ht="11.25" customHeight="1">
      <c r="A1073" t="s">
        <v>1019</v>
      </c>
      <c r="B1073" t="s">
        <v>1051</v>
      </c>
      <c r="E1073" s="557"/>
      <c r="F1073" s="1339"/>
      <c r="G1073" s="1325" t="s">
        <v>103</v>
      </c>
      <c r="H1073" s="1335" t="s">
        <v>163</v>
      </c>
      <c r="I1073" s="1347" t="s">
        <v>1052</v>
      </c>
      <c r="J1073" s="1363" t="s">
        <v>1053</v>
      </c>
      <c r="K1073" s="1349" t="s">
        <v>1124</v>
      </c>
      <c r="L1073" s="1079" t="s">
        <v>61</v>
      </c>
      <c r="M1073" s="1364" t="s">
        <v>1018</v>
      </c>
      <c r="N1073" s="242"/>
      <c r="O1073" s="243" t="s">
        <v>384</v>
      </c>
      <c r="P1073" s="244"/>
      <c r="Q1073" s="244"/>
      <c r="R1073" s="244"/>
      <c r="S1073" s="244"/>
      <c r="T1073" s="244"/>
      <c r="U1073" s="244"/>
      <c r="V1073" s="244"/>
      <c r="W1073" s="244"/>
      <c r="X1073" s="244"/>
      <c r="Y1073" s="244"/>
      <c r="Z1073" s="244"/>
      <c r="AA1073" s="244"/>
      <c r="AB1073" s="244"/>
      <c r="AC1073" s="244"/>
      <c r="AD1073" s="244"/>
      <c r="AE1073" s="244"/>
      <c r="AF1073" s="1350">
        <v>1</v>
      </c>
      <c r="AG1073" s="1352" t="s">
        <v>1055</v>
      </c>
      <c r="AH1073" s="1352" t="s">
        <v>1079</v>
      </c>
      <c r="AI1073" s="1350">
        <v>1</v>
      </c>
      <c r="AJ1073" s="1352" t="s">
        <v>1055</v>
      </c>
      <c r="AK1073" s="1352" t="s">
        <v>1079</v>
      </c>
      <c r="AL1073" s="772"/>
    </row>
    <row r="1074" spans="1:38" ht="11.25" customHeight="1">
      <c r="A1074" t="s">
        <v>1019</v>
      </c>
      <c r="E1074" s="557"/>
      <c r="F1074" s="1339"/>
      <c r="G1074" s="1340"/>
      <c r="H1074" s="1335" t="s">
        <v>162</v>
      </c>
      <c r="I1074" s="1347"/>
      <c r="J1074" s="1363"/>
      <c r="K1074" s="1349"/>
      <c r="L1074" s="1079"/>
      <c r="M1074" s="1364"/>
      <c r="N1074" s="1355"/>
      <c r="O1074" s="1356">
        <v>1</v>
      </c>
      <c r="P1074" s="1357" t="s">
        <v>19</v>
      </c>
      <c r="Q1074" s="1308" t="s">
        <v>22</v>
      </c>
      <c r="R1074" s="1308" t="s">
        <v>22</v>
      </c>
      <c r="S1074" s="1308" t="s">
        <v>22</v>
      </c>
      <c r="T1074" s="1308" t="s">
        <v>22</v>
      </c>
      <c r="U1074" s="1308" t="s">
        <v>22</v>
      </c>
      <c r="V1074" s="1308" t="s">
        <v>22</v>
      </c>
      <c r="W1074" s="1308" t="s">
        <v>22</v>
      </c>
      <c r="X1074" s="1308" t="s">
        <v>22</v>
      </c>
      <c r="Y1074" s="1308"/>
      <c r="Z1074" s="229"/>
      <c r="AA1074" s="230"/>
      <c r="AB1074" s="230"/>
      <c r="AC1074" s="231"/>
      <c r="AD1074" s="231"/>
      <c r="AE1074" s="245"/>
      <c r="AF1074" s="1350"/>
      <c r="AG1074" s="1352"/>
      <c r="AH1074" s="1352"/>
      <c r="AI1074" s="1350"/>
      <c r="AJ1074" s="1352"/>
      <c r="AK1074" s="1352"/>
      <c r="AL1074" s="772"/>
    </row>
    <row r="1075" spans="1:38" ht="11.25" customHeight="1">
      <c r="A1075" t="s">
        <v>1019</v>
      </c>
      <c r="E1075" s="557"/>
      <c r="F1075" s="1339"/>
      <c r="G1075" s="1340"/>
      <c r="H1075" s="1335" t="s">
        <v>162</v>
      </c>
      <c r="I1075" s="1347"/>
      <c r="J1075" s="1363"/>
      <c r="K1075" s="1349"/>
      <c r="L1075" s="1079"/>
      <c r="M1075" s="1364"/>
      <c r="N1075" s="1355"/>
      <c r="O1075" s="1356"/>
      <c r="P1075" s="1358"/>
      <c r="Q1075" s="1308"/>
      <c r="R1075" s="1308"/>
      <c r="S1075" s="1361"/>
      <c r="T1075" s="1308"/>
      <c r="U1075" s="1308"/>
      <c r="V1075" s="1308"/>
      <c r="W1075" s="1308"/>
      <c r="X1075" s="1308"/>
      <c r="Y1075" s="1308"/>
      <c r="AA1075" s="778">
        <v>1</v>
      </c>
      <c r="AB1075" s="779" t="s">
        <v>1119</v>
      </c>
      <c r="AC1075" s="237">
        <v>20795.224914588602</v>
      </c>
      <c r="AD1075" s="779" t="str">
        <f>AB1075</f>
        <v xml:space="preserve">  Прибыль направляемая на инвестиции</v>
      </c>
      <c r="AE1075" s="237">
        <v>0</v>
      </c>
      <c r="AF1075" s="1350"/>
      <c r="AG1075" s="1352"/>
      <c r="AH1075" s="1352"/>
      <c r="AI1075" s="1350"/>
      <c r="AJ1075" s="1352"/>
      <c r="AK1075" s="1352"/>
      <c r="AL1075" s="772"/>
    </row>
    <row r="1076" spans="1:38" ht="11.25" customHeight="1">
      <c r="A1076" t="s">
        <v>1019</v>
      </c>
      <c r="E1076" s="557"/>
      <c r="F1076" s="1340"/>
      <c r="G1076" s="1340"/>
      <c r="H1076" s="1340"/>
      <c r="I1076" s="1340"/>
      <c r="J1076" s="1340"/>
      <c r="K1076" s="1340"/>
      <c r="L1076" s="1340"/>
      <c r="M1076" s="1365"/>
      <c r="N1076" s="1340"/>
      <c r="O1076" s="1340"/>
      <c r="P1076" s="1340"/>
      <c r="Q1076" s="1340"/>
      <c r="R1076" s="1340"/>
      <c r="S1076" s="1340"/>
      <c r="T1076" s="1340"/>
      <c r="U1076" s="1340"/>
      <c r="V1076" s="1340"/>
      <c r="W1076" s="1340"/>
      <c r="X1076" s="1340"/>
      <c r="Y1076" s="1340"/>
      <c r="Z1076" s="181" t="s">
        <v>103</v>
      </c>
      <c r="AA1076" s="780" t="s">
        <v>102</v>
      </c>
      <c r="AB1076" s="779" t="s">
        <v>1120</v>
      </c>
      <c r="AC1076" s="237">
        <v>7461.82829806278</v>
      </c>
      <c r="AD1076" s="779" t="str">
        <f>AB1076</f>
        <v xml:space="preserve">     Прочие амортизационные отчисления</v>
      </c>
      <c r="AE1076" s="237">
        <v>0</v>
      </c>
      <c r="AF1076" s="1351"/>
      <c r="AG1076" s="1353"/>
      <c r="AH1076" s="1353"/>
      <c r="AI1076" s="1351"/>
      <c r="AJ1076" s="1353"/>
      <c r="AK1076" s="1354"/>
      <c r="AL1076" s="772"/>
    </row>
    <row r="1077" spans="1:38" ht="11.25" customHeight="1">
      <c r="A1077" t="s">
        <v>1019</v>
      </c>
      <c r="E1077" s="557"/>
      <c r="F1077" s="1340"/>
      <c r="G1077" s="1340"/>
      <c r="H1077" s="1340"/>
      <c r="I1077" s="1340"/>
      <c r="J1077" s="1340"/>
      <c r="K1077" s="1340"/>
      <c r="L1077" s="1340"/>
      <c r="M1077" s="1365"/>
      <c r="N1077" s="1340"/>
      <c r="O1077" s="1340"/>
      <c r="P1077" s="1340"/>
      <c r="Q1077" s="1340"/>
      <c r="R1077" s="1340"/>
      <c r="S1077" s="1340"/>
      <c r="T1077" s="1340"/>
      <c r="U1077" s="1340"/>
      <c r="V1077" s="1340"/>
      <c r="W1077" s="1340"/>
      <c r="X1077" s="1340"/>
      <c r="Y1077" s="1340"/>
      <c r="Z1077" s="181" t="s">
        <v>103</v>
      </c>
      <c r="AA1077" s="780" t="s">
        <v>89</v>
      </c>
      <c r="AB1077" s="779" t="s">
        <v>1142</v>
      </c>
      <c r="AC1077" s="237">
        <v>5200.6158410052403</v>
      </c>
      <c r="AD1077" s="779" t="str">
        <f>AB1077</f>
        <v xml:space="preserve">  Доход от взимания платы за негативное воздействие на работу централизованной системы водоотведения</v>
      </c>
      <c r="AE1077" s="237">
        <v>0</v>
      </c>
      <c r="AF1077" s="1351"/>
      <c r="AG1077" s="1353"/>
      <c r="AH1077" s="1353"/>
      <c r="AI1077" s="1351"/>
      <c r="AJ1077" s="1353"/>
      <c r="AK1077" s="1354"/>
      <c r="AL1077" s="772"/>
    </row>
    <row r="1078" spans="1:38" ht="11.25" customHeight="1">
      <c r="A1078" t="s">
        <v>1019</v>
      </c>
      <c r="E1078" s="557"/>
      <c r="F1078" s="1339"/>
      <c r="G1078" s="1340"/>
      <c r="H1078" s="1335" t="s">
        <v>162</v>
      </c>
      <c r="I1078" s="1347"/>
      <c r="J1078" s="1363"/>
      <c r="K1078" s="1349"/>
      <c r="L1078" s="1079"/>
      <c r="M1078" s="1364"/>
      <c r="N1078" s="1355"/>
      <c r="O1078" s="1356"/>
      <c r="P1078" s="1359"/>
      <c r="Q1078" s="1308"/>
      <c r="R1078" s="1308"/>
      <c r="S1078" s="1361"/>
      <c r="T1078" s="1308"/>
      <c r="U1078" s="1308"/>
      <c r="V1078" s="1308"/>
      <c r="W1078" s="1308"/>
      <c r="X1078" s="1308"/>
      <c r="Y1078" s="1308"/>
      <c r="Z1078" s="229"/>
      <c r="AA1078" s="230"/>
      <c r="AB1078" s="44" t="s">
        <v>1059</v>
      </c>
      <c r="AC1078" s="231"/>
      <c r="AD1078" s="231"/>
      <c r="AE1078" s="246"/>
      <c r="AF1078" s="1350"/>
      <c r="AG1078" s="1352"/>
      <c r="AH1078" s="1352"/>
      <c r="AI1078" s="1350"/>
      <c r="AJ1078" s="1352"/>
      <c r="AK1078" s="1352"/>
      <c r="AL1078" s="772"/>
    </row>
    <row r="1079" spans="1:38" ht="11.25" customHeight="1">
      <c r="A1079" t="s">
        <v>1019</v>
      </c>
      <c r="E1079" s="557"/>
      <c r="F1079" s="1339"/>
      <c r="G1079" s="1340"/>
      <c r="H1079" s="1335" t="s">
        <v>162</v>
      </c>
      <c r="I1079" s="1347"/>
      <c r="J1079" s="1363"/>
      <c r="K1079" s="1349"/>
      <c r="L1079" s="1079"/>
      <c r="M1079" s="1364"/>
      <c r="N1079" s="229"/>
      <c r="O1079" s="230"/>
      <c r="P1079" s="44" t="s">
        <v>1060</v>
      </c>
      <c r="Q1079" s="230"/>
      <c r="R1079" s="230"/>
      <c r="S1079" s="230"/>
      <c r="T1079" s="230"/>
      <c r="U1079" s="230"/>
      <c r="V1079" s="230"/>
      <c r="W1079" s="230"/>
      <c r="X1079" s="230"/>
      <c r="Y1079" s="230"/>
      <c r="Z1079" s="230"/>
      <c r="AA1079" s="230"/>
      <c r="AB1079" s="230"/>
      <c r="AC1079" s="230"/>
      <c r="AD1079" s="230"/>
      <c r="AE1079" s="247"/>
      <c r="AF1079" s="1350"/>
      <c r="AG1079" s="1352"/>
      <c r="AH1079" s="1352"/>
      <c r="AI1079" s="1350"/>
      <c r="AJ1079" s="1352"/>
      <c r="AK1079" s="1352"/>
      <c r="AL1079" s="772"/>
    </row>
    <row r="1080" spans="1:38" ht="11.25" customHeight="1">
      <c r="A1080" t="s">
        <v>1019</v>
      </c>
      <c r="B1080" t="s">
        <v>1051</v>
      </c>
      <c r="E1080" s="557"/>
      <c r="F1080" s="1339"/>
      <c r="G1080" s="1325" t="s">
        <v>103</v>
      </c>
      <c r="H1080" s="1335" t="s">
        <v>1127</v>
      </c>
      <c r="I1080" s="1347" t="s">
        <v>1052</v>
      </c>
      <c r="J1080" s="1363" t="s">
        <v>1053</v>
      </c>
      <c r="K1080" s="1349" t="s">
        <v>1126</v>
      </c>
      <c r="L1080" s="1079" t="s">
        <v>61</v>
      </c>
      <c r="M1080" s="1364" t="s">
        <v>1018</v>
      </c>
      <c r="N1080" s="242"/>
      <c r="O1080" s="243" t="s">
        <v>384</v>
      </c>
      <c r="P1080" s="244"/>
      <c r="Q1080" s="244"/>
      <c r="R1080" s="244"/>
      <c r="S1080" s="244"/>
      <c r="T1080" s="244"/>
      <c r="U1080" s="244"/>
      <c r="V1080" s="244"/>
      <c r="W1080" s="244"/>
      <c r="X1080" s="244"/>
      <c r="Y1080" s="244"/>
      <c r="Z1080" s="244"/>
      <c r="AA1080" s="244"/>
      <c r="AB1080" s="244"/>
      <c r="AC1080" s="244"/>
      <c r="AD1080" s="244"/>
      <c r="AE1080" s="244"/>
      <c r="AF1080" s="1350">
        <v>1</v>
      </c>
      <c r="AG1080" s="1352" t="s">
        <v>1055</v>
      </c>
      <c r="AH1080" s="1352" t="s">
        <v>1079</v>
      </c>
      <c r="AI1080" s="1350">
        <v>1</v>
      </c>
      <c r="AJ1080" s="1352" t="s">
        <v>1055</v>
      </c>
      <c r="AK1080" s="1352" t="s">
        <v>1079</v>
      </c>
      <c r="AL1080" s="772"/>
    </row>
    <row r="1081" spans="1:38" ht="11.25" customHeight="1">
      <c r="A1081" t="s">
        <v>1019</v>
      </c>
      <c r="E1081" s="557"/>
      <c r="F1081" s="1339"/>
      <c r="G1081" s="1340"/>
      <c r="H1081" s="1335" t="s">
        <v>163</v>
      </c>
      <c r="I1081" s="1347"/>
      <c r="J1081" s="1363"/>
      <c r="K1081" s="1349"/>
      <c r="L1081" s="1079"/>
      <c r="M1081" s="1364"/>
      <c r="N1081" s="1355"/>
      <c r="O1081" s="1356">
        <v>1</v>
      </c>
      <c r="P1081" s="1357" t="s">
        <v>19</v>
      </c>
      <c r="Q1081" s="1308" t="s">
        <v>22</v>
      </c>
      <c r="R1081" s="1308" t="s">
        <v>22</v>
      </c>
      <c r="S1081" s="1308" t="s">
        <v>22</v>
      </c>
      <c r="T1081" s="1308" t="s">
        <v>22</v>
      </c>
      <c r="U1081" s="1308" t="s">
        <v>22</v>
      </c>
      <c r="V1081" s="1308" t="s">
        <v>22</v>
      </c>
      <c r="W1081" s="1308" t="s">
        <v>22</v>
      </c>
      <c r="X1081" s="1308" t="s">
        <v>22</v>
      </c>
      <c r="Y1081" s="1308"/>
      <c r="Z1081" s="229"/>
      <c r="AA1081" s="230"/>
      <c r="AB1081" s="230"/>
      <c r="AC1081" s="231"/>
      <c r="AD1081" s="231"/>
      <c r="AE1081" s="245"/>
      <c r="AF1081" s="1350"/>
      <c r="AG1081" s="1352"/>
      <c r="AH1081" s="1352"/>
      <c r="AI1081" s="1350"/>
      <c r="AJ1081" s="1352"/>
      <c r="AK1081" s="1352"/>
      <c r="AL1081" s="772"/>
    </row>
    <row r="1082" spans="1:38" ht="11.25" customHeight="1">
      <c r="A1082" t="s">
        <v>1019</v>
      </c>
      <c r="E1082" s="557"/>
      <c r="F1082" s="1339"/>
      <c r="G1082" s="1340"/>
      <c r="H1082" s="1335" t="s">
        <v>163</v>
      </c>
      <c r="I1082" s="1347"/>
      <c r="J1082" s="1363"/>
      <c r="K1082" s="1349"/>
      <c r="L1082" s="1079"/>
      <c r="M1082" s="1364"/>
      <c r="N1082" s="1355"/>
      <c r="O1082" s="1356"/>
      <c r="P1082" s="1358"/>
      <c r="Q1082" s="1308"/>
      <c r="R1082" s="1308"/>
      <c r="S1082" s="1361"/>
      <c r="T1082" s="1308"/>
      <c r="U1082" s="1308"/>
      <c r="V1082" s="1308"/>
      <c r="W1082" s="1308"/>
      <c r="X1082" s="1308"/>
      <c r="Y1082" s="1308"/>
      <c r="AA1082" s="778">
        <v>1</v>
      </c>
      <c r="AB1082" s="779" t="s">
        <v>1119</v>
      </c>
      <c r="AC1082" s="237">
        <v>12882.9279065597</v>
      </c>
      <c r="AD1082" s="779" t="str">
        <f>AB1082</f>
        <v xml:space="preserve">  Прибыль направляемая на инвестиции</v>
      </c>
      <c r="AE1082" s="237">
        <v>0</v>
      </c>
      <c r="AF1082" s="1350"/>
      <c r="AG1082" s="1352"/>
      <c r="AH1082" s="1352"/>
      <c r="AI1082" s="1350"/>
      <c r="AJ1082" s="1352"/>
      <c r="AK1082" s="1352"/>
      <c r="AL1082" s="772"/>
    </row>
    <row r="1083" spans="1:38" ht="11.25" customHeight="1">
      <c r="A1083" t="s">
        <v>1019</v>
      </c>
      <c r="E1083" s="557"/>
      <c r="F1083" s="1340"/>
      <c r="G1083" s="1340"/>
      <c r="H1083" s="1340"/>
      <c r="I1083" s="1340"/>
      <c r="J1083" s="1340"/>
      <c r="K1083" s="1340"/>
      <c r="L1083" s="1340"/>
      <c r="M1083" s="1365"/>
      <c r="N1083" s="1340"/>
      <c r="O1083" s="1340"/>
      <c r="P1083" s="1340"/>
      <c r="Q1083" s="1340"/>
      <c r="R1083" s="1340"/>
      <c r="S1083" s="1340"/>
      <c r="T1083" s="1340"/>
      <c r="U1083" s="1340"/>
      <c r="V1083" s="1340"/>
      <c r="W1083" s="1340"/>
      <c r="X1083" s="1340"/>
      <c r="Y1083" s="1340"/>
      <c r="Z1083" s="181" t="s">
        <v>103</v>
      </c>
      <c r="AA1083" s="780" t="s">
        <v>102</v>
      </c>
      <c r="AB1083" s="779" t="s">
        <v>1120</v>
      </c>
      <c r="AC1083" s="237">
        <v>4622.70528017376</v>
      </c>
      <c r="AD1083" s="779" t="str">
        <f>AB1083</f>
        <v xml:space="preserve">     Прочие амортизационные отчисления</v>
      </c>
      <c r="AE1083" s="237">
        <v>0</v>
      </c>
      <c r="AF1083" s="1351"/>
      <c r="AG1083" s="1353"/>
      <c r="AH1083" s="1353"/>
      <c r="AI1083" s="1351"/>
      <c r="AJ1083" s="1353"/>
      <c r="AK1083" s="1354"/>
      <c r="AL1083" s="772"/>
    </row>
    <row r="1084" spans="1:38" ht="11.25" customHeight="1">
      <c r="A1084" t="s">
        <v>1019</v>
      </c>
      <c r="E1084" s="557"/>
      <c r="F1084" s="1340"/>
      <c r="G1084" s="1340"/>
      <c r="H1084" s="1340"/>
      <c r="I1084" s="1340"/>
      <c r="J1084" s="1340"/>
      <c r="K1084" s="1340"/>
      <c r="L1084" s="1340"/>
      <c r="M1084" s="1365"/>
      <c r="N1084" s="1340"/>
      <c r="O1084" s="1340"/>
      <c r="P1084" s="1340"/>
      <c r="Q1084" s="1340"/>
      <c r="R1084" s="1340"/>
      <c r="S1084" s="1340"/>
      <c r="T1084" s="1340"/>
      <c r="U1084" s="1340"/>
      <c r="V1084" s="1340"/>
      <c r="W1084" s="1340"/>
      <c r="X1084" s="1340"/>
      <c r="Y1084" s="1340"/>
      <c r="Z1084" s="181" t="s">
        <v>103</v>
      </c>
      <c r="AA1084" s="780" t="s">
        <v>89</v>
      </c>
      <c r="AB1084" s="779" t="s">
        <v>1142</v>
      </c>
      <c r="AC1084" s="237">
        <v>3221.8530563898998</v>
      </c>
      <c r="AD1084" s="779" t="str">
        <f>AB1084</f>
        <v xml:space="preserve">  Доход от взимания платы за негативное воздействие на работу централизованной системы водоотведения</v>
      </c>
      <c r="AE1084" s="237">
        <v>0</v>
      </c>
      <c r="AF1084" s="1351"/>
      <c r="AG1084" s="1353"/>
      <c r="AH1084" s="1353"/>
      <c r="AI1084" s="1351"/>
      <c r="AJ1084" s="1353"/>
      <c r="AK1084" s="1354"/>
      <c r="AL1084" s="772"/>
    </row>
    <row r="1085" spans="1:38" ht="11.25" customHeight="1">
      <c r="A1085" t="s">
        <v>1019</v>
      </c>
      <c r="E1085" s="557"/>
      <c r="F1085" s="1339"/>
      <c r="G1085" s="1340"/>
      <c r="H1085" s="1335" t="s">
        <v>163</v>
      </c>
      <c r="I1085" s="1347"/>
      <c r="J1085" s="1363"/>
      <c r="K1085" s="1349"/>
      <c r="L1085" s="1079"/>
      <c r="M1085" s="1364"/>
      <c r="N1085" s="1355"/>
      <c r="O1085" s="1356"/>
      <c r="P1085" s="1359"/>
      <c r="Q1085" s="1308"/>
      <c r="R1085" s="1308"/>
      <c r="S1085" s="1361"/>
      <c r="T1085" s="1308"/>
      <c r="U1085" s="1308"/>
      <c r="V1085" s="1308"/>
      <c r="W1085" s="1308"/>
      <c r="X1085" s="1308"/>
      <c r="Y1085" s="1308"/>
      <c r="Z1085" s="229"/>
      <c r="AA1085" s="230"/>
      <c r="AB1085" s="44" t="s">
        <v>1059</v>
      </c>
      <c r="AC1085" s="231"/>
      <c r="AD1085" s="231"/>
      <c r="AE1085" s="246"/>
      <c r="AF1085" s="1350"/>
      <c r="AG1085" s="1352"/>
      <c r="AH1085" s="1352"/>
      <c r="AI1085" s="1350"/>
      <c r="AJ1085" s="1352"/>
      <c r="AK1085" s="1352"/>
      <c r="AL1085" s="772"/>
    </row>
    <row r="1086" spans="1:38" ht="11.25" customHeight="1">
      <c r="A1086" t="s">
        <v>1019</v>
      </c>
      <c r="E1086" s="557"/>
      <c r="F1086" s="1339"/>
      <c r="G1086" s="1340"/>
      <c r="H1086" s="1335" t="s">
        <v>163</v>
      </c>
      <c r="I1086" s="1347"/>
      <c r="J1086" s="1363"/>
      <c r="K1086" s="1349"/>
      <c r="L1086" s="1079"/>
      <c r="M1086" s="1364"/>
      <c r="N1086" s="229"/>
      <c r="O1086" s="230"/>
      <c r="P1086" s="44" t="s">
        <v>1060</v>
      </c>
      <c r="Q1086" s="230"/>
      <c r="R1086" s="230"/>
      <c r="S1086" s="230"/>
      <c r="T1086" s="230"/>
      <c r="U1086" s="230"/>
      <c r="V1086" s="230"/>
      <c r="W1086" s="230"/>
      <c r="X1086" s="230"/>
      <c r="Y1086" s="230"/>
      <c r="Z1086" s="230"/>
      <c r="AA1086" s="230"/>
      <c r="AB1086" s="230"/>
      <c r="AC1086" s="230"/>
      <c r="AD1086" s="230"/>
      <c r="AE1086" s="247"/>
      <c r="AF1086" s="1350"/>
      <c r="AG1086" s="1352"/>
      <c r="AH1086" s="1352"/>
      <c r="AI1086" s="1350"/>
      <c r="AJ1086" s="1352"/>
      <c r="AK1086" s="1352"/>
      <c r="AL1086" s="772"/>
    </row>
    <row r="1087" spans="1:38" ht="11.25" customHeight="1">
      <c r="A1087" t="s">
        <v>1019</v>
      </c>
      <c r="B1087" t="s">
        <v>1051</v>
      </c>
      <c r="E1087" s="557"/>
      <c r="F1087" s="1339"/>
      <c r="G1087" s="1325" t="s">
        <v>103</v>
      </c>
      <c r="H1087" s="1335" t="s">
        <v>1129</v>
      </c>
      <c r="I1087" s="1347" t="s">
        <v>1052</v>
      </c>
      <c r="J1087" s="1363" t="s">
        <v>1053</v>
      </c>
      <c r="K1087" s="1349" t="s">
        <v>1128</v>
      </c>
      <c r="L1087" s="1079" t="s">
        <v>61</v>
      </c>
      <c r="M1087" s="1364" t="s">
        <v>1018</v>
      </c>
      <c r="N1087" s="242"/>
      <c r="O1087" s="243" t="s">
        <v>384</v>
      </c>
      <c r="P1087" s="244"/>
      <c r="Q1087" s="244"/>
      <c r="R1087" s="244"/>
      <c r="S1087" s="244"/>
      <c r="T1087" s="244"/>
      <c r="U1087" s="244"/>
      <c r="V1087" s="244"/>
      <c r="W1087" s="244"/>
      <c r="X1087" s="244"/>
      <c r="Y1087" s="244"/>
      <c r="Z1087" s="244"/>
      <c r="AA1087" s="244"/>
      <c r="AB1087" s="244"/>
      <c r="AC1087" s="244"/>
      <c r="AD1087" s="244"/>
      <c r="AE1087" s="244"/>
      <c r="AF1087" s="1350">
        <v>1</v>
      </c>
      <c r="AG1087" s="1352" t="s">
        <v>1055</v>
      </c>
      <c r="AH1087" s="1352" t="s">
        <v>1079</v>
      </c>
      <c r="AI1087" s="1350">
        <v>1</v>
      </c>
      <c r="AJ1087" s="1352" t="s">
        <v>1055</v>
      </c>
      <c r="AK1087" s="1352" t="s">
        <v>1079</v>
      </c>
      <c r="AL1087" s="772"/>
    </row>
    <row r="1088" spans="1:38" ht="11.25" customHeight="1">
      <c r="A1088" t="s">
        <v>1019</v>
      </c>
      <c r="E1088" s="557"/>
      <c r="F1088" s="1339"/>
      <c r="G1088" s="1340"/>
      <c r="H1088" s="1335" t="s">
        <v>1127</v>
      </c>
      <c r="I1088" s="1347"/>
      <c r="J1088" s="1363"/>
      <c r="K1088" s="1349"/>
      <c r="L1088" s="1079"/>
      <c r="M1088" s="1364"/>
      <c r="N1088" s="1355"/>
      <c r="O1088" s="1356">
        <v>1</v>
      </c>
      <c r="P1088" s="1357" t="s">
        <v>19</v>
      </c>
      <c r="Q1088" s="1308" t="s">
        <v>22</v>
      </c>
      <c r="R1088" s="1308" t="s">
        <v>22</v>
      </c>
      <c r="S1088" s="1308" t="s">
        <v>22</v>
      </c>
      <c r="T1088" s="1308" t="s">
        <v>22</v>
      </c>
      <c r="U1088" s="1308" t="s">
        <v>22</v>
      </c>
      <c r="V1088" s="1308" t="s">
        <v>22</v>
      </c>
      <c r="W1088" s="1308" t="s">
        <v>22</v>
      </c>
      <c r="X1088" s="1308" t="s">
        <v>22</v>
      </c>
      <c r="Y1088" s="1308"/>
      <c r="Z1088" s="229"/>
      <c r="AA1088" s="230"/>
      <c r="AB1088" s="230"/>
      <c r="AC1088" s="231"/>
      <c r="AD1088" s="231"/>
      <c r="AE1088" s="245"/>
      <c r="AF1088" s="1350"/>
      <c r="AG1088" s="1352"/>
      <c r="AH1088" s="1352"/>
      <c r="AI1088" s="1350"/>
      <c r="AJ1088" s="1352"/>
      <c r="AK1088" s="1352"/>
      <c r="AL1088" s="772"/>
    </row>
    <row r="1089" spans="1:38" ht="11.25" customHeight="1">
      <c r="A1089" t="s">
        <v>1019</v>
      </c>
      <c r="E1089" s="557"/>
      <c r="F1089" s="1339"/>
      <c r="G1089" s="1340"/>
      <c r="H1089" s="1335" t="s">
        <v>1127</v>
      </c>
      <c r="I1089" s="1347"/>
      <c r="J1089" s="1363"/>
      <c r="K1089" s="1349"/>
      <c r="L1089" s="1079"/>
      <c r="M1089" s="1364"/>
      <c r="N1089" s="1355"/>
      <c r="O1089" s="1356"/>
      <c r="P1089" s="1358"/>
      <c r="Q1089" s="1308"/>
      <c r="R1089" s="1308"/>
      <c r="S1089" s="1361"/>
      <c r="T1089" s="1308"/>
      <c r="U1089" s="1308"/>
      <c r="V1089" s="1308"/>
      <c r="W1089" s="1308"/>
      <c r="X1089" s="1308"/>
      <c r="Y1089" s="1308"/>
      <c r="AA1089" s="778">
        <v>1</v>
      </c>
      <c r="AB1089" s="779" t="s">
        <v>1119</v>
      </c>
      <c r="AC1089" s="237">
        <v>11772.660738402799</v>
      </c>
      <c r="AD1089" s="779" t="str">
        <f>AB1089</f>
        <v xml:space="preserve">  Прибыль направляемая на инвестиции</v>
      </c>
      <c r="AE1089" s="237">
        <v>0</v>
      </c>
      <c r="AF1089" s="1350"/>
      <c r="AG1089" s="1352"/>
      <c r="AH1089" s="1352"/>
      <c r="AI1089" s="1350"/>
      <c r="AJ1089" s="1352"/>
      <c r="AK1089" s="1352"/>
      <c r="AL1089" s="772"/>
    </row>
    <row r="1090" spans="1:38" ht="11.25" customHeight="1">
      <c r="A1090" t="s">
        <v>1019</v>
      </c>
      <c r="E1090" s="557"/>
      <c r="F1090" s="1340"/>
      <c r="G1090" s="1340"/>
      <c r="H1090" s="1340"/>
      <c r="I1090" s="1340"/>
      <c r="J1090" s="1340"/>
      <c r="K1090" s="1340"/>
      <c r="L1090" s="1340"/>
      <c r="M1090" s="1365"/>
      <c r="N1090" s="1340"/>
      <c r="O1090" s="1340"/>
      <c r="P1090" s="1340"/>
      <c r="Q1090" s="1340"/>
      <c r="R1090" s="1340"/>
      <c r="S1090" s="1340"/>
      <c r="T1090" s="1340"/>
      <c r="U1090" s="1340"/>
      <c r="V1090" s="1340"/>
      <c r="W1090" s="1340"/>
      <c r="X1090" s="1340"/>
      <c r="Y1090" s="1340"/>
      <c r="Z1090" s="181" t="s">
        <v>103</v>
      </c>
      <c r="AA1090" s="780" t="s">
        <v>102</v>
      </c>
      <c r="AB1090" s="779" t="s">
        <v>1120</v>
      </c>
      <c r="AC1090" s="237">
        <v>4224.3146396401498</v>
      </c>
      <c r="AD1090" s="779" t="str">
        <f>AB1090</f>
        <v xml:space="preserve">     Прочие амортизационные отчисления</v>
      </c>
      <c r="AE1090" s="237">
        <v>0</v>
      </c>
      <c r="AF1090" s="1351"/>
      <c r="AG1090" s="1353"/>
      <c r="AH1090" s="1353"/>
      <c r="AI1090" s="1351"/>
      <c r="AJ1090" s="1353"/>
      <c r="AK1090" s="1354"/>
      <c r="AL1090" s="772"/>
    </row>
    <row r="1091" spans="1:38" ht="11.25" customHeight="1">
      <c r="A1091" t="s">
        <v>1019</v>
      </c>
      <c r="E1091" s="557"/>
      <c r="F1091" s="1340"/>
      <c r="G1091" s="1340"/>
      <c r="H1091" s="1340"/>
      <c r="I1091" s="1340"/>
      <c r="J1091" s="1340"/>
      <c r="K1091" s="1340"/>
      <c r="L1091" s="1340"/>
      <c r="M1091" s="1365"/>
      <c r="N1091" s="1340"/>
      <c r="O1091" s="1340"/>
      <c r="P1091" s="1340"/>
      <c r="Q1091" s="1340"/>
      <c r="R1091" s="1340"/>
      <c r="S1091" s="1340"/>
      <c r="T1091" s="1340"/>
      <c r="U1091" s="1340"/>
      <c r="V1091" s="1340"/>
      <c r="W1091" s="1340"/>
      <c r="X1091" s="1340"/>
      <c r="Y1091" s="1340"/>
      <c r="Z1091" s="181" t="s">
        <v>103</v>
      </c>
      <c r="AA1091" s="780" t="s">
        <v>89</v>
      </c>
      <c r="AB1091" s="779" t="s">
        <v>1142</v>
      </c>
      <c r="AC1091" s="237">
        <v>2944.18964826709</v>
      </c>
      <c r="AD1091" s="779" t="str">
        <f>AB1091</f>
        <v xml:space="preserve">  Доход от взимания платы за негативное воздействие на работу централизованной системы водоотведения</v>
      </c>
      <c r="AE1091" s="237">
        <v>0</v>
      </c>
      <c r="AF1091" s="1351"/>
      <c r="AG1091" s="1353"/>
      <c r="AH1091" s="1353"/>
      <c r="AI1091" s="1351"/>
      <c r="AJ1091" s="1353"/>
      <c r="AK1091" s="1354"/>
      <c r="AL1091" s="772"/>
    </row>
    <row r="1092" spans="1:38" ht="11.25" customHeight="1">
      <c r="A1092" t="s">
        <v>1019</v>
      </c>
      <c r="E1092" s="557"/>
      <c r="F1092" s="1339"/>
      <c r="G1092" s="1340"/>
      <c r="H1092" s="1335" t="s">
        <v>1127</v>
      </c>
      <c r="I1092" s="1347"/>
      <c r="J1092" s="1363"/>
      <c r="K1092" s="1349"/>
      <c r="L1092" s="1079"/>
      <c r="M1092" s="1364"/>
      <c r="N1092" s="1355"/>
      <c r="O1092" s="1356"/>
      <c r="P1092" s="1359"/>
      <c r="Q1092" s="1308"/>
      <c r="R1092" s="1308"/>
      <c r="S1092" s="1361"/>
      <c r="T1092" s="1308"/>
      <c r="U1092" s="1308"/>
      <c r="V1092" s="1308"/>
      <c r="W1092" s="1308"/>
      <c r="X1092" s="1308"/>
      <c r="Y1092" s="1308"/>
      <c r="Z1092" s="229"/>
      <c r="AA1092" s="230"/>
      <c r="AB1092" s="44" t="s">
        <v>1059</v>
      </c>
      <c r="AC1092" s="231"/>
      <c r="AD1092" s="231"/>
      <c r="AE1092" s="246"/>
      <c r="AF1092" s="1350"/>
      <c r="AG1092" s="1352"/>
      <c r="AH1092" s="1352"/>
      <c r="AI1092" s="1350"/>
      <c r="AJ1092" s="1352"/>
      <c r="AK1092" s="1352"/>
      <c r="AL1092" s="772"/>
    </row>
    <row r="1093" spans="1:38" ht="11.25" customHeight="1">
      <c r="A1093" t="s">
        <v>1019</v>
      </c>
      <c r="E1093" s="557"/>
      <c r="F1093" s="1339"/>
      <c r="G1093" s="1340"/>
      <c r="H1093" s="1335" t="s">
        <v>1127</v>
      </c>
      <c r="I1093" s="1347"/>
      <c r="J1093" s="1363"/>
      <c r="K1093" s="1349"/>
      <c r="L1093" s="1079"/>
      <c r="M1093" s="1364"/>
      <c r="N1093" s="229"/>
      <c r="O1093" s="230"/>
      <c r="P1093" s="44" t="s">
        <v>1060</v>
      </c>
      <c r="Q1093" s="230"/>
      <c r="R1093" s="230"/>
      <c r="S1093" s="230"/>
      <c r="T1093" s="230"/>
      <c r="U1093" s="230"/>
      <c r="V1093" s="230"/>
      <c r="W1093" s="230"/>
      <c r="X1093" s="230"/>
      <c r="Y1093" s="230"/>
      <c r="Z1093" s="230"/>
      <c r="AA1093" s="230"/>
      <c r="AB1093" s="230"/>
      <c r="AC1093" s="230"/>
      <c r="AD1093" s="230"/>
      <c r="AE1093" s="247"/>
      <c r="AF1093" s="1350"/>
      <c r="AG1093" s="1352"/>
      <c r="AH1093" s="1352"/>
      <c r="AI1093" s="1350"/>
      <c r="AJ1093" s="1352"/>
      <c r="AK1093" s="1352"/>
      <c r="AL1093" s="772"/>
    </row>
    <row r="1094" spans="1:38" ht="11.25" customHeight="1">
      <c r="A1094" t="s">
        <v>1019</v>
      </c>
      <c r="B1094" t="s">
        <v>1051</v>
      </c>
      <c r="E1094" s="557"/>
      <c r="F1094" s="1339"/>
      <c r="G1094" s="1325" t="s">
        <v>103</v>
      </c>
      <c r="H1094" s="1335" t="s">
        <v>1131</v>
      </c>
      <c r="I1094" s="1347" t="s">
        <v>1052</v>
      </c>
      <c r="J1094" s="1363" t="s">
        <v>1053</v>
      </c>
      <c r="K1094" s="1349" t="s">
        <v>1155</v>
      </c>
      <c r="L1094" s="1079" t="s">
        <v>61</v>
      </c>
      <c r="M1094" s="1364" t="s">
        <v>1018</v>
      </c>
      <c r="N1094" s="242"/>
      <c r="O1094" s="243" t="s">
        <v>384</v>
      </c>
      <c r="P1094" s="244"/>
      <c r="Q1094" s="244"/>
      <c r="R1094" s="244"/>
      <c r="S1094" s="244"/>
      <c r="T1094" s="244"/>
      <c r="U1094" s="244"/>
      <c r="V1094" s="244"/>
      <c r="W1094" s="244"/>
      <c r="X1094" s="244"/>
      <c r="Y1094" s="244"/>
      <c r="Z1094" s="244"/>
      <c r="AA1094" s="244"/>
      <c r="AB1094" s="244"/>
      <c r="AC1094" s="244"/>
      <c r="AD1094" s="244"/>
      <c r="AE1094" s="244"/>
      <c r="AF1094" s="1350">
        <v>2</v>
      </c>
      <c r="AG1094" s="1352" t="s">
        <v>1055</v>
      </c>
      <c r="AH1094" s="1352" t="s">
        <v>1152</v>
      </c>
      <c r="AI1094" s="1350">
        <v>2</v>
      </c>
      <c r="AJ1094" s="1352" t="s">
        <v>1055</v>
      </c>
      <c r="AK1094" s="1352" t="s">
        <v>1152</v>
      </c>
      <c r="AL1094" s="772"/>
    </row>
    <row r="1095" spans="1:38" ht="11.25" customHeight="1">
      <c r="A1095" t="s">
        <v>1019</v>
      </c>
      <c r="E1095" s="557"/>
      <c r="F1095" s="1339"/>
      <c r="G1095" s="1340"/>
      <c r="H1095" s="1335" t="s">
        <v>1129</v>
      </c>
      <c r="I1095" s="1347"/>
      <c r="J1095" s="1363"/>
      <c r="K1095" s="1349"/>
      <c r="L1095" s="1079"/>
      <c r="M1095" s="1364"/>
      <c r="N1095" s="1355"/>
      <c r="O1095" s="1356">
        <v>1</v>
      </c>
      <c r="P1095" s="1357" t="s">
        <v>19</v>
      </c>
      <c r="Q1095" s="1308" t="s">
        <v>22</v>
      </c>
      <c r="R1095" s="1308" t="s">
        <v>22</v>
      </c>
      <c r="S1095" s="1308" t="s">
        <v>22</v>
      </c>
      <c r="T1095" s="1308" t="s">
        <v>22</v>
      </c>
      <c r="U1095" s="1308" t="s">
        <v>22</v>
      </c>
      <c r="V1095" s="1308" t="s">
        <v>22</v>
      </c>
      <c r="W1095" s="1308" t="s">
        <v>22</v>
      </c>
      <c r="X1095" s="1308" t="s">
        <v>22</v>
      </c>
      <c r="Y1095" s="1308"/>
      <c r="Z1095" s="229"/>
      <c r="AA1095" s="230"/>
      <c r="AB1095" s="230"/>
      <c r="AC1095" s="231"/>
      <c r="AD1095" s="231"/>
      <c r="AE1095" s="245"/>
      <c r="AF1095" s="1350"/>
      <c r="AG1095" s="1352"/>
      <c r="AH1095" s="1352"/>
      <c r="AI1095" s="1350"/>
      <c r="AJ1095" s="1352"/>
      <c r="AK1095" s="1352"/>
      <c r="AL1095" s="772"/>
    </row>
    <row r="1096" spans="1:38" ht="11.25" customHeight="1">
      <c r="A1096" t="s">
        <v>1019</v>
      </c>
      <c r="E1096" s="557"/>
      <c r="F1096" s="1339"/>
      <c r="G1096" s="1340"/>
      <c r="H1096" s="1335" t="s">
        <v>1129</v>
      </c>
      <c r="I1096" s="1347"/>
      <c r="J1096" s="1363"/>
      <c r="K1096" s="1349"/>
      <c r="L1096" s="1079"/>
      <c r="M1096" s="1364"/>
      <c r="N1096" s="1355"/>
      <c r="O1096" s="1356"/>
      <c r="P1096" s="1358"/>
      <c r="Q1096" s="1308"/>
      <c r="R1096" s="1308"/>
      <c r="S1096" s="1361"/>
      <c r="T1096" s="1308"/>
      <c r="U1096" s="1308"/>
      <c r="V1096" s="1308"/>
      <c r="W1096" s="1308"/>
      <c r="X1096" s="1308"/>
      <c r="Y1096" s="1308"/>
      <c r="AA1096" s="778">
        <v>1</v>
      </c>
      <c r="AB1096" s="779" t="s">
        <v>1119</v>
      </c>
      <c r="AC1096" s="237">
        <v>16895.241498629901</v>
      </c>
      <c r="AD1096" s="779" t="str">
        <f>AB1096</f>
        <v xml:space="preserve">  Прибыль направляемая на инвестиции</v>
      </c>
      <c r="AE1096" s="237">
        <v>0</v>
      </c>
      <c r="AF1096" s="1350"/>
      <c r="AG1096" s="1352"/>
      <c r="AH1096" s="1352"/>
      <c r="AI1096" s="1350"/>
      <c r="AJ1096" s="1352"/>
      <c r="AK1096" s="1352"/>
      <c r="AL1096" s="772"/>
    </row>
    <row r="1097" spans="1:38" ht="11.25" customHeight="1">
      <c r="A1097" t="s">
        <v>1019</v>
      </c>
      <c r="E1097" s="557"/>
      <c r="F1097" s="1340"/>
      <c r="G1097" s="1340"/>
      <c r="H1097" s="1340"/>
      <c r="I1097" s="1340"/>
      <c r="J1097" s="1340"/>
      <c r="K1097" s="1340"/>
      <c r="L1097" s="1340"/>
      <c r="M1097" s="1365"/>
      <c r="N1097" s="1340"/>
      <c r="O1097" s="1340"/>
      <c r="P1097" s="1340"/>
      <c r="Q1097" s="1340"/>
      <c r="R1097" s="1340"/>
      <c r="S1097" s="1340"/>
      <c r="T1097" s="1340"/>
      <c r="U1097" s="1340"/>
      <c r="V1097" s="1340"/>
      <c r="W1097" s="1340"/>
      <c r="X1097" s="1340"/>
      <c r="Y1097" s="1340"/>
      <c r="Z1097" s="181" t="s">
        <v>103</v>
      </c>
      <c r="AA1097" s="780" t="s">
        <v>102</v>
      </c>
      <c r="AB1097" s="779" t="s">
        <v>1120</v>
      </c>
      <c r="AC1097" s="237">
        <v>6062.42017746291</v>
      </c>
      <c r="AD1097" s="779" t="str">
        <f>AB1097</f>
        <v xml:space="preserve">     Прочие амортизационные отчисления</v>
      </c>
      <c r="AE1097" s="237">
        <v>0</v>
      </c>
      <c r="AF1097" s="1351"/>
      <c r="AG1097" s="1353"/>
      <c r="AH1097" s="1353"/>
      <c r="AI1097" s="1351"/>
      <c r="AJ1097" s="1353"/>
      <c r="AK1097" s="1354"/>
      <c r="AL1097" s="772"/>
    </row>
    <row r="1098" spans="1:38" ht="11.25" customHeight="1">
      <c r="A1098" t="s">
        <v>1019</v>
      </c>
      <c r="E1098" s="557"/>
      <c r="F1098" s="1340"/>
      <c r="G1098" s="1340"/>
      <c r="H1098" s="1340"/>
      <c r="I1098" s="1340"/>
      <c r="J1098" s="1340"/>
      <c r="K1098" s="1340"/>
      <c r="L1098" s="1340"/>
      <c r="M1098" s="1365"/>
      <c r="N1098" s="1340"/>
      <c r="O1098" s="1340"/>
      <c r="P1098" s="1340"/>
      <c r="Q1098" s="1340"/>
      <c r="R1098" s="1340"/>
      <c r="S1098" s="1340"/>
      <c r="T1098" s="1340"/>
      <c r="U1098" s="1340"/>
      <c r="V1098" s="1340"/>
      <c r="W1098" s="1340"/>
      <c r="X1098" s="1340"/>
      <c r="Y1098" s="1340"/>
      <c r="Z1098" s="181" t="s">
        <v>103</v>
      </c>
      <c r="AA1098" s="780" t="s">
        <v>89</v>
      </c>
      <c r="AB1098" s="779" t="s">
        <v>1142</v>
      </c>
      <c r="AC1098" s="237">
        <v>4225.2806082295801</v>
      </c>
      <c r="AD1098" s="779" t="str">
        <f>AB1098</f>
        <v xml:space="preserve">  Доход от взимания платы за негативное воздействие на работу централизованной системы водоотведения</v>
      </c>
      <c r="AE1098" s="237">
        <v>0</v>
      </c>
      <c r="AF1098" s="1351"/>
      <c r="AG1098" s="1353"/>
      <c r="AH1098" s="1353"/>
      <c r="AI1098" s="1351"/>
      <c r="AJ1098" s="1353"/>
      <c r="AK1098" s="1354"/>
      <c r="AL1098" s="772"/>
    </row>
    <row r="1099" spans="1:38" ht="11.25" customHeight="1">
      <c r="A1099" t="s">
        <v>1019</v>
      </c>
      <c r="E1099" s="557"/>
      <c r="F1099" s="1339"/>
      <c r="G1099" s="1340"/>
      <c r="H1099" s="1335" t="s">
        <v>1129</v>
      </c>
      <c r="I1099" s="1347"/>
      <c r="J1099" s="1363"/>
      <c r="K1099" s="1349"/>
      <c r="L1099" s="1079"/>
      <c r="M1099" s="1364"/>
      <c r="N1099" s="1355"/>
      <c r="O1099" s="1356"/>
      <c r="P1099" s="1359"/>
      <c r="Q1099" s="1308"/>
      <c r="R1099" s="1308"/>
      <c r="S1099" s="1361"/>
      <c r="T1099" s="1308"/>
      <c r="U1099" s="1308"/>
      <c r="V1099" s="1308"/>
      <c r="W1099" s="1308"/>
      <c r="X1099" s="1308"/>
      <c r="Y1099" s="1308"/>
      <c r="Z1099" s="229"/>
      <c r="AA1099" s="230"/>
      <c r="AB1099" s="44" t="s">
        <v>1059</v>
      </c>
      <c r="AC1099" s="231"/>
      <c r="AD1099" s="231"/>
      <c r="AE1099" s="246"/>
      <c r="AF1099" s="1350"/>
      <c r="AG1099" s="1352"/>
      <c r="AH1099" s="1352"/>
      <c r="AI1099" s="1350"/>
      <c r="AJ1099" s="1352"/>
      <c r="AK1099" s="1352"/>
      <c r="AL1099" s="772"/>
    </row>
    <row r="1100" spans="1:38" ht="11.25" customHeight="1">
      <c r="A1100" t="s">
        <v>1019</v>
      </c>
      <c r="E1100" s="557"/>
      <c r="F1100" s="1339"/>
      <c r="G1100" s="1340"/>
      <c r="H1100" s="1335" t="s">
        <v>1129</v>
      </c>
      <c r="I1100" s="1347"/>
      <c r="J1100" s="1363"/>
      <c r="K1100" s="1349"/>
      <c r="L1100" s="1079"/>
      <c r="M1100" s="1364"/>
      <c r="N1100" s="229"/>
      <c r="O1100" s="230"/>
      <c r="P1100" s="44" t="s">
        <v>1060</v>
      </c>
      <c r="Q1100" s="230"/>
      <c r="R1100" s="230"/>
      <c r="S1100" s="230"/>
      <c r="T1100" s="230"/>
      <c r="U1100" s="230"/>
      <c r="V1100" s="230"/>
      <c r="W1100" s="230"/>
      <c r="X1100" s="230"/>
      <c r="Y1100" s="230"/>
      <c r="Z1100" s="230"/>
      <c r="AA1100" s="230"/>
      <c r="AB1100" s="230"/>
      <c r="AC1100" s="230"/>
      <c r="AD1100" s="230"/>
      <c r="AE1100" s="247"/>
      <c r="AF1100" s="1350"/>
      <c r="AG1100" s="1352"/>
      <c r="AH1100" s="1352"/>
      <c r="AI1100" s="1350"/>
      <c r="AJ1100" s="1352"/>
      <c r="AK1100" s="1352"/>
      <c r="AL1100" s="772"/>
    </row>
    <row r="1101" spans="1:38" ht="11.25" customHeight="1">
      <c r="A1101" t="s">
        <v>1019</v>
      </c>
      <c r="B1101" t="s">
        <v>1051</v>
      </c>
      <c r="E1101" s="557"/>
      <c r="F1101" s="1339"/>
      <c r="G1101" s="1325" t="s">
        <v>103</v>
      </c>
      <c r="H1101" s="1335" t="s">
        <v>1132</v>
      </c>
      <c r="I1101" s="1347" t="s">
        <v>1052</v>
      </c>
      <c r="J1101" s="1363" t="s">
        <v>1093</v>
      </c>
      <c r="K1101" s="1349" t="s">
        <v>1094</v>
      </c>
      <c r="L1101" s="1079" t="s">
        <v>19</v>
      </c>
      <c r="M1101" s="1080"/>
      <c r="N1101" s="242"/>
      <c r="O1101" s="243" t="s">
        <v>384</v>
      </c>
      <c r="P1101" s="244"/>
      <c r="Q1101" s="244"/>
      <c r="R1101" s="244"/>
      <c r="S1101" s="244"/>
      <c r="T1101" s="244"/>
      <c r="U1101" s="244"/>
      <c r="V1101" s="244"/>
      <c r="W1101" s="244"/>
      <c r="X1101" s="244"/>
      <c r="Y1101" s="244"/>
      <c r="Z1101" s="244"/>
      <c r="AA1101" s="244"/>
      <c r="AB1101" s="244"/>
      <c r="AC1101" s="244"/>
      <c r="AD1101" s="244"/>
      <c r="AE1101" s="244"/>
      <c r="AF1101" s="1350">
        <v>7</v>
      </c>
      <c r="AG1101" s="1352" t="s">
        <v>1055</v>
      </c>
      <c r="AH1101" s="1352" t="s">
        <v>1095</v>
      </c>
      <c r="AI1101" s="1350">
        <v>7</v>
      </c>
      <c r="AJ1101" s="1352" t="s">
        <v>1055</v>
      </c>
      <c r="AK1101" s="1352" t="s">
        <v>1095</v>
      </c>
      <c r="AL1101" s="772"/>
    </row>
    <row r="1102" spans="1:38" ht="11.25" customHeight="1">
      <c r="A1102" t="s">
        <v>1019</v>
      </c>
      <c r="E1102" s="557"/>
      <c r="F1102" s="1339"/>
      <c r="G1102" s="1340"/>
      <c r="H1102" s="1335" t="s">
        <v>1131</v>
      </c>
      <c r="I1102" s="1347"/>
      <c r="J1102" s="1363"/>
      <c r="K1102" s="1349"/>
      <c r="L1102" s="1079"/>
      <c r="M1102" s="1080"/>
      <c r="N1102" s="1355"/>
      <c r="O1102" s="1356">
        <v>1</v>
      </c>
      <c r="P1102" s="1357" t="s">
        <v>19</v>
      </c>
      <c r="Q1102" s="1308" t="s">
        <v>22</v>
      </c>
      <c r="R1102" s="1308" t="s">
        <v>22</v>
      </c>
      <c r="S1102" s="1308" t="s">
        <v>22</v>
      </c>
      <c r="T1102" s="1308" t="s">
        <v>22</v>
      </c>
      <c r="U1102" s="1308" t="s">
        <v>22</v>
      </c>
      <c r="V1102" s="1308" t="s">
        <v>22</v>
      </c>
      <c r="W1102" s="1308" t="s">
        <v>22</v>
      </c>
      <c r="X1102" s="1308" t="s">
        <v>22</v>
      </c>
      <c r="Y1102" s="1308"/>
      <c r="Z1102" s="229"/>
      <c r="AA1102" s="230"/>
      <c r="AB1102" s="230"/>
      <c r="AC1102" s="231"/>
      <c r="AD1102" s="231"/>
      <c r="AE1102" s="245"/>
      <c r="AF1102" s="1350"/>
      <c r="AG1102" s="1352"/>
      <c r="AH1102" s="1352"/>
      <c r="AI1102" s="1350"/>
      <c r="AJ1102" s="1352"/>
      <c r="AK1102" s="1352"/>
      <c r="AL1102" s="772"/>
    </row>
    <row r="1103" spans="1:38" ht="11.25" customHeight="1">
      <c r="A1103" t="s">
        <v>1019</v>
      </c>
      <c r="E1103" s="557"/>
      <c r="F1103" s="1339"/>
      <c r="G1103" s="1340"/>
      <c r="H1103" s="1335" t="s">
        <v>1131</v>
      </c>
      <c r="I1103" s="1347"/>
      <c r="J1103" s="1363"/>
      <c r="K1103" s="1349"/>
      <c r="L1103" s="1079"/>
      <c r="M1103" s="1080"/>
      <c r="N1103" s="1355"/>
      <c r="O1103" s="1356"/>
      <c r="P1103" s="1358"/>
      <c r="Q1103" s="1308"/>
      <c r="R1103" s="1308"/>
      <c r="S1103" s="1361"/>
      <c r="T1103" s="1308"/>
      <c r="U1103" s="1308"/>
      <c r="V1103" s="1308"/>
      <c r="W1103" s="1308"/>
      <c r="X1103" s="1308"/>
      <c r="Y1103" s="1308"/>
      <c r="AA1103" s="778">
        <v>1</v>
      </c>
      <c r="AB1103" s="779" t="s">
        <v>1119</v>
      </c>
      <c r="AC1103" s="237">
        <v>55269.9012053556</v>
      </c>
      <c r="AD1103" s="779" t="str">
        <f>AB1103</f>
        <v xml:space="preserve">  Прибыль направляемая на инвестиции</v>
      </c>
      <c r="AE1103" s="237">
        <v>0</v>
      </c>
      <c r="AF1103" s="1350"/>
      <c r="AG1103" s="1352"/>
      <c r="AH1103" s="1352"/>
      <c r="AI1103" s="1350"/>
      <c r="AJ1103" s="1352"/>
      <c r="AK1103" s="1352"/>
      <c r="AL1103" s="772"/>
    </row>
    <row r="1104" spans="1:38" ht="11.25" customHeight="1">
      <c r="A1104" t="s">
        <v>1019</v>
      </c>
      <c r="E1104" s="557"/>
      <c r="F1104" s="1340"/>
      <c r="G1104" s="1340"/>
      <c r="H1104" s="1340"/>
      <c r="I1104" s="1340"/>
      <c r="J1104" s="1340"/>
      <c r="K1104" s="1340"/>
      <c r="L1104" s="1340"/>
      <c r="M1104" s="1340"/>
      <c r="N1104" s="1340"/>
      <c r="O1104" s="1340"/>
      <c r="P1104" s="1340"/>
      <c r="Q1104" s="1340"/>
      <c r="R1104" s="1340"/>
      <c r="S1104" s="1340"/>
      <c r="T1104" s="1340"/>
      <c r="U1104" s="1340"/>
      <c r="V1104" s="1340"/>
      <c r="W1104" s="1340"/>
      <c r="X1104" s="1340"/>
      <c r="Y1104" s="1340"/>
      <c r="Z1104" s="181" t="s">
        <v>103</v>
      </c>
      <c r="AA1104" s="780" t="s">
        <v>102</v>
      </c>
      <c r="AB1104" s="779" t="s">
        <v>1120</v>
      </c>
      <c r="AC1104" s="237">
        <v>19832.173710029601</v>
      </c>
      <c r="AD1104" s="779" t="str">
        <f>AB1104</f>
        <v xml:space="preserve">     Прочие амортизационные отчисления</v>
      </c>
      <c r="AE1104" s="237">
        <v>0</v>
      </c>
      <c r="AF1104" s="1351"/>
      <c r="AG1104" s="1353"/>
      <c r="AH1104" s="1353"/>
      <c r="AI1104" s="1351"/>
      <c r="AJ1104" s="1353"/>
      <c r="AK1104" s="1354"/>
      <c r="AL1104" s="772"/>
    </row>
    <row r="1105" spans="1:38" ht="11.25" customHeight="1">
      <c r="A1105" t="s">
        <v>1019</v>
      </c>
      <c r="E1105" s="557"/>
      <c r="F1105" s="1340"/>
      <c r="G1105" s="1340"/>
      <c r="H1105" s="1340"/>
      <c r="I1105" s="1340"/>
      <c r="J1105" s="1340"/>
      <c r="K1105" s="1340"/>
      <c r="L1105" s="1340"/>
      <c r="M1105" s="1340"/>
      <c r="N1105" s="1340"/>
      <c r="O1105" s="1340"/>
      <c r="P1105" s="1340"/>
      <c r="Q1105" s="1340"/>
      <c r="R1105" s="1340"/>
      <c r="S1105" s="1340"/>
      <c r="T1105" s="1340"/>
      <c r="U1105" s="1340"/>
      <c r="V1105" s="1340"/>
      <c r="W1105" s="1340"/>
      <c r="X1105" s="1340"/>
      <c r="Y1105" s="1340"/>
      <c r="Z1105" s="181" t="s">
        <v>103</v>
      </c>
      <c r="AA1105" s="780" t="s">
        <v>89</v>
      </c>
      <c r="AB1105" s="779" t="s">
        <v>1142</v>
      </c>
      <c r="AC1105" s="237">
        <v>13822.2849197326</v>
      </c>
      <c r="AD1105" s="779" t="str">
        <f>AB1105</f>
        <v xml:space="preserve">  Доход от взимания платы за негативное воздействие на работу централизованной системы водоотведения</v>
      </c>
      <c r="AE1105" s="237">
        <v>0</v>
      </c>
      <c r="AF1105" s="1351"/>
      <c r="AG1105" s="1353"/>
      <c r="AH1105" s="1353"/>
      <c r="AI1105" s="1351"/>
      <c r="AJ1105" s="1353"/>
      <c r="AK1105" s="1354"/>
      <c r="AL1105" s="772"/>
    </row>
    <row r="1106" spans="1:38" ht="11.25" customHeight="1">
      <c r="A1106" t="s">
        <v>1019</v>
      </c>
      <c r="E1106" s="557"/>
      <c r="F1106" s="1339"/>
      <c r="G1106" s="1340"/>
      <c r="H1106" s="1335" t="s">
        <v>1131</v>
      </c>
      <c r="I1106" s="1347"/>
      <c r="J1106" s="1363"/>
      <c r="K1106" s="1349"/>
      <c r="L1106" s="1079"/>
      <c r="M1106" s="1080"/>
      <c r="N1106" s="1355"/>
      <c r="O1106" s="1356"/>
      <c r="P1106" s="1359"/>
      <c r="Q1106" s="1308"/>
      <c r="R1106" s="1308"/>
      <c r="S1106" s="1361"/>
      <c r="T1106" s="1308"/>
      <c r="U1106" s="1308"/>
      <c r="V1106" s="1308"/>
      <c r="W1106" s="1308"/>
      <c r="X1106" s="1308"/>
      <c r="Y1106" s="1308"/>
      <c r="Z1106" s="229"/>
      <c r="AA1106" s="230"/>
      <c r="AB1106" s="44" t="s">
        <v>1059</v>
      </c>
      <c r="AC1106" s="231"/>
      <c r="AD1106" s="231"/>
      <c r="AE1106" s="246"/>
      <c r="AF1106" s="1350"/>
      <c r="AG1106" s="1352"/>
      <c r="AH1106" s="1352"/>
      <c r="AI1106" s="1350"/>
      <c r="AJ1106" s="1352"/>
      <c r="AK1106" s="1352"/>
      <c r="AL1106" s="772"/>
    </row>
    <row r="1107" spans="1:38" ht="11.25" customHeight="1">
      <c r="A1107" t="s">
        <v>1019</v>
      </c>
      <c r="E1107" s="557"/>
      <c r="F1107" s="1339"/>
      <c r="G1107" s="1340"/>
      <c r="H1107" s="1335" t="s">
        <v>1131</v>
      </c>
      <c r="I1107" s="1347"/>
      <c r="J1107" s="1363"/>
      <c r="K1107" s="1349"/>
      <c r="L1107" s="1079"/>
      <c r="M1107" s="1080"/>
      <c r="N1107" s="229"/>
      <c r="O1107" s="230"/>
      <c r="P1107" s="44" t="s">
        <v>1060</v>
      </c>
      <c r="Q1107" s="230"/>
      <c r="R1107" s="230"/>
      <c r="S1107" s="230"/>
      <c r="T1107" s="230"/>
      <c r="U1107" s="230"/>
      <c r="V1107" s="230"/>
      <c r="W1107" s="230"/>
      <c r="X1107" s="230"/>
      <c r="Y1107" s="230"/>
      <c r="Z1107" s="230"/>
      <c r="AA1107" s="230"/>
      <c r="AB1107" s="230"/>
      <c r="AC1107" s="230"/>
      <c r="AD1107" s="230"/>
      <c r="AE1107" s="247"/>
      <c r="AF1107" s="1350"/>
      <c r="AG1107" s="1352"/>
      <c r="AH1107" s="1352"/>
      <c r="AI1107" s="1350"/>
      <c r="AJ1107" s="1352"/>
      <c r="AK1107" s="1352"/>
      <c r="AL1107" s="772"/>
    </row>
    <row r="1108" spans="1:38" ht="11.25" customHeight="1">
      <c r="A1108" t="s">
        <v>1019</v>
      </c>
      <c r="B1108" t="s">
        <v>1086</v>
      </c>
      <c r="E1108" s="557"/>
      <c r="F1108" s="1339"/>
      <c r="G1108" s="1325" t="s">
        <v>103</v>
      </c>
      <c r="H1108" s="1335" t="s">
        <v>1134</v>
      </c>
      <c r="I1108" s="1347" t="s">
        <v>1087</v>
      </c>
      <c r="J1108" s="1363" t="s">
        <v>1116</v>
      </c>
      <c r="K1108" s="1349" t="s">
        <v>1167</v>
      </c>
      <c r="L1108" s="1079" t="s">
        <v>19</v>
      </c>
      <c r="M1108" s="1080"/>
      <c r="N1108" s="242"/>
      <c r="O1108" s="243" t="s">
        <v>384</v>
      </c>
      <c r="P1108" s="244"/>
      <c r="Q1108" s="244"/>
      <c r="R1108" s="244"/>
      <c r="S1108" s="244"/>
      <c r="T1108" s="244"/>
      <c r="U1108" s="244"/>
      <c r="V1108" s="244"/>
      <c r="W1108" s="244"/>
      <c r="X1108" s="244"/>
      <c r="Y1108" s="244"/>
      <c r="Z1108" s="244"/>
      <c r="AA1108" s="244"/>
      <c r="AB1108" s="244"/>
      <c r="AC1108" s="244"/>
      <c r="AD1108" s="244"/>
      <c r="AE1108" s="244"/>
      <c r="AF1108" s="1350">
        <v>1</v>
      </c>
      <c r="AG1108" s="1352" t="s">
        <v>1055</v>
      </c>
      <c r="AH1108" s="1352" t="s">
        <v>1079</v>
      </c>
      <c r="AI1108" s="1350">
        <v>1</v>
      </c>
      <c r="AJ1108" s="1352" t="s">
        <v>1055</v>
      </c>
      <c r="AK1108" s="1352" t="s">
        <v>1079</v>
      </c>
      <c r="AL1108" s="772"/>
    </row>
    <row r="1109" spans="1:38" ht="11.25" customHeight="1">
      <c r="A1109" t="s">
        <v>1019</v>
      </c>
      <c r="E1109" s="557"/>
      <c r="F1109" s="1339"/>
      <c r="G1109" s="1340"/>
      <c r="H1109" s="1335" t="s">
        <v>1132</v>
      </c>
      <c r="I1109" s="1347"/>
      <c r="J1109" s="1363"/>
      <c r="K1109" s="1349"/>
      <c r="L1109" s="1079"/>
      <c r="M1109" s="1080"/>
      <c r="N1109" s="1355"/>
      <c r="O1109" s="1356">
        <v>1</v>
      </c>
      <c r="P1109" s="1357" t="s">
        <v>19</v>
      </c>
      <c r="Q1109" s="1308" t="s">
        <v>22</v>
      </c>
      <c r="R1109" s="1308" t="s">
        <v>22</v>
      </c>
      <c r="S1109" s="1308" t="s">
        <v>22</v>
      </c>
      <c r="T1109" s="1308" t="s">
        <v>22</v>
      </c>
      <c r="U1109" s="1308" t="s">
        <v>22</v>
      </c>
      <c r="V1109" s="1308" t="s">
        <v>22</v>
      </c>
      <c r="W1109" s="1308" t="s">
        <v>22</v>
      </c>
      <c r="X1109" s="1308" t="s">
        <v>22</v>
      </c>
      <c r="Y1109" s="1308"/>
      <c r="Z1109" s="229"/>
      <c r="AA1109" s="230"/>
      <c r="AB1109" s="230"/>
      <c r="AC1109" s="231"/>
      <c r="AD1109" s="231"/>
      <c r="AE1109" s="245"/>
      <c r="AF1109" s="1350"/>
      <c r="AG1109" s="1352"/>
      <c r="AH1109" s="1352"/>
      <c r="AI1109" s="1350"/>
      <c r="AJ1109" s="1352"/>
      <c r="AK1109" s="1352"/>
      <c r="AL1109" s="772"/>
    </row>
    <row r="1110" spans="1:38" ht="11.25" customHeight="1">
      <c r="A1110" t="s">
        <v>1019</v>
      </c>
      <c r="E1110" s="557"/>
      <c r="F1110" s="1339"/>
      <c r="G1110" s="1340"/>
      <c r="H1110" s="1335" t="s">
        <v>1132</v>
      </c>
      <c r="I1110" s="1347"/>
      <c r="J1110" s="1363"/>
      <c r="K1110" s="1349"/>
      <c r="L1110" s="1079"/>
      <c r="M1110" s="1080"/>
      <c r="N1110" s="1355"/>
      <c r="O1110" s="1356"/>
      <c r="P1110" s="1358"/>
      <c r="Q1110" s="1308"/>
      <c r="R1110" s="1308"/>
      <c r="S1110" s="1361"/>
      <c r="T1110" s="1308"/>
      <c r="U1110" s="1308"/>
      <c r="V1110" s="1308"/>
      <c r="W1110" s="1308"/>
      <c r="X1110" s="1308"/>
      <c r="Y1110" s="1308"/>
      <c r="AA1110" s="778">
        <v>1</v>
      </c>
      <c r="AB1110" s="779" t="s">
        <v>1118</v>
      </c>
      <c r="AC1110" s="237">
        <v>3591.7582069999999</v>
      </c>
      <c r="AD1110" s="779" t="str">
        <f>AB1110</f>
        <v xml:space="preserve">  Средства, полученные за счет платы за подключение (технологическое присоединение)</v>
      </c>
      <c r="AE1110" s="237">
        <v>0</v>
      </c>
      <c r="AF1110" s="1350"/>
      <c r="AG1110" s="1352"/>
      <c r="AH1110" s="1352"/>
      <c r="AI1110" s="1350"/>
      <c r="AJ1110" s="1352"/>
      <c r="AK1110" s="1352"/>
      <c r="AL1110" s="772"/>
    </row>
    <row r="1111" spans="1:38" ht="11.25" customHeight="1">
      <c r="A1111" t="s">
        <v>1019</v>
      </c>
      <c r="E1111" s="557"/>
      <c r="F1111" s="1339"/>
      <c r="G1111" s="1340"/>
      <c r="H1111" s="1335" t="s">
        <v>1132</v>
      </c>
      <c r="I1111" s="1347"/>
      <c r="J1111" s="1363"/>
      <c r="K1111" s="1349"/>
      <c r="L1111" s="1079"/>
      <c r="M1111" s="1080"/>
      <c r="N1111" s="1355"/>
      <c r="O1111" s="1356"/>
      <c r="P1111" s="1359"/>
      <c r="Q1111" s="1308"/>
      <c r="R1111" s="1308"/>
      <c r="S1111" s="1361"/>
      <c r="T1111" s="1308"/>
      <c r="U1111" s="1308"/>
      <c r="V1111" s="1308"/>
      <c r="W1111" s="1308"/>
      <c r="X1111" s="1308"/>
      <c r="Y1111" s="1308"/>
      <c r="Z1111" s="229"/>
      <c r="AA1111" s="230"/>
      <c r="AB1111" s="44" t="s">
        <v>1059</v>
      </c>
      <c r="AC1111" s="231"/>
      <c r="AD1111" s="231"/>
      <c r="AE1111" s="246"/>
      <c r="AF1111" s="1350"/>
      <c r="AG1111" s="1352"/>
      <c r="AH1111" s="1352"/>
      <c r="AI1111" s="1350"/>
      <c r="AJ1111" s="1352"/>
      <c r="AK1111" s="1352"/>
      <c r="AL1111" s="772"/>
    </row>
    <row r="1112" spans="1:38" ht="11.25" customHeight="1">
      <c r="A1112" t="s">
        <v>1019</v>
      </c>
      <c r="E1112" s="557"/>
      <c r="F1112" s="1339"/>
      <c r="G1112" s="1340"/>
      <c r="H1112" s="1335" t="s">
        <v>1132</v>
      </c>
      <c r="I1112" s="1347"/>
      <c r="J1112" s="1363"/>
      <c r="K1112" s="1349"/>
      <c r="L1112" s="1079"/>
      <c r="M1112" s="1080"/>
      <c r="N1112" s="229"/>
      <c r="O1112" s="230"/>
      <c r="P1112" s="44" t="s">
        <v>1060</v>
      </c>
      <c r="Q1112" s="230"/>
      <c r="R1112" s="230"/>
      <c r="S1112" s="230"/>
      <c r="T1112" s="230"/>
      <c r="U1112" s="230"/>
      <c r="V1112" s="230"/>
      <c r="W1112" s="230"/>
      <c r="X1112" s="230"/>
      <c r="Y1112" s="230"/>
      <c r="Z1112" s="230"/>
      <c r="AA1112" s="230"/>
      <c r="AB1112" s="230"/>
      <c r="AC1112" s="230"/>
      <c r="AD1112" s="230"/>
      <c r="AE1112" s="247"/>
      <c r="AF1112" s="1350"/>
      <c r="AG1112" s="1352"/>
      <c r="AH1112" s="1352"/>
      <c r="AI1112" s="1350"/>
      <c r="AJ1112" s="1352"/>
      <c r="AK1112" s="1352"/>
      <c r="AL1112" s="772"/>
    </row>
    <row r="1113" spans="1:38" ht="11.25" customHeight="1">
      <c r="A1113" t="s">
        <v>1019</v>
      </c>
      <c r="B1113" t="s">
        <v>1086</v>
      </c>
      <c r="E1113" s="557"/>
      <c r="F1113" s="1339"/>
      <c r="G1113" s="1325" t="s">
        <v>103</v>
      </c>
      <c r="H1113" s="1335" t="s">
        <v>1136</v>
      </c>
      <c r="I1113" s="1347" t="s">
        <v>1087</v>
      </c>
      <c r="J1113" s="1363" t="s">
        <v>1088</v>
      </c>
      <c r="K1113" s="1349" t="s">
        <v>1177</v>
      </c>
      <c r="L1113" s="1079" t="s">
        <v>19</v>
      </c>
      <c r="M1113" s="1080"/>
      <c r="N1113" s="242"/>
      <c r="O1113" s="243" t="s">
        <v>384</v>
      </c>
      <c r="P1113" s="244"/>
      <c r="Q1113" s="244"/>
      <c r="R1113" s="244"/>
      <c r="S1113" s="244"/>
      <c r="T1113" s="244"/>
      <c r="U1113" s="244"/>
      <c r="V1113" s="244"/>
      <c r="W1113" s="244"/>
      <c r="X1113" s="244"/>
      <c r="Y1113" s="244"/>
      <c r="Z1113" s="244"/>
      <c r="AA1113" s="244"/>
      <c r="AB1113" s="244"/>
      <c r="AC1113" s="244"/>
      <c r="AD1113" s="244"/>
      <c r="AE1113" s="244"/>
      <c r="AF1113" s="1350">
        <v>1</v>
      </c>
      <c r="AG1113" s="1352" t="s">
        <v>1055</v>
      </c>
      <c r="AH1113" s="1352" t="s">
        <v>1079</v>
      </c>
      <c r="AI1113" s="1350">
        <v>1</v>
      </c>
      <c r="AJ1113" s="1352" t="s">
        <v>1055</v>
      </c>
      <c r="AK1113" s="1352" t="s">
        <v>1079</v>
      </c>
      <c r="AL1113" s="772"/>
    </row>
    <row r="1114" spans="1:38" ht="11.25" customHeight="1">
      <c r="A1114" t="s">
        <v>1019</v>
      </c>
      <c r="E1114" s="557"/>
      <c r="F1114" s="1339"/>
      <c r="G1114" s="1340"/>
      <c r="H1114" s="1335" t="s">
        <v>1134</v>
      </c>
      <c r="I1114" s="1347"/>
      <c r="J1114" s="1363"/>
      <c r="K1114" s="1349"/>
      <c r="L1114" s="1079"/>
      <c r="M1114" s="1080"/>
      <c r="N1114" s="1355"/>
      <c r="O1114" s="1356">
        <v>1</v>
      </c>
      <c r="P1114" s="1357" t="s">
        <v>19</v>
      </c>
      <c r="Q1114" s="1308" t="s">
        <v>22</v>
      </c>
      <c r="R1114" s="1308" t="s">
        <v>22</v>
      </c>
      <c r="S1114" s="1308" t="s">
        <v>22</v>
      </c>
      <c r="T1114" s="1308" t="s">
        <v>22</v>
      </c>
      <c r="U1114" s="1308" t="s">
        <v>22</v>
      </c>
      <c r="V1114" s="1308" t="s">
        <v>22</v>
      </c>
      <c r="W1114" s="1308" t="s">
        <v>22</v>
      </c>
      <c r="X1114" s="1308" t="s">
        <v>22</v>
      </c>
      <c r="Y1114" s="1308"/>
      <c r="Z1114" s="229"/>
      <c r="AA1114" s="230"/>
      <c r="AB1114" s="230"/>
      <c r="AC1114" s="231"/>
      <c r="AD1114" s="231"/>
      <c r="AE1114" s="245"/>
      <c r="AF1114" s="1350"/>
      <c r="AG1114" s="1352"/>
      <c r="AH1114" s="1352"/>
      <c r="AI1114" s="1350"/>
      <c r="AJ1114" s="1352"/>
      <c r="AK1114" s="1352"/>
      <c r="AL1114" s="772"/>
    </row>
    <row r="1115" spans="1:38" ht="11.25" customHeight="1">
      <c r="A1115" t="s">
        <v>1019</v>
      </c>
      <c r="E1115" s="557"/>
      <c r="F1115" s="1339"/>
      <c r="G1115" s="1340"/>
      <c r="H1115" s="1335" t="s">
        <v>1134</v>
      </c>
      <c r="I1115" s="1347"/>
      <c r="J1115" s="1363"/>
      <c r="K1115" s="1349"/>
      <c r="L1115" s="1079"/>
      <c r="M1115" s="1080"/>
      <c r="N1115" s="1355"/>
      <c r="O1115" s="1356"/>
      <c r="P1115" s="1358"/>
      <c r="Q1115" s="1308"/>
      <c r="R1115" s="1308"/>
      <c r="S1115" s="1361"/>
      <c r="T1115" s="1308"/>
      <c r="U1115" s="1308"/>
      <c r="V1115" s="1308"/>
      <c r="W1115" s="1308"/>
      <c r="X1115" s="1308"/>
      <c r="Y1115" s="1308"/>
      <c r="AA1115" s="778">
        <v>1</v>
      </c>
      <c r="AB1115" s="779" t="s">
        <v>1118</v>
      </c>
      <c r="AC1115" s="237">
        <v>25775.460913937499</v>
      </c>
      <c r="AD1115" s="779" t="str">
        <f>AB1115</f>
        <v xml:space="preserve">  Средства, полученные за счет платы за подключение (технологическое присоединение)</v>
      </c>
      <c r="AE1115" s="237">
        <v>0</v>
      </c>
      <c r="AF1115" s="1350"/>
      <c r="AG1115" s="1352"/>
      <c r="AH1115" s="1352"/>
      <c r="AI1115" s="1350"/>
      <c r="AJ1115" s="1352"/>
      <c r="AK1115" s="1352"/>
      <c r="AL1115" s="772"/>
    </row>
    <row r="1116" spans="1:38" ht="11.25" customHeight="1">
      <c r="A1116" t="s">
        <v>1019</v>
      </c>
      <c r="E1116" s="557"/>
      <c r="F1116" s="1339"/>
      <c r="G1116" s="1340"/>
      <c r="H1116" s="1335" t="s">
        <v>1134</v>
      </c>
      <c r="I1116" s="1347"/>
      <c r="J1116" s="1363"/>
      <c r="K1116" s="1349"/>
      <c r="L1116" s="1079"/>
      <c r="M1116" s="1080"/>
      <c r="N1116" s="1355"/>
      <c r="O1116" s="1356"/>
      <c r="P1116" s="1359"/>
      <c r="Q1116" s="1308"/>
      <c r="R1116" s="1308"/>
      <c r="S1116" s="1361"/>
      <c r="T1116" s="1308"/>
      <c r="U1116" s="1308"/>
      <c r="V1116" s="1308"/>
      <c r="W1116" s="1308"/>
      <c r="X1116" s="1308"/>
      <c r="Y1116" s="1308"/>
      <c r="Z1116" s="229"/>
      <c r="AA1116" s="230"/>
      <c r="AB1116" s="44" t="s">
        <v>1059</v>
      </c>
      <c r="AC1116" s="231"/>
      <c r="AD1116" s="231"/>
      <c r="AE1116" s="246"/>
      <c r="AF1116" s="1350"/>
      <c r="AG1116" s="1352"/>
      <c r="AH1116" s="1352"/>
      <c r="AI1116" s="1350"/>
      <c r="AJ1116" s="1352"/>
      <c r="AK1116" s="1352"/>
      <c r="AL1116" s="772"/>
    </row>
    <row r="1117" spans="1:38" ht="11.25" customHeight="1">
      <c r="A1117" t="s">
        <v>1019</v>
      </c>
      <c r="E1117" s="557"/>
      <c r="F1117" s="1339"/>
      <c r="G1117" s="1340"/>
      <c r="H1117" s="1335" t="s">
        <v>1134</v>
      </c>
      <c r="I1117" s="1347"/>
      <c r="J1117" s="1363"/>
      <c r="K1117" s="1349"/>
      <c r="L1117" s="1079"/>
      <c r="M1117" s="1080"/>
      <c r="N1117" s="229"/>
      <c r="O1117" s="230"/>
      <c r="P1117" s="44" t="s">
        <v>1060</v>
      </c>
      <c r="Q1117" s="230"/>
      <c r="R1117" s="230"/>
      <c r="S1117" s="230"/>
      <c r="T1117" s="230"/>
      <c r="U1117" s="230"/>
      <c r="V1117" s="230"/>
      <c r="W1117" s="230"/>
      <c r="X1117" s="230"/>
      <c r="Y1117" s="230"/>
      <c r="Z1117" s="230"/>
      <c r="AA1117" s="230"/>
      <c r="AB1117" s="230"/>
      <c r="AC1117" s="230"/>
      <c r="AD1117" s="230"/>
      <c r="AE1117" s="247"/>
      <c r="AF1117" s="1350"/>
      <c r="AG1117" s="1352"/>
      <c r="AH1117" s="1352"/>
      <c r="AI1117" s="1350"/>
      <c r="AJ1117" s="1352"/>
      <c r="AK1117" s="1352"/>
      <c r="AL1117" s="772"/>
    </row>
    <row r="1118" spans="1:38" ht="11.25" customHeight="1">
      <c r="A1118" t="s">
        <v>1019</v>
      </c>
      <c r="B1118" t="s">
        <v>1086</v>
      </c>
      <c r="E1118" s="557"/>
      <c r="F1118" s="1339"/>
      <c r="G1118" s="1325" t="s">
        <v>103</v>
      </c>
      <c r="H1118" s="1335" t="s">
        <v>1143</v>
      </c>
      <c r="I1118" s="1347" t="s">
        <v>1087</v>
      </c>
      <c r="J1118" s="1363" t="s">
        <v>1116</v>
      </c>
      <c r="K1118" s="1349" t="s">
        <v>1183</v>
      </c>
      <c r="L1118" s="1079" t="s">
        <v>19</v>
      </c>
      <c r="M1118" s="1080"/>
      <c r="N1118" s="242"/>
      <c r="O1118" s="243" t="s">
        <v>384</v>
      </c>
      <c r="P1118" s="244"/>
      <c r="Q1118" s="244"/>
      <c r="R1118" s="244"/>
      <c r="S1118" s="244"/>
      <c r="T1118" s="244"/>
      <c r="U1118" s="244"/>
      <c r="V1118" s="244"/>
      <c r="W1118" s="244"/>
      <c r="X1118" s="244"/>
      <c r="Y1118" s="244"/>
      <c r="Z1118" s="244"/>
      <c r="AA1118" s="244"/>
      <c r="AB1118" s="244"/>
      <c r="AC1118" s="244"/>
      <c r="AD1118" s="244"/>
      <c r="AE1118" s="244"/>
      <c r="AF1118" s="1350">
        <v>1</v>
      </c>
      <c r="AG1118" s="1352" t="s">
        <v>1055</v>
      </c>
      <c r="AH1118" s="1352" t="s">
        <v>1079</v>
      </c>
      <c r="AI1118" s="1350">
        <v>1</v>
      </c>
      <c r="AJ1118" s="1352" t="s">
        <v>1055</v>
      </c>
      <c r="AK1118" s="1352" t="s">
        <v>1079</v>
      </c>
      <c r="AL1118" s="772"/>
    </row>
    <row r="1119" spans="1:38" ht="11.25" customHeight="1">
      <c r="A1119" t="s">
        <v>1019</v>
      </c>
      <c r="E1119" s="557"/>
      <c r="F1119" s="1339"/>
      <c r="G1119" s="1340"/>
      <c r="H1119" s="1335" t="s">
        <v>1136</v>
      </c>
      <c r="I1119" s="1347"/>
      <c r="J1119" s="1363"/>
      <c r="K1119" s="1349"/>
      <c r="L1119" s="1079"/>
      <c r="M1119" s="1080"/>
      <c r="N1119" s="1355"/>
      <c r="O1119" s="1356">
        <v>1</v>
      </c>
      <c r="P1119" s="1357" t="s">
        <v>19</v>
      </c>
      <c r="Q1119" s="1308" t="s">
        <v>22</v>
      </c>
      <c r="R1119" s="1308" t="s">
        <v>22</v>
      </c>
      <c r="S1119" s="1308" t="s">
        <v>22</v>
      </c>
      <c r="T1119" s="1308" t="s">
        <v>22</v>
      </c>
      <c r="U1119" s="1308" t="s">
        <v>22</v>
      </c>
      <c r="V1119" s="1308" t="s">
        <v>22</v>
      </c>
      <c r="W1119" s="1308" t="s">
        <v>22</v>
      </c>
      <c r="X1119" s="1308" t="s">
        <v>22</v>
      </c>
      <c r="Y1119" s="1308"/>
      <c r="Z1119" s="229"/>
      <c r="AA1119" s="230"/>
      <c r="AB1119" s="230"/>
      <c r="AC1119" s="231"/>
      <c r="AD1119" s="231"/>
      <c r="AE1119" s="245"/>
      <c r="AF1119" s="1350"/>
      <c r="AG1119" s="1352"/>
      <c r="AH1119" s="1352"/>
      <c r="AI1119" s="1350"/>
      <c r="AJ1119" s="1352"/>
      <c r="AK1119" s="1352"/>
      <c r="AL1119" s="772"/>
    </row>
    <row r="1120" spans="1:38" ht="11.25" customHeight="1">
      <c r="A1120" t="s">
        <v>1019</v>
      </c>
      <c r="E1120" s="557"/>
      <c r="F1120" s="1339"/>
      <c r="G1120" s="1340"/>
      <c r="H1120" s="1335" t="s">
        <v>1136</v>
      </c>
      <c r="I1120" s="1347"/>
      <c r="J1120" s="1363"/>
      <c r="K1120" s="1349"/>
      <c r="L1120" s="1079"/>
      <c r="M1120" s="1080"/>
      <c r="N1120" s="1355"/>
      <c r="O1120" s="1356"/>
      <c r="P1120" s="1358"/>
      <c r="Q1120" s="1308"/>
      <c r="R1120" s="1308"/>
      <c r="S1120" s="1361"/>
      <c r="T1120" s="1308"/>
      <c r="U1120" s="1308"/>
      <c r="V1120" s="1308"/>
      <c r="W1120" s="1308"/>
      <c r="X1120" s="1308"/>
      <c r="Y1120" s="1308"/>
      <c r="AA1120" s="778">
        <v>1</v>
      </c>
      <c r="AB1120" s="779" t="s">
        <v>1118</v>
      </c>
      <c r="AC1120" s="237">
        <v>24023.656974123998</v>
      </c>
      <c r="AD1120" s="779" t="str">
        <f>AB1120</f>
        <v xml:space="preserve">  Средства, полученные за счет платы за подключение (технологическое присоединение)</v>
      </c>
      <c r="AE1120" s="237">
        <v>0</v>
      </c>
      <c r="AF1120" s="1350"/>
      <c r="AG1120" s="1352"/>
      <c r="AH1120" s="1352"/>
      <c r="AI1120" s="1350"/>
      <c r="AJ1120" s="1352"/>
      <c r="AK1120" s="1352"/>
      <c r="AL1120" s="772"/>
    </row>
    <row r="1121" spans="1:38" ht="11.25" customHeight="1">
      <c r="A1121" t="s">
        <v>1019</v>
      </c>
      <c r="E1121" s="557"/>
      <c r="F1121" s="1339"/>
      <c r="G1121" s="1340"/>
      <c r="H1121" s="1335" t="s">
        <v>1136</v>
      </c>
      <c r="I1121" s="1347"/>
      <c r="J1121" s="1363"/>
      <c r="K1121" s="1349"/>
      <c r="L1121" s="1079"/>
      <c r="M1121" s="1080"/>
      <c r="N1121" s="1355"/>
      <c r="O1121" s="1356"/>
      <c r="P1121" s="1359"/>
      <c r="Q1121" s="1308"/>
      <c r="R1121" s="1308"/>
      <c r="S1121" s="1361"/>
      <c r="T1121" s="1308"/>
      <c r="U1121" s="1308"/>
      <c r="V1121" s="1308"/>
      <c r="W1121" s="1308"/>
      <c r="X1121" s="1308"/>
      <c r="Y1121" s="1308"/>
      <c r="Z1121" s="229"/>
      <c r="AA1121" s="230"/>
      <c r="AB1121" s="44" t="s">
        <v>1059</v>
      </c>
      <c r="AC1121" s="231"/>
      <c r="AD1121" s="231"/>
      <c r="AE1121" s="246"/>
      <c r="AF1121" s="1350"/>
      <c r="AG1121" s="1352"/>
      <c r="AH1121" s="1352"/>
      <c r="AI1121" s="1350"/>
      <c r="AJ1121" s="1352"/>
      <c r="AK1121" s="1352"/>
      <c r="AL1121" s="772"/>
    </row>
    <row r="1122" spans="1:38" ht="11.25" customHeight="1">
      <c r="A1122" t="s">
        <v>1019</v>
      </c>
      <c r="E1122" s="557"/>
      <c r="F1122" s="1339"/>
      <c r="G1122" s="1340"/>
      <c r="H1122" s="1335" t="s">
        <v>1136</v>
      </c>
      <c r="I1122" s="1347"/>
      <c r="J1122" s="1363"/>
      <c r="K1122" s="1349"/>
      <c r="L1122" s="1079"/>
      <c r="M1122" s="1080"/>
      <c r="N1122" s="229"/>
      <c r="O1122" s="230"/>
      <c r="P1122" s="44" t="s">
        <v>1060</v>
      </c>
      <c r="Q1122" s="230"/>
      <c r="R1122" s="230"/>
      <c r="S1122" s="230"/>
      <c r="T1122" s="230"/>
      <c r="U1122" s="230"/>
      <c r="V1122" s="230"/>
      <c r="W1122" s="230"/>
      <c r="X1122" s="230"/>
      <c r="Y1122" s="230"/>
      <c r="Z1122" s="230"/>
      <c r="AA1122" s="230"/>
      <c r="AB1122" s="230"/>
      <c r="AC1122" s="230"/>
      <c r="AD1122" s="230"/>
      <c r="AE1122" s="247"/>
      <c r="AF1122" s="1350"/>
      <c r="AG1122" s="1352"/>
      <c r="AH1122" s="1352"/>
      <c r="AI1122" s="1350"/>
      <c r="AJ1122" s="1352"/>
      <c r="AK1122" s="1352"/>
      <c r="AL1122" s="772"/>
    </row>
    <row r="1123" spans="1:38" ht="11.25" customHeight="1">
      <c r="A1123" t="s">
        <v>1019</v>
      </c>
      <c r="B1123" t="s">
        <v>1086</v>
      </c>
      <c r="E1123" s="557"/>
      <c r="F1123" s="1339"/>
      <c r="G1123" s="1325" t="s">
        <v>103</v>
      </c>
      <c r="H1123" s="1335" t="s">
        <v>1144</v>
      </c>
      <c r="I1123" s="1347" t="s">
        <v>1087</v>
      </c>
      <c r="J1123" s="1363" t="s">
        <v>1116</v>
      </c>
      <c r="K1123" s="1349" t="s">
        <v>1194</v>
      </c>
      <c r="L1123" s="1079" t="s">
        <v>19</v>
      </c>
      <c r="M1123" s="1080"/>
      <c r="N1123" s="242"/>
      <c r="O1123" s="243" t="s">
        <v>384</v>
      </c>
      <c r="P1123" s="244"/>
      <c r="Q1123" s="244"/>
      <c r="R1123" s="244"/>
      <c r="S1123" s="244"/>
      <c r="T1123" s="244"/>
      <c r="U1123" s="244"/>
      <c r="V1123" s="244"/>
      <c r="W1123" s="244"/>
      <c r="X1123" s="244"/>
      <c r="Y1123" s="244"/>
      <c r="Z1123" s="244"/>
      <c r="AA1123" s="244"/>
      <c r="AB1123" s="244"/>
      <c r="AC1123" s="244"/>
      <c r="AD1123" s="244"/>
      <c r="AE1123" s="244"/>
      <c r="AF1123" s="1350">
        <v>1</v>
      </c>
      <c r="AG1123" s="1352" t="s">
        <v>1055</v>
      </c>
      <c r="AH1123" s="1352" t="s">
        <v>1079</v>
      </c>
      <c r="AI1123" s="1350">
        <v>1</v>
      </c>
      <c r="AJ1123" s="1352" t="s">
        <v>1055</v>
      </c>
      <c r="AK1123" s="1352" t="s">
        <v>1079</v>
      </c>
      <c r="AL1123" s="772"/>
    </row>
    <row r="1124" spans="1:38" ht="11.25" customHeight="1">
      <c r="A1124" t="s">
        <v>1019</v>
      </c>
      <c r="E1124" s="557"/>
      <c r="F1124" s="1339"/>
      <c r="G1124" s="1340"/>
      <c r="H1124" s="1335" t="s">
        <v>1143</v>
      </c>
      <c r="I1124" s="1347"/>
      <c r="J1124" s="1363"/>
      <c r="K1124" s="1349"/>
      <c r="L1124" s="1079"/>
      <c r="M1124" s="1080"/>
      <c r="N1124" s="1355"/>
      <c r="O1124" s="1356">
        <v>1</v>
      </c>
      <c r="P1124" s="1357" t="s">
        <v>19</v>
      </c>
      <c r="Q1124" s="1308" t="s">
        <v>22</v>
      </c>
      <c r="R1124" s="1308" t="s">
        <v>22</v>
      </c>
      <c r="S1124" s="1308" t="s">
        <v>22</v>
      </c>
      <c r="T1124" s="1308" t="s">
        <v>22</v>
      </c>
      <c r="U1124" s="1308" t="s">
        <v>22</v>
      </c>
      <c r="V1124" s="1308" t="s">
        <v>22</v>
      </c>
      <c r="W1124" s="1308" t="s">
        <v>22</v>
      </c>
      <c r="X1124" s="1308" t="s">
        <v>22</v>
      </c>
      <c r="Y1124" s="1308"/>
      <c r="Z1124" s="229"/>
      <c r="AA1124" s="230"/>
      <c r="AB1124" s="230"/>
      <c r="AC1124" s="231"/>
      <c r="AD1124" s="231"/>
      <c r="AE1124" s="245"/>
      <c r="AF1124" s="1350"/>
      <c r="AG1124" s="1352"/>
      <c r="AH1124" s="1352"/>
      <c r="AI1124" s="1350"/>
      <c r="AJ1124" s="1352"/>
      <c r="AK1124" s="1352"/>
      <c r="AL1124" s="772"/>
    </row>
    <row r="1125" spans="1:38" ht="11.25" customHeight="1">
      <c r="A1125" t="s">
        <v>1019</v>
      </c>
      <c r="E1125" s="557"/>
      <c r="F1125" s="1339"/>
      <c r="G1125" s="1340"/>
      <c r="H1125" s="1335" t="s">
        <v>1143</v>
      </c>
      <c r="I1125" s="1347"/>
      <c r="J1125" s="1363"/>
      <c r="K1125" s="1349"/>
      <c r="L1125" s="1079"/>
      <c r="M1125" s="1080"/>
      <c r="N1125" s="1355"/>
      <c r="O1125" s="1356"/>
      <c r="P1125" s="1358"/>
      <c r="Q1125" s="1308"/>
      <c r="R1125" s="1308"/>
      <c r="S1125" s="1361"/>
      <c r="T1125" s="1308"/>
      <c r="U1125" s="1308"/>
      <c r="V1125" s="1308"/>
      <c r="W1125" s="1308"/>
      <c r="X1125" s="1308"/>
      <c r="Y1125" s="1308"/>
      <c r="AA1125" s="778">
        <v>1</v>
      </c>
      <c r="AB1125" s="779" t="s">
        <v>1118</v>
      </c>
      <c r="AC1125" s="237">
        <v>2136.5779340567301</v>
      </c>
      <c r="AD1125" s="779" t="str">
        <f>AB1125</f>
        <v xml:space="preserve">  Средства, полученные за счет платы за подключение (технологическое присоединение)</v>
      </c>
      <c r="AE1125" s="237">
        <v>0</v>
      </c>
      <c r="AF1125" s="1350"/>
      <c r="AG1125" s="1352"/>
      <c r="AH1125" s="1352"/>
      <c r="AI1125" s="1350"/>
      <c r="AJ1125" s="1352"/>
      <c r="AK1125" s="1352"/>
      <c r="AL1125" s="772"/>
    </row>
    <row r="1126" spans="1:38" ht="11.25" customHeight="1">
      <c r="A1126" t="s">
        <v>1019</v>
      </c>
      <c r="E1126" s="557"/>
      <c r="F1126" s="1339"/>
      <c r="G1126" s="1340"/>
      <c r="H1126" s="1335" t="s">
        <v>1143</v>
      </c>
      <c r="I1126" s="1347"/>
      <c r="J1126" s="1363"/>
      <c r="K1126" s="1349"/>
      <c r="L1126" s="1079"/>
      <c r="M1126" s="1080"/>
      <c r="N1126" s="1355"/>
      <c r="O1126" s="1356"/>
      <c r="P1126" s="1359"/>
      <c r="Q1126" s="1308"/>
      <c r="R1126" s="1308"/>
      <c r="S1126" s="1361"/>
      <c r="T1126" s="1308"/>
      <c r="U1126" s="1308"/>
      <c r="V1126" s="1308"/>
      <c r="W1126" s="1308"/>
      <c r="X1126" s="1308"/>
      <c r="Y1126" s="1308"/>
      <c r="Z1126" s="229"/>
      <c r="AA1126" s="230"/>
      <c r="AB1126" s="44" t="s">
        <v>1059</v>
      </c>
      <c r="AC1126" s="231"/>
      <c r="AD1126" s="231"/>
      <c r="AE1126" s="246"/>
      <c r="AF1126" s="1350"/>
      <c r="AG1126" s="1352"/>
      <c r="AH1126" s="1352"/>
      <c r="AI1126" s="1350"/>
      <c r="AJ1126" s="1352"/>
      <c r="AK1126" s="1352"/>
      <c r="AL1126" s="772"/>
    </row>
    <row r="1127" spans="1:38" ht="11.25" customHeight="1">
      <c r="A1127" t="s">
        <v>1019</v>
      </c>
      <c r="E1127" s="557"/>
      <c r="F1127" s="1339"/>
      <c r="G1127" s="1340"/>
      <c r="H1127" s="1335" t="s">
        <v>1143</v>
      </c>
      <c r="I1127" s="1347"/>
      <c r="J1127" s="1363"/>
      <c r="K1127" s="1349"/>
      <c r="L1127" s="1079"/>
      <c r="M1127" s="1080"/>
      <c r="N1127" s="229"/>
      <c r="O1127" s="230"/>
      <c r="P1127" s="44" t="s">
        <v>1060</v>
      </c>
      <c r="Q1127" s="230"/>
      <c r="R1127" s="230"/>
      <c r="S1127" s="230"/>
      <c r="T1127" s="230"/>
      <c r="U1127" s="230"/>
      <c r="V1127" s="230"/>
      <c r="W1127" s="230"/>
      <c r="X1127" s="230"/>
      <c r="Y1127" s="230"/>
      <c r="Z1127" s="230"/>
      <c r="AA1127" s="230"/>
      <c r="AB1127" s="230"/>
      <c r="AC1127" s="230"/>
      <c r="AD1127" s="230"/>
      <c r="AE1127" s="247"/>
      <c r="AF1127" s="1350"/>
      <c r="AG1127" s="1352"/>
      <c r="AH1127" s="1352"/>
      <c r="AI1127" s="1350"/>
      <c r="AJ1127" s="1352"/>
      <c r="AK1127" s="1352"/>
      <c r="AL1127" s="772"/>
    </row>
    <row r="1128" spans="1:38" ht="11.25" customHeight="1">
      <c r="A1128" t="s">
        <v>1019</v>
      </c>
      <c r="B1128" t="s">
        <v>22</v>
      </c>
      <c r="E1128" s="557"/>
      <c r="F1128" s="1339"/>
      <c r="G1128" s="1325" t="s">
        <v>103</v>
      </c>
      <c r="H1128" s="1335" t="s">
        <v>1145</v>
      </c>
      <c r="I1128" s="1347" t="s">
        <v>1111</v>
      </c>
      <c r="J1128" s="1360" t="s">
        <v>22</v>
      </c>
      <c r="K1128" s="1349" t="s">
        <v>1133</v>
      </c>
      <c r="L1128" s="1079" t="s">
        <v>19</v>
      </c>
      <c r="M1128" s="1080"/>
      <c r="N1128" s="242"/>
      <c r="O1128" s="243" t="s">
        <v>384</v>
      </c>
      <c r="P1128" s="244"/>
      <c r="Q1128" s="244"/>
      <c r="R1128" s="244"/>
      <c r="S1128" s="244"/>
      <c r="T1128" s="244"/>
      <c r="U1128" s="244"/>
      <c r="V1128" s="244"/>
      <c r="W1128" s="244"/>
      <c r="X1128" s="244"/>
      <c r="Y1128" s="244"/>
      <c r="Z1128" s="244"/>
      <c r="AA1128" s="244"/>
      <c r="AB1128" s="244"/>
      <c r="AC1128" s="244"/>
      <c r="AD1128" s="244"/>
      <c r="AE1128" s="244"/>
      <c r="AF1128" s="1350">
        <v>1</v>
      </c>
      <c r="AG1128" s="1352" t="s">
        <v>1055</v>
      </c>
      <c r="AH1128" s="1352" t="s">
        <v>1079</v>
      </c>
      <c r="AI1128" s="1350">
        <v>1</v>
      </c>
      <c r="AJ1128" s="1352" t="s">
        <v>1055</v>
      </c>
      <c r="AK1128" s="1352" t="s">
        <v>1079</v>
      </c>
      <c r="AL1128" s="772"/>
    </row>
    <row r="1129" spans="1:38" ht="11.25" customHeight="1">
      <c r="A1129" t="s">
        <v>1019</v>
      </c>
      <c r="E1129" s="557"/>
      <c r="F1129" s="1339"/>
      <c r="G1129" s="1340"/>
      <c r="H1129" s="1335" t="s">
        <v>1144</v>
      </c>
      <c r="I1129" s="1347"/>
      <c r="J1129" s="1360"/>
      <c r="K1129" s="1349"/>
      <c r="L1129" s="1079"/>
      <c r="M1129" s="1080"/>
      <c r="N1129" s="1355"/>
      <c r="O1129" s="1356">
        <v>1</v>
      </c>
      <c r="P1129" s="1357" t="s">
        <v>19</v>
      </c>
      <c r="Q1129" s="1308" t="s">
        <v>22</v>
      </c>
      <c r="R1129" s="1308" t="s">
        <v>22</v>
      </c>
      <c r="S1129" s="1308" t="s">
        <v>22</v>
      </c>
      <c r="T1129" s="1308" t="s">
        <v>22</v>
      </c>
      <c r="U1129" s="1308" t="s">
        <v>22</v>
      </c>
      <c r="V1129" s="1308" t="s">
        <v>22</v>
      </c>
      <c r="W1129" s="1308" t="s">
        <v>22</v>
      </c>
      <c r="X1129" s="1308" t="s">
        <v>22</v>
      </c>
      <c r="Y1129" s="1308"/>
      <c r="Z1129" s="229"/>
      <c r="AA1129" s="230"/>
      <c r="AB1129" s="230"/>
      <c r="AC1129" s="231"/>
      <c r="AD1129" s="231"/>
      <c r="AE1129" s="245"/>
      <c r="AF1129" s="1350"/>
      <c r="AG1129" s="1352"/>
      <c r="AH1129" s="1352"/>
      <c r="AI1129" s="1350"/>
      <c r="AJ1129" s="1352"/>
      <c r="AK1129" s="1352"/>
      <c r="AL1129" s="772"/>
    </row>
    <row r="1130" spans="1:38" ht="11.25" customHeight="1">
      <c r="A1130" t="s">
        <v>1019</v>
      </c>
      <c r="E1130" s="557"/>
      <c r="F1130" s="1339"/>
      <c r="G1130" s="1340"/>
      <c r="H1130" s="1335" t="s">
        <v>1144</v>
      </c>
      <c r="I1130" s="1347"/>
      <c r="J1130" s="1360"/>
      <c r="K1130" s="1349"/>
      <c r="L1130" s="1079"/>
      <c r="M1130" s="1080"/>
      <c r="N1130" s="1355"/>
      <c r="O1130" s="1356"/>
      <c r="P1130" s="1358"/>
      <c r="Q1130" s="1308"/>
      <c r="R1130" s="1308"/>
      <c r="S1130" s="1361"/>
      <c r="T1130" s="1308"/>
      <c r="U1130" s="1308"/>
      <c r="V1130" s="1308"/>
      <c r="W1130" s="1308"/>
      <c r="X1130" s="1308"/>
      <c r="Y1130" s="1308"/>
      <c r="AA1130" s="778">
        <v>1</v>
      </c>
      <c r="AB1130" s="779" t="s">
        <v>1119</v>
      </c>
      <c r="AC1130" s="237">
        <v>1067.8684706665499</v>
      </c>
      <c r="AD1130" s="779" t="str">
        <f>AB1130</f>
        <v xml:space="preserve">  Прибыль направляемая на инвестиции</v>
      </c>
      <c r="AE1130" s="237">
        <v>0</v>
      </c>
      <c r="AF1130" s="1350"/>
      <c r="AG1130" s="1352"/>
      <c r="AH1130" s="1352"/>
      <c r="AI1130" s="1350"/>
      <c r="AJ1130" s="1352"/>
      <c r="AK1130" s="1352"/>
      <c r="AL1130" s="772"/>
    </row>
    <row r="1131" spans="1:38" ht="11.25" customHeight="1">
      <c r="A1131" t="s">
        <v>1019</v>
      </c>
      <c r="E1131" s="557"/>
      <c r="F1131" s="1340"/>
      <c r="G1131" s="1340"/>
      <c r="H1131" s="1340"/>
      <c r="I1131" s="1340"/>
      <c r="J1131" s="1340"/>
      <c r="K1131" s="1340"/>
      <c r="L1131" s="1340"/>
      <c r="M1131" s="1340"/>
      <c r="N1131" s="1340"/>
      <c r="O1131" s="1340"/>
      <c r="P1131" s="1340"/>
      <c r="Q1131" s="1340"/>
      <c r="R1131" s="1340"/>
      <c r="S1131" s="1340"/>
      <c r="T1131" s="1340"/>
      <c r="U1131" s="1340"/>
      <c r="V1131" s="1340"/>
      <c r="W1131" s="1340"/>
      <c r="X1131" s="1340"/>
      <c r="Y1131" s="1340"/>
      <c r="Z1131" s="181" t="s">
        <v>103</v>
      </c>
      <c r="AA1131" s="780" t="s">
        <v>102</v>
      </c>
      <c r="AB1131" s="779" t="s">
        <v>1120</v>
      </c>
      <c r="AC1131" s="237">
        <v>383.17696518101599</v>
      </c>
      <c r="AD1131" s="779" t="str">
        <f>AB1131</f>
        <v xml:space="preserve">     Прочие амортизационные отчисления</v>
      </c>
      <c r="AE1131" s="237">
        <v>0</v>
      </c>
      <c r="AF1131" s="1351"/>
      <c r="AG1131" s="1353"/>
      <c r="AH1131" s="1353"/>
      <c r="AI1131" s="1351"/>
      <c r="AJ1131" s="1353"/>
      <c r="AK1131" s="1354"/>
      <c r="AL1131" s="772"/>
    </row>
    <row r="1132" spans="1:38" ht="11.25" customHeight="1">
      <c r="A1132" t="s">
        <v>1019</v>
      </c>
      <c r="E1132" s="557"/>
      <c r="F1132" s="1340"/>
      <c r="G1132" s="1340"/>
      <c r="H1132" s="1340"/>
      <c r="I1132" s="1340"/>
      <c r="J1132" s="1340"/>
      <c r="K1132" s="1340"/>
      <c r="L1132" s="1340"/>
      <c r="M1132" s="1340"/>
      <c r="N1132" s="1340"/>
      <c r="O1132" s="1340"/>
      <c r="P1132" s="1340"/>
      <c r="Q1132" s="1340"/>
      <c r="R1132" s="1340"/>
      <c r="S1132" s="1340"/>
      <c r="T1132" s="1340"/>
      <c r="U1132" s="1340"/>
      <c r="V1132" s="1340"/>
      <c r="W1132" s="1340"/>
      <c r="X1132" s="1340"/>
      <c r="Y1132" s="1340"/>
      <c r="Z1132" s="181" t="s">
        <v>103</v>
      </c>
      <c r="AA1132" s="780" t="s">
        <v>89</v>
      </c>
      <c r="AB1132" s="779" t="s">
        <v>1142</v>
      </c>
      <c r="AC1132" s="237">
        <v>267.06004419132199</v>
      </c>
      <c r="AD1132" s="779" t="str">
        <f>AB1132</f>
        <v xml:space="preserve">  Доход от взимания платы за негативное воздействие на работу централизованной системы водоотведения</v>
      </c>
      <c r="AE1132" s="237">
        <v>0</v>
      </c>
      <c r="AF1132" s="1351"/>
      <c r="AG1132" s="1353"/>
      <c r="AH1132" s="1353"/>
      <c r="AI1132" s="1351"/>
      <c r="AJ1132" s="1353"/>
      <c r="AK1132" s="1354"/>
      <c r="AL1132" s="772"/>
    </row>
    <row r="1133" spans="1:38" ht="11.25" customHeight="1">
      <c r="A1133" t="s">
        <v>1019</v>
      </c>
      <c r="E1133" s="557"/>
      <c r="F1133" s="1339"/>
      <c r="G1133" s="1340"/>
      <c r="H1133" s="1335" t="s">
        <v>1144</v>
      </c>
      <c r="I1133" s="1347"/>
      <c r="J1133" s="1360"/>
      <c r="K1133" s="1349"/>
      <c r="L1133" s="1079"/>
      <c r="M1133" s="1080"/>
      <c r="N1133" s="1355"/>
      <c r="O1133" s="1356"/>
      <c r="P1133" s="1359"/>
      <c r="Q1133" s="1308"/>
      <c r="R1133" s="1308"/>
      <c r="S1133" s="1361"/>
      <c r="T1133" s="1308"/>
      <c r="U1133" s="1308"/>
      <c r="V1133" s="1308"/>
      <c r="W1133" s="1308"/>
      <c r="X1133" s="1308"/>
      <c r="Y1133" s="1308"/>
      <c r="Z1133" s="229"/>
      <c r="AA1133" s="230"/>
      <c r="AB1133" s="44" t="s">
        <v>1059</v>
      </c>
      <c r="AC1133" s="231"/>
      <c r="AD1133" s="231"/>
      <c r="AE1133" s="246"/>
      <c r="AF1133" s="1350"/>
      <c r="AG1133" s="1352"/>
      <c r="AH1133" s="1352"/>
      <c r="AI1133" s="1350"/>
      <c r="AJ1133" s="1352"/>
      <c r="AK1133" s="1352"/>
      <c r="AL1133" s="772"/>
    </row>
    <row r="1134" spans="1:38" ht="11.25" customHeight="1">
      <c r="A1134" t="s">
        <v>1019</v>
      </c>
      <c r="E1134" s="557"/>
      <c r="F1134" s="1339"/>
      <c r="G1134" s="1340"/>
      <c r="H1134" s="1335" t="s">
        <v>1144</v>
      </c>
      <c r="I1134" s="1347"/>
      <c r="J1134" s="1360"/>
      <c r="K1134" s="1349"/>
      <c r="L1134" s="1079"/>
      <c r="M1134" s="1080"/>
      <c r="N1134" s="229"/>
      <c r="O1134" s="230"/>
      <c r="P1134" s="44" t="s">
        <v>1060</v>
      </c>
      <c r="Q1134" s="230"/>
      <c r="R1134" s="230"/>
      <c r="S1134" s="230"/>
      <c r="T1134" s="230"/>
      <c r="U1134" s="230"/>
      <c r="V1134" s="230"/>
      <c r="W1134" s="230"/>
      <c r="X1134" s="230"/>
      <c r="Y1134" s="230"/>
      <c r="Z1134" s="230"/>
      <c r="AA1134" s="230"/>
      <c r="AB1134" s="230"/>
      <c r="AC1134" s="230"/>
      <c r="AD1134" s="230"/>
      <c r="AE1134" s="247"/>
      <c r="AF1134" s="1350"/>
      <c r="AG1134" s="1352"/>
      <c r="AH1134" s="1352"/>
      <c r="AI1134" s="1350"/>
      <c r="AJ1134" s="1352"/>
      <c r="AK1134" s="1352"/>
      <c r="AL1134" s="772"/>
    </row>
    <row r="1135" spans="1:38" ht="11.25" customHeight="1">
      <c r="A1135" t="s">
        <v>1019</v>
      </c>
      <c r="B1135" t="s">
        <v>22</v>
      </c>
      <c r="E1135" s="557"/>
      <c r="F1135" s="1339"/>
      <c r="G1135" s="1325" t="s">
        <v>103</v>
      </c>
      <c r="H1135" s="1335" t="s">
        <v>105</v>
      </c>
      <c r="I1135" s="1347" t="s">
        <v>1111</v>
      </c>
      <c r="J1135" s="1360" t="s">
        <v>22</v>
      </c>
      <c r="K1135" s="1349" t="s">
        <v>1135</v>
      </c>
      <c r="L1135" s="1079" t="s">
        <v>19</v>
      </c>
      <c r="M1135" s="1080"/>
      <c r="N1135" s="242"/>
      <c r="O1135" s="243" t="s">
        <v>384</v>
      </c>
      <c r="P1135" s="244"/>
      <c r="Q1135" s="244"/>
      <c r="R1135" s="244"/>
      <c r="S1135" s="244"/>
      <c r="T1135" s="244"/>
      <c r="U1135" s="244"/>
      <c r="V1135" s="244"/>
      <c r="W1135" s="244"/>
      <c r="X1135" s="244"/>
      <c r="Y1135" s="244"/>
      <c r="Z1135" s="244"/>
      <c r="AA1135" s="244"/>
      <c r="AB1135" s="244"/>
      <c r="AC1135" s="244"/>
      <c r="AD1135" s="244"/>
      <c r="AE1135" s="244"/>
      <c r="AF1135" s="1350">
        <v>1</v>
      </c>
      <c r="AG1135" s="1352" t="s">
        <v>1055</v>
      </c>
      <c r="AH1135" s="1352" t="s">
        <v>1079</v>
      </c>
      <c r="AI1135" s="1350">
        <v>1</v>
      </c>
      <c r="AJ1135" s="1352" t="s">
        <v>1055</v>
      </c>
      <c r="AK1135" s="1352" t="s">
        <v>1079</v>
      </c>
      <c r="AL1135" s="772"/>
    </row>
    <row r="1136" spans="1:38" ht="11.25" customHeight="1">
      <c r="A1136" t="s">
        <v>1019</v>
      </c>
      <c r="E1136" s="557"/>
      <c r="F1136" s="1339"/>
      <c r="G1136" s="1340"/>
      <c r="H1136" s="1335" t="s">
        <v>1145</v>
      </c>
      <c r="I1136" s="1347"/>
      <c r="J1136" s="1360"/>
      <c r="K1136" s="1349"/>
      <c r="L1136" s="1079"/>
      <c r="M1136" s="1080"/>
      <c r="N1136" s="1355"/>
      <c r="O1136" s="1356">
        <v>1</v>
      </c>
      <c r="P1136" s="1357" t="s">
        <v>19</v>
      </c>
      <c r="Q1136" s="1308" t="s">
        <v>22</v>
      </c>
      <c r="R1136" s="1308" t="s">
        <v>22</v>
      </c>
      <c r="S1136" s="1308" t="s">
        <v>22</v>
      </c>
      <c r="T1136" s="1308" t="s">
        <v>22</v>
      </c>
      <c r="U1136" s="1308" t="s">
        <v>22</v>
      </c>
      <c r="V1136" s="1308" t="s">
        <v>22</v>
      </c>
      <c r="W1136" s="1308" t="s">
        <v>22</v>
      </c>
      <c r="X1136" s="1308" t="s">
        <v>22</v>
      </c>
      <c r="Y1136" s="1308"/>
      <c r="Z1136" s="229"/>
      <c r="AA1136" s="230"/>
      <c r="AB1136" s="230"/>
      <c r="AC1136" s="231"/>
      <c r="AD1136" s="231"/>
      <c r="AE1136" s="245"/>
      <c r="AF1136" s="1350"/>
      <c r="AG1136" s="1352"/>
      <c r="AH1136" s="1352"/>
      <c r="AI1136" s="1350"/>
      <c r="AJ1136" s="1352"/>
      <c r="AK1136" s="1352"/>
      <c r="AL1136" s="772"/>
    </row>
    <row r="1137" spans="1:38" ht="11.25" customHeight="1">
      <c r="A1137" t="s">
        <v>1019</v>
      </c>
      <c r="E1137" s="557"/>
      <c r="F1137" s="1339"/>
      <c r="G1137" s="1340"/>
      <c r="H1137" s="1335" t="s">
        <v>1145</v>
      </c>
      <c r="I1137" s="1347"/>
      <c r="J1137" s="1360"/>
      <c r="K1137" s="1349"/>
      <c r="L1137" s="1079"/>
      <c r="M1137" s="1080"/>
      <c r="N1137" s="1355"/>
      <c r="O1137" s="1356"/>
      <c r="P1137" s="1358"/>
      <c r="Q1137" s="1308"/>
      <c r="R1137" s="1308"/>
      <c r="S1137" s="1361"/>
      <c r="T1137" s="1308"/>
      <c r="U1137" s="1308"/>
      <c r="V1137" s="1308"/>
      <c r="W1137" s="1308"/>
      <c r="X1137" s="1308"/>
      <c r="Y1137" s="1308"/>
      <c r="AA1137" s="778">
        <v>1</v>
      </c>
      <c r="AB1137" s="779" t="s">
        <v>1119</v>
      </c>
      <c r="AC1137" s="237">
        <v>1831.64600776418</v>
      </c>
      <c r="AD1137" s="779" t="str">
        <f>AB1137</f>
        <v xml:space="preserve">  Прибыль направляемая на инвестиции</v>
      </c>
      <c r="AE1137" s="237">
        <v>0</v>
      </c>
      <c r="AF1137" s="1350"/>
      <c r="AG1137" s="1352"/>
      <c r="AH1137" s="1352"/>
      <c r="AI1137" s="1350"/>
      <c r="AJ1137" s="1352"/>
      <c r="AK1137" s="1352"/>
      <c r="AL1137" s="772"/>
    </row>
    <row r="1138" spans="1:38" ht="11.25" customHeight="1">
      <c r="A1138" t="s">
        <v>1019</v>
      </c>
      <c r="E1138" s="557"/>
      <c r="F1138" s="1340"/>
      <c r="G1138" s="1340"/>
      <c r="H1138" s="1340"/>
      <c r="I1138" s="1340"/>
      <c r="J1138" s="1340"/>
      <c r="K1138" s="1340"/>
      <c r="L1138" s="1340"/>
      <c r="M1138" s="1340"/>
      <c r="N1138" s="1340"/>
      <c r="O1138" s="1340"/>
      <c r="P1138" s="1340"/>
      <c r="Q1138" s="1340"/>
      <c r="R1138" s="1340"/>
      <c r="S1138" s="1340"/>
      <c r="T1138" s="1340"/>
      <c r="U1138" s="1340"/>
      <c r="V1138" s="1340"/>
      <c r="W1138" s="1340"/>
      <c r="X1138" s="1340"/>
      <c r="Y1138" s="1340"/>
      <c r="Z1138" s="181" t="s">
        <v>103</v>
      </c>
      <c r="AA1138" s="780" t="s">
        <v>102</v>
      </c>
      <c r="AB1138" s="779" t="s">
        <v>1120</v>
      </c>
      <c r="AC1138" s="237">
        <v>657.23876846266899</v>
      </c>
      <c r="AD1138" s="779" t="str">
        <f>AB1138</f>
        <v xml:space="preserve">     Прочие амортизационные отчисления</v>
      </c>
      <c r="AE1138" s="237">
        <v>0</v>
      </c>
      <c r="AF1138" s="1351"/>
      <c r="AG1138" s="1353"/>
      <c r="AH1138" s="1353"/>
      <c r="AI1138" s="1351"/>
      <c r="AJ1138" s="1353"/>
      <c r="AK1138" s="1354"/>
      <c r="AL1138" s="772"/>
    </row>
    <row r="1139" spans="1:38" ht="11.25" customHeight="1">
      <c r="A1139" t="s">
        <v>1019</v>
      </c>
      <c r="E1139" s="557"/>
      <c r="F1139" s="1340"/>
      <c r="G1139" s="1340"/>
      <c r="H1139" s="1340"/>
      <c r="I1139" s="1340"/>
      <c r="J1139" s="1340"/>
      <c r="K1139" s="1340"/>
      <c r="L1139" s="1340"/>
      <c r="M1139" s="1340"/>
      <c r="N1139" s="1340"/>
      <c r="O1139" s="1340"/>
      <c r="P1139" s="1340"/>
      <c r="Q1139" s="1340"/>
      <c r="R1139" s="1340"/>
      <c r="S1139" s="1340"/>
      <c r="T1139" s="1340"/>
      <c r="U1139" s="1340"/>
      <c r="V1139" s="1340"/>
      <c r="W1139" s="1340"/>
      <c r="X1139" s="1340"/>
      <c r="Y1139" s="1340"/>
      <c r="Z1139" s="181" t="s">
        <v>103</v>
      </c>
      <c r="AA1139" s="780" t="s">
        <v>89</v>
      </c>
      <c r="AB1139" s="779" t="s">
        <v>1142</v>
      </c>
      <c r="AC1139" s="237">
        <v>458.070892823561</v>
      </c>
      <c r="AD1139" s="779" t="str">
        <f>AB1139</f>
        <v xml:space="preserve">  Доход от взимания платы за негативное воздействие на работу централизованной системы водоотведения</v>
      </c>
      <c r="AE1139" s="237">
        <v>0</v>
      </c>
      <c r="AF1139" s="1351"/>
      <c r="AG1139" s="1353"/>
      <c r="AH1139" s="1353"/>
      <c r="AI1139" s="1351"/>
      <c r="AJ1139" s="1353"/>
      <c r="AK1139" s="1354"/>
      <c r="AL1139" s="772"/>
    </row>
    <row r="1140" spans="1:38" ht="11.25" customHeight="1">
      <c r="A1140" t="s">
        <v>1019</v>
      </c>
      <c r="E1140" s="557"/>
      <c r="F1140" s="1339"/>
      <c r="G1140" s="1340"/>
      <c r="H1140" s="1335" t="s">
        <v>1145</v>
      </c>
      <c r="I1140" s="1347"/>
      <c r="J1140" s="1360"/>
      <c r="K1140" s="1349"/>
      <c r="L1140" s="1079"/>
      <c r="M1140" s="1080"/>
      <c r="N1140" s="1355"/>
      <c r="O1140" s="1356"/>
      <c r="P1140" s="1359"/>
      <c r="Q1140" s="1308"/>
      <c r="R1140" s="1308"/>
      <c r="S1140" s="1361"/>
      <c r="T1140" s="1308"/>
      <c r="U1140" s="1308"/>
      <c r="V1140" s="1308"/>
      <c r="W1140" s="1308"/>
      <c r="X1140" s="1308"/>
      <c r="Y1140" s="1308"/>
      <c r="Z1140" s="229"/>
      <c r="AA1140" s="230"/>
      <c r="AB1140" s="44" t="s">
        <v>1059</v>
      </c>
      <c r="AC1140" s="231"/>
      <c r="AD1140" s="231"/>
      <c r="AE1140" s="246"/>
      <c r="AF1140" s="1350"/>
      <c r="AG1140" s="1352"/>
      <c r="AH1140" s="1352"/>
      <c r="AI1140" s="1350"/>
      <c r="AJ1140" s="1352"/>
      <c r="AK1140" s="1352"/>
      <c r="AL1140" s="772"/>
    </row>
    <row r="1141" spans="1:38" ht="11.25" customHeight="1">
      <c r="A1141" t="s">
        <v>1019</v>
      </c>
      <c r="E1141" s="557"/>
      <c r="F1141" s="1339"/>
      <c r="G1141" s="1340"/>
      <c r="H1141" s="1335" t="s">
        <v>1145</v>
      </c>
      <c r="I1141" s="1347"/>
      <c r="J1141" s="1360"/>
      <c r="K1141" s="1349"/>
      <c r="L1141" s="1079"/>
      <c r="M1141" s="1080"/>
      <c r="N1141" s="229"/>
      <c r="O1141" s="230"/>
      <c r="P1141" s="44" t="s">
        <v>1060</v>
      </c>
      <c r="Q1141" s="230"/>
      <c r="R1141" s="230"/>
      <c r="S1141" s="230"/>
      <c r="T1141" s="230"/>
      <c r="U1141" s="230"/>
      <c r="V1141" s="230"/>
      <c r="W1141" s="230"/>
      <c r="X1141" s="230"/>
      <c r="Y1141" s="230"/>
      <c r="Z1141" s="230"/>
      <c r="AA1141" s="230"/>
      <c r="AB1141" s="230"/>
      <c r="AC1141" s="230"/>
      <c r="AD1141" s="230"/>
      <c r="AE1141" s="247"/>
      <c r="AF1141" s="1350"/>
      <c r="AG1141" s="1352"/>
      <c r="AH1141" s="1352"/>
      <c r="AI1141" s="1350"/>
      <c r="AJ1141" s="1352"/>
      <c r="AK1141" s="1352"/>
      <c r="AL1141" s="772"/>
    </row>
    <row r="1142" spans="1:38" ht="11.25" customHeight="1">
      <c r="A1142" t="s">
        <v>1019</v>
      </c>
      <c r="B1142" t="s">
        <v>22</v>
      </c>
      <c r="E1142" s="557"/>
      <c r="F1142" s="1339"/>
      <c r="G1142" s="1325" t="s">
        <v>103</v>
      </c>
      <c r="H1142" s="1335" t="s">
        <v>1158</v>
      </c>
      <c r="I1142" s="1347" t="s">
        <v>1111</v>
      </c>
      <c r="J1142" s="1360" t="s">
        <v>22</v>
      </c>
      <c r="K1142" s="1349" t="s">
        <v>1187</v>
      </c>
      <c r="L1142" s="1079" t="s">
        <v>19</v>
      </c>
      <c r="M1142" s="1080"/>
      <c r="N1142" s="242"/>
      <c r="O1142" s="243" t="s">
        <v>384</v>
      </c>
      <c r="P1142" s="244"/>
      <c r="Q1142" s="244"/>
      <c r="R1142" s="244"/>
      <c r="S1142" s="244"/>
      <c r="T1142" s="244"/>
      <c r="U1142" s="244"/>
      <c r="V1142" s="244"/>
      <c r="W1142" s="244"/>
      <c r="X1142" s="244"/>
      <c r="Y1142" s="244"/>
      <c r="Z1142" s="244"/>
      <c r="AA1142" s="244"/>
      <c r="AB1142" s="244"/>
      <c r="AC1142" s="244"/>
      <c r="AD1142" s="244"/>
      <c r="AE1142" s="244"/>
      <c r="AF1142" s="1350">
        <v>1</v>
      </c>
      <c r="AG1142" s="1352" t="s">
        <v>1055</v>
      </c>
      <c r="AH1142" s="1352" t="s">
        <v>1079</v>
      </c>
      <c r="AI1142" s="1350">
        <v>1</v>
      </c>
      <c r="AJ1142" s="1352" t="s">
        <v>1055</v>
      </c>
      <c r="AK1142" s="1352" t="s">
        <v>1079</v>
      </c>
      <c r="AL1142" s="772"/>
    </row>
    <row r="1143" spans="1:38" ht="11.25" customHeight="1">
      <c r="A1143" t="s">
        <v>1019</v>
      </c>
      <c r="E1143" s="557"/>
      <c r="F1143" s="1339"/>
      <c r="G1143" s="1340"/>
      <c r="H1143" s="1335" t="s">
        <v>105</v>
      </c>
      <c r="I1143" s="1347"/>
      <c r="J1143" s="1360"/>
      <c r="K1143" s="1349"/>
      <c r="L1143" s="1079"/>
      <c r="M1143" s="1080"/>
      <c r="N1143" s="1355"/>
      <c r="O1143" s="1356">
        <v>1</v>
      </c>
      <c r="P1143" s="1357" t="s">
        <v>19</v>
      </c>
      <c r="Q1143" s="1308" t="s">
        <v>22</v>
      </c>
      <c r="R1143" s="1308" t="s">
        <v>22</v>
      </c>
      <c r="S1143" s="1308" t="s">
        <v>22</v>
      </c>
      <c r="T1143" s="1308" t="s">
        <v>22</v>
      </c>
      <c r="U1143" s="1308" t="s">
        <v>22</v>
      </c>
      <c r="V1143" s="1308" t="s">
        <v>22</v>
      </c>
      <c r="W1143" s="1308" t="s">
        <v>22</v>
      </c>
      <c r="X1143" s="1308" t="s">
        <v>22</v>
      </c>
      <c r="Y1143" s="1308"/>
      <c r="Z1143" s="229"/>
      <c r="AA1143" s="230"/>
      <c r="AB1143" s="230"/>
      <c r="AC1143" s="231"/>
      <c r="AD1143" s="231"/>
      <c r="AE1143" s="245"/>
      <c r="AF1143" s="1350"/>
      <c r="AG1143" s="1352"/>
      <c r="AH1143" s="1352"/>
      <c r="AI1143" s="1350"/>
      <c r="AJ1143" s="1352"/>
      <c r="AK1143" s="1352"/>
      <c r="AL1143" s="772"/>
    </row>
    <row r="1144" spans="1:38" ht="11.25" customHeight="1">
      <c r="A1144" t="s">
        <v>1019</v>
      </c>
      <c r="E1144" s="557"/>
      <c r="F1144" s="1339"/>
      <c r="G1144" s="1340"/>
      <c r="H1144" s="1335" t="s">
        <v>105</v>
      </c>
      <c r="I1144" s="1347"/>
      <c r="J1144" s="1360"/>
      <c r="K1144" s="1349"/>
      <c r="L1144" s="1079"/>
      <c r="M1144" s="1080"/>
      <c r="N1144" s="1355"/>
      <c r="O1144" s="1356"/>
      <c r="P1144" s="1358"/>
      <c r="Q1144" s="1308"/>
      <c r="R1144" s="1308"/>
      <c r="S1144" s="1361"/>
      <c r="T1144" s="1308"/>
      <c r="U1144" s="1308"/>
      <c r="V1144" s="1308"/>
      <c r="W1144" s="1308"/>
      <c r="X1144" s="1308"/>
      <c r="Y1144" s="1308"/>
      <c r="AA1144" s="778">
        <v>1</v>
      </c>
      <c r="AB1144" s="779" t="s">
        <v>1119</v>
      </c>
      <c r="AC1144" s="237">
        <v>642.18661418161003</v>
      </c>
      <c r="AD1144" s="779" t="str">
        <f>AB1144</f>
        <v xml:space="preserve">  Прибыль направляемая на инвестиции</v>
      </c>
      <c r="AE1144" s="237">
        <v>0</v>
      </c>
      <c r="AF1144" s="1350"/>
      <c r="AG1144" s="1352"/>
      <c r="AH1144" s="1352"/>
      <c r="AI1144" s="1350"/>
      <c r="AJ1144" s="1352"/>
      <c r="AK1144" s="1352"/>
      <c r="AL1144" s="772"/>
    </row>
    <row r="1145" spans="1:38" ht="11.25" customHeight="1">
      <c r="A1145" t="s">
        <v>1019</v>
      </c>
      <c r="E1145" s="557"/>
      <c r="F1145" s="1340"/>
      <c r="G1145" s="1340"/>
      <c r="H1145" s="1340"/>
      <c r="I1145" s="1340"/>
      <c r="J1145" s="1340"/>
      <c r="K1145" s="1340"/>
      <c r="L1145" s="1340"/>
      <c r="M1145" s="1340"/>
      <c r="N1145" s="1340"/>
      <c r="O1145" s="1340"/>
      <c r="P1145" s="1340"/>
      <c r="Q1145" s="1340"/>
      <c r="R1145" s="1340"/>
      <c r="S1145" s="1340"/>
      <c r="T1145" s="1340"/>
      <c r="U1145" s="1340"/>
      <c r="V1145" s="1340"/>
      <c r="W1145" s="1340"/>
      <c r="X1145" s="1340"/>
      <c r="Y1145" s="1340"/>
      <c r="Z1145" s="181" t="s">
        <v>103</v>
      </c>
      <c r="AA1145" s="780" t="s">
        <v>102</v>
      </c>
      <c r="AB1145" s="779" t="s">
        <v>1120</v>
      </c>
      <c r="AC1145" s="237">
        <v>230.43204726176199</v>
      </c>
      <c r="AD1145" s="779" t="str">
        <f>AB1145</f>
        <v xml:space="preserve">     Прочие амортизационные отчисления</v>
      </c>
      <c r="AE1145" s="237">
        <v>0</v>
      </c>
      <c r="AF1145" s="1351"/>
      <c r="AG1145" s="1353"/>
      <c r="AH1145" s="1353"/>
      <c r="AI1145" s="1351"/>
      <c r="AJ1145" s="1353"/>
      <c r="AK1145" s="1354"/>
      <c r="AL1145" s="772"/>
    </row>
    <row r="1146" spans="1:38" ht="11.25" customHeight="1">
      <c r="A1146" t="s">
        <v>1019</v>
      </c>
      <c r="E1146" s="557"/>
      <c r="F1146" s="1340"/>
      <c r="G1146" s="1340"/>
      <c r="H1146" s="1340"/>
      <c r="I1146" s="1340"/>
      <c r="J1146" s="1340"/>
      <c r="K1146" s="1340"/>
      <c r="L1146" s="1340"/>
      <c r="M1146" s="1340"/>
      <c r="N1146" s="1340"/>
      <c r="O1146" s="1340"/>
      <c r="P1146" s="1340"/>
      <c r="Q1146" s="1340"/>
      <c r="R1146" s="1340"/>
      <c r="S1146" s="1340"/>
      <c r="T1146" s="1340"/>
      <c r="U1146" s="1340"/>
      <c r="V1146" s="1340"/>
      <c r="W1146" s="1340"/>
      <c r="X1146" s="1340"/>
      <c r="Y1146" s="1340"/>
      <c r="Z1146" s="181" t="s">
        <v>103</v>
      </c>
      <c r="AA1146" s="780" t="s">
        <v>89</v>
      </c>
      <c r="AB1146" s="779" t="s">
        <v>1142</v>
      </c>
      <c r="AC1146" s="237">
        <v>160.60253699162601</v>
      </c>
      <c r="AD1146" s="779" t="str">
        <f>AB1146</f>
        <v xml:space="preserve">  Доход от взимания платы за негативное воздействие на работу централизованной системы водоотведения</v>
      </c>
      <c r="AE1146" s="237">
        <v>0</v>
      </c>
      <c r="AF1146" s="1351"/>
      <c r="AG1146" s="1353"/>
      <c r="AH1146" s="1353"/>
      <c r="AI1146" s="1351"/>
      <c r="AJ1146" s="1353"/>
      <c r="AK1146" s="1354"/>
      <c r="AL1146" s="772"/>
    </row>
    <row r="1147" spans="1:38" ht="11.25" customHeight="1">
      <c r="A1147" t="s">
        <v>1019</v>
      </c>
      <c r="E1147" s="557"/>
      <c r="F1147" s="1339"/>
      <c r="G1147" s="1340"/>
      <c r="H1147" s="1335" t="s">
        <v>105</v>
      </c>
      <c r="I1147" s="1347"/>
      <c r="J1147" s="1360"/>
      <c r="K1147" s="1349"/>
      <c r="L1147" s="1079"/>
      <c r="M1147" s="1080"/>
      <c r="N1147" s="1355"/>
      <c r="O1147" s="1356"/>
      <c r="P1147" s="1359"/>
      <c r="Q1147" s="1308"/>
      <c r="R1147" s="1308"/>
      <c r="S1147" s="1361"/>
      <c r="T1147" s="1308"/>
      <c r="U1147" s="1308"/>
      <c r="V1147" s="1308"/>
      <c r="W1147" s="1308"/>
      <c r="X1147" s="1308"/>
      <c r="Y1147" s="1308"/>
      <c r="Z1147" s="229"/>
      <c r="AA1147" s="230"/>
      <c r="AB1147" s="44" t="s">
        <v>1059</v>
      </c>
      <c r="AC1147" s="231"/>
      <c r="AD1147" s="231"/>
      <c r="AE1147" s="246"/>
      <c r="AF1147" s="1350"/>
      <c r="AG1147" s="1352"/>
      <c r="AH1147" s="1352"/>
      <c r="AI1147" s="1350"/>
      <c r="AJ1147" s="1352"/>
      <c r="AK1147" s="1352"/>
      <c r="AL1147" s="772"/>
    </row>
    <row r="1148" spans="1:38" ht="11.25" customHeight="1">
      <c r="A1148" t="s">
        <v>1019</v>
      </c>
      <c r="E1148" s="557"/>
      <c r="F1148" s="1339"/>
      <c r="G1148" s="1340"/>
      <c r="H1148" s="1335" t="s">
        <v>105</v>
      </c>
      <c r="I1148" s="1347"/>
      <c r="J1148" s="1360"/>
      <c r="K1148" s="1349"/>
      <c r="L1148" s="1079"/>
      <c r="M1148" s="1080"/>
      <c r="N1148" s="229"/>
      <c r="O1148" s="230"/>
      <c r="P1148" s="44" t="s">
        <v>1060</v>
      </c>
      <c r="Q1148" s="230"/>
      <c r="R1148" s="230"/>
      <c r="S1148" s="230"/>
      <c r="T1148" s="230"/>
      <c r="U1148" s="230"/>
      <c r="V1148" s="230"/>
      <c r="W1148" s="230"/>
      <c r="X1148" s="230"/>
      <c r="Y1148" s="230"/>
      <c r="Z1148" s="230"/>
      <c r="AA1148" s="230"/>
      <c r="AB1148" s="230"/>
      <c r="AC1148" s="230"/>
      <c r="AD1148" s="230"/>
      <c r="AE1148" s="247"/>
      <c r="AF1148" s="1350"/>
      <c r="AG1148" s="1352"/>
      <c r="AH1148" s="1352"/>
      <c r="AI1148" s="1350"/>
      <c r="AJ1148" s="1352"/>
      <c r="AK1148" s="1352"/>
      <c r="AL1148" s="772"/>
    </row>
    <row r="1149" spans="1:38" ht="11.25" customHeight="1">
      <c r="A1149" t="s">
        <v>1019</v>
      </c>
      <c r="B1149" t="s">
        <v>22</v>
      </c>
      <c r="E1149" s="557"/>
      <c r="F1149" s="1339"/>
      <c r="G1149" s="1325" t="s">
        <v>103</v>
      </c>
      <c r="H1149" s="1335" t="s">
        <v>1160</v>
      </c>
      <c r="I1149" s="1347" t="s">
        <v>1111</v>
      </c>
      <c r="J1149" s="1360" t="s">
        <v>22</v>
      </c>
      <c r="K1149" s="1349" t="s">
        <v>1137</v>
      </c>
      <c r="L1149" s="1079" t="s">
        <v>19</v>
      </c>
      <c r="M1149" s="1080"/>
      <c r="N1149" s="242"/>
      <c r="O1149" s="243" t="s">
        <v>384</v>
      </c>
      <c r="P1149" s="244"/>
      <c r="Q1149" s="244"/>
      <c r="R1149" s="244"/>
      <c r="S1149" s="244"/>
      <c r="T1149" s="244"/>
      <c r="U1149" s="244"/>
      <c r="V1149" s="244"/>
      <c r="W1149" s="244"/>
      <c r="X1149" s="244"/>
      <c r="Y1149" s="244"/>
      <c r="Z1149" s="244"/>
      <c r="AA1149" s="244"/>
      <c r="AB1149" s="244"/>
      <c r="AC1149" s="244"/>
      <c r="AD1149" s="244"/>
      <c r="AE1149" s="244"/>
      <c r="AF1149" s="1350">
        <v>1</v>
      </c>
      <c r="AG1149" s="1352" t="s">
        <v>1055</v>
      </c>
      <c r="AH1149" s="1352" t="s">
        <v>1079</v>
      </c>
      <c r="AI1149" s="1350">
        <v>1</v>
      </c>
      <c r="AJ1149" s="1352" t="s">
        <v>1055</v>
      </c>
      <c r="AK1149" s="1352" t="s">
        <v>1079</v>
      </c>
      <c r="AL1149" s="772"/>
    </row>
    <row r="1150" spans="1:38" ht="11.25" customHeight="1">
      <c r="A1150" t="s">
        <v>1019</v>
      </c>
      <c r="E1150" s="557"/>
      <c r="F1150" s="1339"/>
      <c r="G1150" s="1340"/>
      <c r="H1150" s="1335" t="s">
        <v>1158</v>
      </c>
      <c r="I1150" s="1347"/>
      <c r="J1150" s="1360"/>
      <c r="K1150" s="1349"/>
      <c r="L1150" s="1079"/>
      <c r="M1150" s="1080"/>
      <c r="N1150" s="1355"/>
      <c r="O1150" s="1356">
        <v>1</v>
      </c>
      <c r="P1150" s="1357" t="s">
        <v>19</v>
      </c>
      <c r="Q1150" s="1308" t="s">
        <v>22</v>
      </c>
      <c r="R1150" s="1308" t="s">
        <v>22</v>
      </c>
      <c r="S1150" s="1308" t="s">
        <v>22</v>
      </c>
      <c r="T1150" s="1308" t="s">
        <v>22</v>
      </c>
      <c r="U1150" s="1308" t="s">
        <v>22</v>
      </c>
      <c r="V1150" s="1308" t="s">
        <v>22</v>
      </c>
      <c r="W1150" s="1308" t="s">
        <v>22</v>
      </c>
      <c r="X1150" s="1308" t="s">
        <v>22</v>
      </c>
      <c r="Y1150" s="1308"/>
      <c r="Z1150" s="229"/>
      <c r="AA1150" s="230"/>
      <c r="AB1150" s="230"/>
      <c r="AC1150" s="231"/>
      <c r="AD1150" s="231"/>
      <c r="AE1150" s="245"/>
      <c r="AF1150" s="1350"/>
      <c r="AG1150" s="1352"/>
      <c r="AH1150" s="1352"/>
      <c r="AI1150" s="1350"/>
      <c r="AJ1150" s="1352"/>
      <c r="AK1150" s="1352"/>
      <c r="AL1150" s="772"/>
    </row>
    <row r="1151" spans="1:38" ht="11.25" customHeight="1">
      <c r="A1151" t="s">
        <v>1019</v>
      </c>
      <c r="E1151" s="557"/>
      <c r="F1151" s="1339"/>
      <c r="G1151" s="1340"/>
      <c r="H1151" s="1335" t="s">
        <v>1158</v>
      </c>
      <c r="I1151" s="1347"/>
      <c r="J1151" s="1360"/>
      <c r="K1151" s="1349"/>
      <c r="L1151" s="1079"/>
      <c r="M1151" s="1080"/>
      <c r="N1151" s="1355"/>
      <c r="O1151" s="1356"/>
      <c r="P1151" s="1358"/>
      <c r="Q1151" s="1308"/>
      <c r="R1151" s="1308"/>
      <c r="S1151" s="1361"/>
      <c r="T1151" s="1308"/>
      <c r="U1151" s="1308"/>
      <c r="V1151" s="1308"/>
      <c r="W1151" s="1308"/>
      <c r="X1151" s="1308"/>
      <c r="Y1151" s="1308"/>
      <c r="AA1151" s="778">
        <v>1</v>
      </c>
      <c r="AB1151" s="779" t="s">
        <v>1119</v>
      </c>
      <c r="AC1151" s="237">
        <v>17239.920394435299</v>
      </c>
      <c r="AD1151" s="779" t="str">
        <f>AB1151</f>
        <v xml:space="preserve">  Прибыль направляемая на инвестиции</v>
      </c>
      <c r="AE1151" s="237">
        <v>0</v>
      </c>
      <c r="AF1151" s="1350"/>
      <c r="AG1151" s="1352"/>
      <c r="AH1151" s="1352"/>
      <c r="AI1151" s="1350"/>
      <c r="AJ1151" s="1352"/>
      <c r="AK1151" s="1352"/>
      <c r="AL1151" s="772"/>
    </row>
    <row r="1152" spans="1:38" ht="11.25" customHeight="1">
      <c r="A1152" t="s">
        <v>1019</v>
      </c>
      <c r="E1152" s="557"/>
      <c r="F1152" s="1340"/>
      <c r="G1152" s="1340"/>
      <c r="H1152" s="1340"/>
      <c r="I1152" s="1340"/>
      <c r="J1152" s="1340"/>
      <c r="K1152" s="1340"/>
      <c r="L1152" s="1340"/>
      <c r="M1152" s="1340"/>
      <c r="N1152" s="1340"/>
      <c r="O1152" s="1340"/>
      <c r="P1152" s="1340"/>
      <c r="Q1152" s="1340"/>
      <c r="R1152" s="1340"/>
      <c r="S1152" s="1340"/>
      <c r="T1152" s="1340"/>
      <c r="U1152" s="1340"/>
      <c r="V1152" s="1340"/>
      <c r="W1152" s="1340"/>
      <c r="X1152" s="1340"/>
      <c r="Y1152" s="1340"/>
      <c r="Z1152" s="181" t="s">
        <v>103</v>
      </c>
      <c r="AA1152" s="780" t="s">
        <v>102</v>
      </c>
      <c r="AB1152" s="779" t="s">
        <v>1120</v>
      </c>
      <c r="AC1152" s="237">
        <v>6186.09927922926</v>
      </c>
      <c r="AD1152" s="779" t="str">
        <f>AB1152</f>
        <v xml:space="preserve">     Прочие амортизационные отчисления</v>
      </c>
      <c r="AE1152" s="237">
        <v>0</v>
      </c>
      <c r="AF1152" s="1351"/>
      <c r="AG1152" s="1353"/>
      <c r="AH1152" s="1353"/>
      <c r="AI1152" s="1351"/>
      <c r="AJ1152" s="1353"/>
      <c r="AK1152" s="1354"/>
      <c r="AL1152" s="772"/>
    </row>
    <row r="1153" spans="1:38" ht="11.25" customHeight="1">
      <c r="A1153" t="s">
        <v>1019</v>
      </c>
      <c r="E1153" s="557"/>
      <c r="F1153" s="1340"/>
      <c r="G1153" s="1340"/>
      <c r="H1153" s="1340"/>
      <c r="I1153" s="1340"/>
      <c r="J1153" s="1340"/>
      <c r="K1153" s="1340"/>
      <c r="L1153" s="1340"/>
      <c r="M1153" s="1340"/>
      <c r="N1153" s="1340"/>
      <c r="O1153" s="1340"/>
      <c r="P1153" s="1340"/>
      <c r="Q1153" s="1340"/>
      <c r="R1153" s="1340"/>
      <c r="S1153" s="1340"/>
      <c r="T1153" s="1340"/>
      <c r="U1153" s="1340"/>
      <c r="V1153" s="1340"/>
      <c r="W1153" s="1340"/>
      <c r="X1153" s="1340"/>
      <c r="Y1153" s="1340"/>
      <c r="Z1153" s="181" t="s">
        <v>103</v>
      </c>
      <c r="AA1153" s="780" t="s">
        <v>89</v>
      </c>
      <c r="AB1153" s="779" t="s">
        <v>1142</v>
      </c>
      <c r="AC1153" s="237">
        <v>4311.4803263354397</v>
      </c>
      <c r="AD1153" s="779" t="str">
        <f>AB1153</f>
        <v xml:space="preserve">  Доход от взимания платы за негативное воздействие на работу централизованной системы водоотведения</v>
      </c>
      <c r="AE1153" s="237">
        <v>0</v>
      </c>
      <c r="AF1153" s="1351"/>
      <c r="AG1153" s="1353"/>
      <c r="AH1153" s="1353"/>
      <c r="AI1153" s="1351"/>
      <c r="AJ1153" s="1353"/>
      <c r="AK1153" s="1354"/>
      <c r="AL1153" s="772"/>
    </row>
    <row r="1154" spans="1:38" ht="11.25" customHeight="1">
      <c r="A1154" t="s">
        <v>1019</v>
      </c>
      <c r="E1154" s="557"/>
      <c r="F1154" s="1339"/>
      <c r="G1154" s="1340"/>
      <c r="H1154" s="1335" t="s">
        <v>1158</v>
      </c>
      <c r="I1154" s="1347"/>
      <c r="J1154" s="1360"/>
      <c r="K1154" s="1349"/>
      <c r="L1154" s="1079"/>
      <c r="M1154" s="1080"/>
      <c r="N1154" s="1355"/>
      <c r="O1154" s="1356"/>
      <c r="P1154" s="1359"/>
      <c r="Q1154" s="1308"/>
      <c r="R1154" s="1308"/>
      <c r="S1154" s="1361"/>
      <c r="T1154" s="1308"/>
      <c r="U1154" s="1308"/>
      <c r="V1154" s="1308"/>
      <c r="W1154" s="1308"/>
      <c r="X1154" s="1308"/>
      <c r="Y1154" s="1308"/>
      <c r="Z1154" s="229"/>
      <c r="AA1154" s="230"/>
      <c r="AB1154" s="44" t="s">
        <v>1059</v>
      </c>
      <c r="AC1154" s="231"/>
      <c r="AD1154" s="231"/>
      <c r="AE1154" s="246"/>
      <c r="AF1154" s="1350"/>
      <c r="AG1154" s="1352"/>
      <c r="AH1154" s="1352"/>
      <c r="AI1154" s="1350"/>
      <c r="AJ1154" s="1352"/>
      <c r="AK1154" s="1352"/>
      <c r="AL1154" s="772"/>
    </row>
    <row r="1155" spans="1:38" ht="11.25" customHeight="1">
      <c r="A1155" t="s">
        <v>1019</v>
      </c>
      <c r="E1155" s="557"/>
      <c r="F1155" s="1339"/>
      <c r="G1155" s="1340"/>
      <c r="H1155" s="1335" t="s">
        <v>1158</v>
      </c>
      <c r="I1155" s="1347"/>
      <c r="J1155" s="1360"/>
      <c r="K1155" s="1349"/>
      <c r="L1155" s="1079"/>
      <c r="M1155" s="1080"/>
      <c r="N1155" s="229"/>
      <c r="O1155" s="230"/>
      <c r="P1155" s="44" t="s">
        <v>1060</v>
      </c>
      <c r="Q1155" s="230"/>
      <c r="R1155" s="230"/>
      <c r="S1155" s="230"/>
      <c r="T1155" s="230"/>
      <c r="U1155" s="230"/>
      <c r="V1155" s="230"/>
      <c r="W1155" s="230"/>
      <c r="X1155" s="230"/>
      <c r="Y1155" s="230"/>
      <c r="Z1155" s="230"/>
      <c r="AA1155" s="230"/>
      <c r="AB1155" s="230"/>
      <c r="AC1155" s="230"/>
      <c r="AD1155" s="230"/>
      <c r="AE1155" s="247"/>
      <c r="AF1155" s="1350"/>
      <c r="AG1155" s="1352"/>
      <c r="AH1155" s="1352"/>
      <c r="AI1155" s="1350"/>
      <c r="AJ1155" s="1352"/>
      <c r="AK1155" s="1352"/>
      <c r="AL1155" s="772"/>
    </row>
    <row r="1156" spans="1:38" ht="12" customHeight="1">
      <c r="A1156" s="1030" t="s">
        <v>1019</v>
      </c>
      <c r="E1156" s="557"/>
      <c r="F1156" s="1341"/>
      <c r="G1156" s="775"/>
      <c r="H1156" s="775"/>
      <c r="I1156" s="1337" t="s">
        <v>1070</v>
      </c>
      <c r="J1156" s="1337"/>
      <c r="K1156" s="1337"/>
      <c r="L1156" s="776"/>
      <c r="M1156" s="776"/>
      <c r="N1156" s="777"/>
      <c r="O1156" s="777"/>
      <c r="P1156" s="777"/>
      <c r="Q1156" s="777"/>
      <c r="R1156" s="777"/>
      <c r="S1156" s="777"/>
      <c r="T1156" s="777"/>
      <c r="U1156" s="777"/>
      <c r="V1156" s="777"/>
      <c r="W1156" s="777"/>
      <c r="X1156" s="777"/>
      <c r="Y1156" s="777"/>
      <c r="Z1156" s="777"/>
      <c r="AA1156" s="777"/>
      <c r="AB1156" s="777"/>
      <c r="AC1156" s="777"/>
      <c r="AD1156" s="777"/>
      <c r="AE1156" s="777"/>
      <c r="AF1156" s="777"/>
      <c r="AG1156" s="776"/>
      <c r="AH1156" s="776"/>
      <c r="AI1156" s="777"/>
      <c r="AJ1156" s="776"/>
      <c r="AK1156" s="777"/>
      <c r="AL1156" s="772"/>
    </row>
    <row r="1157" spans="1:38" ht="0.75" customHeight="1">
      <c r="A1157" s="1030" t="s">
        <v>1019</v>
      </c>
      <c r="E1157" s="557"/>
      <c r="F1157" s="1338">
        <v>2025</v>
      </c>
      <c r="G1157" s="1335"/>
      <c r="H1157" s="1343" t="s">
        <v>384</v>
      </c>
      <c r="I1157" s="1344"/>
      <c r="J1157" s="1334"/>
      <c r="K1157" s="1334"/>
      <c r="L1157" s="1336"/>
      <c r="M1157" s="1190"/>
      <c r="N1157" s="214"/>
      <c r="O1157" s="215"/>
      <c r="P1157" s="214"/>
      <c r="Q1157" s="214"/>
      <c r="R1157" s="214"/>
      <c r="S1157" s="214"/>
      <c r="T1157" s="214"/>
      <c r="U1157" s="214"/>
      <c r="V1157" s="214"/>
      <c r="W1157" s="214"/>
      <c r="X1157" s="214"/>
      <c r="Y1157" s="214"/>
      <c r="Z1157" s="214"/>
      <c r="AA1157" s="214"/>
      <c r="AB1157" s="214"/>
      <c r="AC1157" s="214"/>
      <c r="AD1157" s="214"/>
      <c r="AE1157" s="214"/>
      <c r="AF1157" s="1342"/>
      <c r="AG1157" s="1336"/>
      <c r="AH1157" s="1336"/>
      <c r="AI1157" s="1342"/>
      <c r="AJ1157" s="1336"/>
      <c r="AK1157" s="1336"/>
      <c r="AL1157" s="772"/>
    </row>
    <row r="1158" spans="1:38" ht="0.75" customHeight="1">
      <c r="A1158" s="1030" t="s">
        <v>1019</v>
      </c>
      <c r="E1158" s="557"/>
      <c r="F1158" s="1338"/>
      <c r="G1158" s="1335"/>
      <c r="H1158" s="1343"/>
      <c r="I1158" s="1344"/>
      <c r="J1158" s="1334"/>
      <c r="K1158" s="1334"/>
      <c r="L1158" s="1336"/>
      <c r="M1158" s="1190"/>
      <c r="N1158" s="1345"/>
      <c r="O1158" s="1346"/>
      <c r="P1158" s="1331"/>
      <c r="Q1158" s="1334"/>
      <c r="R1158" s="1334"/>
      <c r="S1158" s="1334"/>
      <c r="T1158" s="1334"/>
      <c r="U1158" s="1334"/>
      <c r="V1158" s="1334"/>
      <c r="W1158" s="1334"/>
      <c r="X1158" s="1334"/>
      <c r="Y1158" s="1334"/>
      <c r="Z1158" s="216"/>
      <c r="AA1158" s="217"/>
      <c r="AB1158" s="217"/>
      <c r="AC1158" s="218"/>
      <c r="AD1158" s="218"/>
      <c r="AE1158" s="219"/>
      <c r="AF1158" s="1342"/>
      <c r="AG1158" s="1336"/>
      <c r="AH1158" s="1336"/>
      <c r="AI1158" s="1342"/>
      <c r="AJ1158" s="1336"/>
      <c r="AK1158" s="1336"/>
      <c r="AL1158" s="772"/>
    </row>
    <row r="1159" spans="1:38" ht="0.75" customHeight="1">
      <c r="A1159" s="1030" t="s">
        <v>1019</v>
      </c>
      <c r="E1159" s="557"/>
      <c r="F1159" s="1338"/>
      <c r="G1159" s="1335"/>
      <c r="H1159" s="1343"/>
      <c r="I1159" s="1344"/>
      <c r="J1159" s="1334"/>
      <c r="K1159" s="1334"/>
      <c r="L1159" s="1336"/>
      <c r="M1159" s="1190"/>
      <c r="N1159" s="1345"/>
      <c r="O1159" s="1346"/>
      <c r="P1159" s="1332"/>
      <c r="Q1159" s="1334"/>
      <c r="R1159" s="1334"/>
      <c r="S1159" s="1334"/>
      <c r="T1159" s="1334"/>
      <c r="U1159" s="1334"/>
      <c r="V1159" s="1334"/>
      <c r="W1159" s="1334"/>
      <c r="X1159" s="1334"/>
      <c r="Y1159" s="1334"/>
      <c r="AA1159" s="773"/>
      <c r="AB1159" s="774"/>
      <c r="AC1159" s="220"/>
      <c r="AD1159" s="774"/>
      <c r="AE1159" s="220"/>
      <c r="AF1159" s="1342"/>
      <c r="AG1159" s="1336"/>
      <c r="AH1159" s="1336"/>
      <c r="AI1159" s="1342"/>
      <c r="AJ1159" s="1336"/>
      <c r="AK1159" s="1336"/>
      <c r="AL1159" s="772"/>
    </row>
    <row r="1160" spans="1:38" ht="0.75" customHeight="1">
      <c r="A1160" s="1030" t="s">
        <v>1019</v>
      </c>
      <c r="E1160" s="557"/>
      <c r="F1160" s="1338"/>
      <c r="G1160" s="1335"/>
      <c r="H1160" s="1343"/>
      <c r="I1160" s="1344"/>
      <c r="J1160" s="1334"/>
      <c r="K1160" s="1334"/>
      <c r="L1160" s="1336"/>
      <c r="M1160" s="1190"/>
      <c r="N1160" s="1345"/>
      <c r="O1160" s="1346"/>
      <c r="P1160" s="1333"/>
      <c r="Q1160" s="1334"/>
      <c r="R1160" s="1334"/>
      <c r="S1160" s="1334"/>
      <c r="T1160" s="1334"/>
      <c r="U1160" s="1334"/>
      <c r="V1160" s="1334"/>
      <c r="W1160" s="1334"/>
      <c r="X1160" s="1334"/>
      <c r="Y1160" s="1334"/>
      <c r="Z1160" s="216"/>
      <c r="AA1160" s="217"/>
      <c r="AB1160" s="221"/>
      <c r="AC1160" s="218"/>
      <c r="AD1160" s="218"/>
      <c r="AE1160" s="222"/>
      <c r="AF1160" s="1342"/>
      <c r="AG1160" s="1336"/>
      <c r="AH1160" s="1336"/>
      <c r="AI1160" s="1342"/>
      <c r="AJ1160" s="1336"/>
      <c r="AK1160" s="1336"/>
      <c r="AL1160" s="772"/>
    </row>
    <row r="1161" spans="1:38" ht="0.75" customHeight="1">
      <c r="A1161" s="1030" t="s">
        <v>1019</v>
      </c>
      <c r="E1161" s="557"/>
      <c r="F1161" s="1338"/>
      <c r="G1161" s="1335"/>
      <c r="H1161" s="1343"/>
      <c r="I1161" s="1344"/>
      <c r="J1161" s="1334"/>
      <c r="K1161" s="1334"/>
      <c r="L1161" s="1336"/>
      <c r="M1161" s="1190"/>
      <c r="N1161" s="217"/>
      <c r="O1161" s="217"/>
      <c r="P1161" s="221"/>
      <c r="Q1161" s="217"/>
      <c r="R1161" s="217"/>
      <c r="S1161" s="217"/>
      <c r="T1161" s="217"/>
      <c r="U1161" s="217"/>
      <c r="V1161" s="217"/>
      <c r="W1161" s="217"/>
      <c r="X1161" s="217"/>
      <c r="Y1161" s="217"/>
      <c r="Z1161" s="217"/>
      <c r="AA1161" s="217"/>
      <c r="AB1161" s="217"/>
      <c r="AC1161" s="217"/>
      <c r="AD1161" s="217"/>
      <c r="AE1161" s="223"/>
      <c r="AF1161" s="1342"/>
      <c r="AG1161" s="1336"/>
      <c r="AH1161" s="1336"/>
      <c r="AI1161" s="1342"/>
      <c r="AJ1161" s="1336"/>
      <c r="AK1161" s="1336"/>
      <c r="AL1161" s="772"/>
    </row>
    <row r="1162" spans="1:38" ht="11.25" customHeight="1">
      <c r="A1162" t="s">
        <v>1019</v>
      </c>
      <c r="B1162" t="s">
        <v>22</v>
      </c>
      <c r="E1162" s="557"/>
      <c r="F1162" s="1339"/>
      <c r="G1162" s="1325" t="s">
        <v>103</v>
      </c>
      <c r="H1162" s="1335" t="s">
        <v>114</v>
      </c>
      <c r="I1162" s="1347" t="s">
        <v>1071</v>
      </c>
      <c r="J1162" s="1360" t="s">
        <v>22</v>
      </c>
      <c r="K1162" s="1349" t="s">
        <v>1104</v>
      </c>
      <c r="L1162" s="1079" t="s">
        <v>61</v>
      </c>
      <c r="M1162" s="1364" t="s">
        <v>1018</v>
      </c>
      <c r="N1162" s="242"/>
      <c r="O1162" s="243" t="s">
        <v>384</v>
      </c>
      <c r="P1162" s="244"/>
      <c r="Q1162" s="244"/>
      <c r="R1162" s="244"/>
      <c r="S1162" s="244"/>
      <c r="T1162" s="244"/>
      <c r="U1162" s="244"/>
      <c r="V1162" s="244"/>
      <c r="W1162" s="244"/>
      <c r="X1162" s="244"/>
      <c r="Y1162" s="244"/>
      <c r="Z1162" s="244"/>
      <c r="AA1162" s="244"/>
      <c r="AB1162" s="244"/>
      <c r="AC1162" s="244"/>
      <c r="AD1162" s="244"/>
      <c r="AE1162" s="244"/>
      <c r="AF1162" s="1350">
        <v>2</v>
      </c>
      <c r="AG1162" s="1352" t="s">
        <v>1055</v>
      </c>
      <c r="AH1162" s="1352" t="s">
        <v>1105</v>
      </c>
      <c r="AI1162" s="1350">
        <v>2</v>
      </c>
      <c r="AJ1162" s="1352" t="s">
        <v>1055</v>
      </c>
      <c r="AK1162" s="1352" t="s">
        <v>1105</v>
      </c>
      <c r="AL1162" s="772"/>
    </row>
    <row r="1163" spans="1:38" ht="11.25" customHeight="1">
      <c r="A1163" t="s">
        <v>1019</v>
      </c>
      <c r="E1163" s="557"/>
      <c r="F1163" s="1339"/>
      <c r="G1163" s="1340"/>
      <c r="H1163" s="1335" t="s">
        <v>384</v>
      </c>
      <c r="I1163" s="1347"/>
      <c r="J1163" s="1360"/>
      <c r="K1163" s="1349"/>
      <c r="L1163" s="1079"/>
      <c r="M1163" s="1364"/>
      <c r="N1163" s="1355"/>
      <c r="O1163" s="1356">
        <v>1</v>
      </c>
      <c r="P1163" s="1357" t="s">
        <v>61</v>
      </c>
      <c r="Q1163" s="1348" t="s">
        <v>1074</v>
      </c>
      <c r="R1163" s="1362" t="s">
        <v>1075</v>
      </c>
      <c r="S1163" s="1362" t="s">
        <v>99</v>
      </c>
      <c r="T1163" s="1362" t="s">
        <v>99</v>
      </c>
      <c r="U1163" s="1362" t="s">
        <v>100</v>
      </c>
      <c r="V1163" s="1362" t="s">
        <v>1066</v>
      </c>
      <c r="W1163" s="1362" t="s">
        <v>1067</v>
      </c>
      <c r="X1163" s="1362" t="s">
        <v>1076</v>
      </c>
      <c r="Y1163" s="1362" t="s">
        <v>1077</v>
      </c>
      <c r="Z1163" s="229"/>
      <c r="AA1163" s="230"/>
      <c r="AB1163" s="230"/>
      <c r="AC1163" s="231"/>
      <c r="AD1163" s="231"/>
      <c r="AE1163" s="245"/>
      <c r="AF1163" s="1350"/>
      <c r="AG1163" s="1352"/>
      <c r="AH1163" s="1352"/>
      <c r="AI1163" s="1350"/>
      <c r="AJ1163" s="1352"/>
      <c r="AK1163" s="1352"/>
      <c r="AL1163" s="772"/>
    </row>
    <row r="1164" spans="1:38" ht="11.25" customHeight="1">
      <c r="A1164" t="s">
        <v>1019</v>
      </c>
      <c r="E1164" s="557"/>
      <c r="F1164" s="1339"/>
      <c r="G1164" s="1340"/>
      <c r="H1164" s="1335" t="s">
        <v>384</v>
      </c>
      <c r="I1164" s="1347"/>
      <c r="J1164" s="1360"/>
      <c r="K1164" s="1349"/>
      <c r="L1164" s="1079"/>
      <c r="M1164" s="1364"/>
      <c r="N1164" s="1355"/>
      <c r="O1164" s="1356"/>
      <c r="P1164" s="1358"/>
      <c r="Q1164" s="1348"/>
      <c r="R1164" s="1308"/>
      <c r="S1164" s="1361"/>
      <c r="T1164" s="1308"/>
      <c r="U1164" s="1308"/>
      <c r="V1164" s="1308"/>
      <c r="W1164" s="1308"/>
      <c r="X1164" s="1308"/>
      <c r="Y1164" s="1308"/>
      <c r="AA1164" s="778">
        <v>1</v>
      </c>
      <c r="AB1164" s="779" t="s">
        <v>1119</v>
      </c>
      <c r="AC1164" s="237">
        <v>113860.76246271101</v>
      </c>
      <c r="AD1164" s="779" t="str">
        <f>AB1164</f>
        <v xml:space="preserve">  Прибыль направляемая на инвестиции</v>
      </c>
      <c r="AE1164" s="237">
        <v>0</v>
      </c>
      <c r="AF1164" s="1350"/>
      <c r="AG1164" s="1352"/>
      <c r="AH1164" s="1352"/>
      <c r="AI1164" s="1350"/>
      <c r="AJ1164" s="1352"/>
      <c r="AK1164" s="1352"/>
      <c r="AL1164" s="772"/>
    </row>
    <row r="1165" spans="1:38" ht="11.25" customHeight="1">
      <c r="A1165" t="s">
        <v>1019</v>
      </c>
      <c r="E1165" s="557"/>
      <c r="F1165" s="1340"/>
      <c r="G1165" s="1340"/>
      <c r="H1165" s="1340"/>
      <c r="I1165" s="1340"/>
      <c r="J1165" s="1340"/>
      <c r="K1165" s="1340"/>
      <c r="L1165" s="1340"/>
      <c r="M1165" s="1365"/>
      <c r="N1165" s="1340"/>
      <c r="O1165" s="1340"/>
      <c r="P1165" s="1340"/>
      <c r="Q1165" s="1340"/>
      <c r="R1165" s="1340"/>
      <c r="S1165" s="1340"/>
      <c r="T1165" s="1340"/>
      <c r="U1165" s="1340"/>
      <c r="V1165" s="1340"/>
      <c r="W1165" s="1340"/>
      <c r="X1165" s="1340"/>
      <c r="Y1165" s="1340"/>
      <c r="Z1165" s="181" t="s">
        <v>103</v>
      </c>
      <c r="AA1165" s="780" t="s">
        <v>102</v>
      </c>
      <c r="AB1165" s="779" t="s">
        <v>1120</v>
      </c>
      <c r="AC1165" s="237">
        <v>39120.2483126589</v>
      </c>
      <c r="AD1165" s="779" t="str">
        <f>AB1165</f>
        <v xml:space="preserve">     Прочие амортизационные отчисления</v>
      </c>
      <c r="AE1165" s="237">
        <v>0</v>
      </c>
      <c r="AF1165" s="1351"/>
      <c r="AG1165" s="1353"/>
      <c r="AH1165" s="1353"/>
      <c r="AI1165" s="1351"/>
      <c r="AJ1165" s="1353"/>
      <c r="AK1165" s="1354"/>
      <c r="AL1165" s="772"/>
    </row>
    <row r="1166" spans="1:38" ht="11.25" customHeight="1">
      <c r="A1166" t="s">
        <v>1019</v>
      </c>
      <c r="E1166" s="557"/>
      <c r="F1166" s="1340"/>
      <c r="G1166" s="1340"/>
      <c r="H1166" s="1340"/>
      <c r="I1166" s="1340"/>
      <c r="J1166" s="1340"/>
      <c r="K1166" s="1340"/>
      <c r="L1166" s="1340"/>
      <c r="M1166" s="1365"/>
      <c r="N1166" s="1340"/>
      <c r="O1166" s="1340"/>
      <c r="P1166" s="1340"/>
      <c r="Q1166" s="1340"/>
      <c r="R1166" s="1340"/>
      <c r="S1166" s="1340"/>
      <c r="T1166" s="1340"/>
      <c r="U1166" s="1340"/>
      <c r="V1166" s="1340"/>
      <c r="W1166" s="1340"/>
      <c r="X1166" s="1340"/>
      <c r="Y1166" s="1340"/>
      <c r="Z1166" s="181" t="s">
        <v>103</v>
      </c>
      <c r="AA1166" s="780" t="s">
        <v>89</v>
      </c>
      <c r="AB1166" s="779" t="s">
        <v>1142</v>
      </c>
      <c r="AC1166" s="237">
        <v>31093.9729268519</v>
      </c>
      <c r="AD1166" s="779" t="str">
        <f>AB1166</f>
        <v xml:space="preserve">  Доход от взимания платы за негативное воздействие на работу централизованной системы водоотведения</v>
      </c>
      <c r="AE1166" s="237">
        <v>0</v>
      </c>
      <c r="AF1166" s="1351"/>
      <c r="AG1166" s="1353"/>
      <c r="AH1166" s="1353"/>
      <c r="AI1166" s="1351"/>
      <c r="AJ1166" s="1353"/>
      <c r="AK1166" s="1354"/>
      <c r="AL1166" s="772"/>
    </row>
    <row r="1167" spans="1:38" ht="11.25" customHeight="1">
      <c r="A1167" t="s">
        <v>1019</v>
      </c>
      <c r="E1167" s="557"/>
      <c r="F1167" s="1339"/>
      <c r="G1167" s="1340"/>
      <c r="H1167" s="1335" t="s">
        <v>384</v>
      </c>
      <c r="I1167" s="1347"/>
      <c r="J1167" s="1360"/>
      <c r="K1167" s="1349"/>
      <c r="L1167" s="1079"/>
      <c r="M1167" s="1364"/>
      <c r="N1167" s="1355"/>
      <c r="O1167" s="1356"/>
      <c r="P1167" s="1359"/>
      <c r="Q1167" s="1348"/>
      <c r="R1167" s="1308"/>
      <c r="S1167" s="1361"/>
      <c r="T1167" s="1308"/>
      <c r="U1167" s="1308"/>
      <c r="V1167" s="1308"/>
      <c r="W1167" s="1308"/>
      <c r="X1167" s="1308"/>
      <c r="Y1167" s="1308"/>
      <c r="Z1167" s="229"/>
      <c r="AA1167" s="230"/>
      <c r="AB1167" s="44" t="s">
        <v>1059</v>
      </c>
      <c r="AC1167" s="231"/>
      <c r="AD1167" s="231"/>
      <c r="AE1167" s="246"/>
      <c r="AF1167" s="1350"/>
      <c r="AG1167" s="1352"/>
      <c r="AH1167" s="1352"/>
      <c r="AI1167" s="1350"/>
      <c r="AJ1167" s="1352"/>
      <c r="AK1167" s="1352"/>
      <c r="AL1167" s="772"/>
    </row>
    <row r="1168" spans="1:38" ht="11.25" customHeight="1">
      <c r="A1168" t="s">
        <v>1019</v>
      </c>
      <c r="E1168" s="557"/>
      <c r="F1168" s="1339"/>
      <c r="G1168" s="1340"/>
      <c r="H1168" s="1335" t="s">
        <v>384</v>
      </c>
      <c r="I1168" s="1347"/>
      <c r="J1168" s="1360"/>
      <c r="K1168" s="1349"/>
      <c r="L1168" s="1079"/>
      <c r="M1168" s="1364"/>
      <c r="N1168" s="229"/>
      <c r="O1168" s="230"/>
      <c r="P1168" s="44" t="s">
        <v>1060</v>
      </c>
      <c r="Q1168" s="230"/>
      <c r="R1168" s="230"/>
      <c r="S1168" s="230"/>
      <c r="T1168" s="230"/>
      <c r="U1168" s="230"/>
      <c r="V1168" s="230"/>
      <c r="W1168" s="230"/>
      <c r="X1168" s="230"/>
      <c r="Y1168" s="230"/>
      <c r="Z1168" s="230"/>
      <c r="AA1168" s="230"/>
      <c r="AB1168" s="230"/>
      <c r="AC1168" s="230"/>
      <c r="AD1168" s="230"/>
      <c r="AE1168" s="247"/>
      <c r="AF1168" s="1350"/>
      <c r="AG1168" s="1352"/>
      <c r="AH1168" s="1352"/>
      <c r="AI1168" s="1350"/>
      <c r="AJ1168" s="1352"/>
      <c r="AK1168" s="1352"/>
      <c r="AL1168" s="772"/>
    </row>
    <row r="1169" spans="1:38" ht="11.25" customHeight="1">
      <c r="A1169" t="s">
        <v>1019</v>
      </c>
      <c r="B1169" t="s">
        <v>22</v>
      </c>
      <c r="E1169" s="557"/>
      <c r="F1169" s="1339"/>
      <c r="G1169" s="1325" t="s">
        <v>103</v>
      </c>
      <c r="H1169" s="1335" t="s">
        <v>102</v>
      </c>
      <c r="I1169" s="1347" t="s">
        <v>1071</v>
      </c>
      <c r="J1169" s="1360" t="s">
        <v>22</v>
      </c>
      <c r="K1169" s="1349" t="s">
        <v>1151</v>
      </c>
      <c r="L1169" s="1079" t="s">
        <v>19</v>
      </c>
      <c r="M1169" s="1080"/>
      <c r="N1169" s="242"/>
      <c r="O1169" s="243" t="s">
        <v>384</v>
      </c>
      <c r="P1169" s="244"/>
      <c r="Q1169" s="244"/>
      <c r="R1169" s="244"/>
      <c r="S1169" s="244"/>
      <c r="T1169" s="244"/>
      <c r="U1169" s="244"/>
      <c r="V1169" s="244"/>
      <c r="W1169" s="244"/>
      <c r="X1169" s="244"/>
      <c r="Y1169" s="244"/>
      <c r="Z1169" s="244"/>
      <c r="AA1169" s="244"/>
      <c r="AB1169" s="244"/>
      <c r="AC1169" s="244"/>
      <c r="AD1169" s="244"/>
      <c r="AE1169" s="244"/>
      <c r="AF1169" s="1350">
        <v>1</v>
      </c>
      <c r="AG1169" s="1352" t="s">
        <v>1055</v>
      </c>
      <c r="AH1169" s="1352" t="s">
        <v>1152</v>
      </c>
      <c r="AI1169" s="1350">
        <v>1</v>
      </c>
      <c r="AJ1169" s="1352" t="s">
        <v>1055</v>
      </c>
      <c r="AK1169" s="1352" t="s">
        <v>1152</v>
      </c>
      <c r="AL1169" s="772"/>
    </row>
    <row r="1170" spans="1:38" ht="11.25" customHeight="1">
      <c r="A1170" t="s">
        <v>1019</v>
      </c>
      <c r="E1170" s="557"/>
      <c r="F1170" s="1339"/>
      <c r="G1170" s="1340"/>
      <c r="H1170" s="1335" t="s">
        <v>114</v>
      </c>
      <c r="I1170" s="1347"/>
      <c r="J1170" s="1360"/>
      <c r="K1170" s="1349"/>
      <c r="L1170" s="1079"/>
      <c r="M1170" s="1080"/>
      <c r="N1170" s="1355"/>
      <c r="O1170" s="1356">
        <v>1</v>
      </c>
      <c r="P1170" s="1357" t="s">
        <v>19</v>
      </c>
      <c r="Q1170" s="1308" t="s">
        <v>22</v>
      </c>
      <c r="R1170" s="1308" t="s">
        <v>22</v>
      </c>
      <c r="S1170" s="1308" t="s">
        <v>22</v>
      </c>
      <c r="T1170" s="1308" t="s">
        <v>22</v>
      </c>
      <c r="U1170" s="1308" t="s">
        <v>22</v>
      </c>
      <c r="V1170" s="1308" t="s">
        <v>22</v>
      </c>
      <c r="W1170" s="1308" t="s">
        <v>22</v>
      </c>
      <c r="X1170" s="1308" t="s">
        <v>22</v>
      </c>
      <c r="Y1170" s="1308"/>
      <c r="Z1170" s="229"/>
      <c r="AA1170" s="230"/>
      <c r="AB1170" s="230"/>
      <c r="AC1170" s="231"/>
      <c r="AD1170" s="231"/>
      <c r="AE1170" s="245"/>
      <c r="AF1170" s="1350"/>
      <c r="AG1170" s="1352"/>
      <c r="AH1170" s="1352"/>
      <c r="AI1170" s="1350"/>
      <c r="AJ1170" s="1352"/>
      <c r="AK1170" s="1352"/>
      <c r="AL1170" s="772"/>
    </row>
    <row r="1171" spans="1:38" ht="11.25" customHeight="1">
      <c r="A1171" t="s">
        <v>1019</v>
      </c>
      <c r="E1171" s="557"/>
      <c r="F1171" s="1339"/>
      <c r="G1171" s="1340"/>
      <c r="H1171" s="1335" t="s">
        <v>114</v>
      </c>
      <c r="I1171" s="1347"/>
      <c r="J1171" s="1360"/>
      <c r="K1171" s="1349"/>
      <c r="L1171" s="1079"/>
      <c r="M1171" s="1080"/>
      <c r="N1171" s="1355"/>
      <c r="O1171" s="1356"/>
      <c r="P1171" s="1358"/>
      <c r="Q1171" s="1308"/>
      <c r="R1171" s="1308"/>
      <c r="S1171" s="1361"/>
      <c r="T1171" s="1308"/>
      <c r="U1171" s="1308"/>
      <c r="V1171" s="1308"/>
      <c r="W1171" s="1308"/>
      <c r="X1171" s="1308"/>
      <c r="Y1171" s="1308"/>
      <c r="AA1171" s="778">
        <v>1</v>
      </c>
      <c r="AB1171" s="779" t="s">
        <v>1119</v>
      </c>
      <c r="AC1171" s="237">
        <v>62579.366731263603</v>
      </c>
      <c r="AD1171" s="779" t="str">
        <f>AB1171</f>
        <v xml:space="preserve">  Прибыль направляемая на инвестиции</v>
      </c>
      <c r="AE1171" s="237">
        <v>0</v>
      </c>
      <c r="AF1171" s="1350"/>
      <c r="AG1171" s="1352"/>
      <c r="AH1171" s="1352"/>
      <c r="AI1171" s="1350"/>
      <c r="AJ1171" s="1352"/>
      <c r="AK1171" s="1352"/>
      <c r="AL1171" s="772"/>
    </row>
    <row r="1172" spans="1:38" ht="11.25" customHeight="1">
      <c r="A1172" t="s">
        <v>1019</v>
      </c>
      <c r="E1172" s="557"/>
      <c r="F1172" s="1340"/>
      <c r="G1172" s="1340"/>
      <c r="H1172" s="1340"/>
      <c r="I1172" s="1340"/>
      <c r="J1172" s="1340"/>
      <c r="K1172" s="1340"/>
      <c r="L1172" s="1340"/>
      <c r="M1172" s="1340"/>
      <c r="N1172" s="1340"/>
      <c r="O1172" s="1340"/>
      <c r="P1172" s="1340"/>
      <c r="Q1172" s="1340"/>
      <c r="R1172" s="1340"/>
      <c r="S1172" s="1340"/>
      <c r="T1172" s="1340"/>
      <c r="U1172" s="1340"/>
      <c r="V1172" s="1340"/>
      <c r="W1172" s="1340"/>
      <c r="X1172" s="1340"/>
      <c r="Y1172" s="1340"/>
      <c r="Z1172" s="181" t="s">
        <v>103</v>
      </c>
      <c r="AA1172" s="780" t="s">
        <v>102</v>
      </c>
      <c r="AB1172" s="779" t="s">
        <v>1120</v>
      </c>
      <c r="AC1172" s="237">
        <v>21501.000984230399</v>
      </c>
      <c r="AD1172" s="779" t="str">
        <f>AB1172</f>
        <v xml:space="preserve">     Прочие амортизационные отчисления</v>
      </c>
      <c r="AE1172" s="237">
        <v>0</v>
      </c>
      <c r="AF1172" s="1351"/>
      <c r="AG1172" s="1353"/>
      <c r="AH1172" s="1353"/>
      <c r="AI1172" s="1351"/>
      <c r="AJ1172" s="1353"/>
      <c r="AK1172" s="1354"/>
      <c r="AL1172" s="772"/>
    </row>
    <row r="1173" spans="1:38" ht="11.25" customHeight="1">
      <c r="A1173" t="s">
        <v>1019</v>
      </c>
      <c r="E1173" s="557"/>
      <c r="F1173" s="1340"/>
      <c r="G1173" s="1340"/>
      <c r="H1173" s="1340"/>
      <c r="I1173" s="1340"/>
      <c r="J1173" s="1340"/>
      <c r="K1173" s="1340"/>
      <c r="L1173" s="1340"/>
      <c r="M1173" s="1340"/>
      <c r="N1173" s="1340"/>
      <c r="O1173" s="1340"/>
      <c r="P1173" s="1340"/>
      <c r="Q1173" s="1340"/>
      <c r="R1173" s="1340"/>
      <c r="S1173" s="1340"/>
      <c r="T1173" s="1340"/>
      <c r="U1173" s="1340"/>
      <c r="V1173" s="1340"/>
      <c r="W1173" s="1340"/>
      <c r="X1173" s="1340"/>
      <c r="Y1173" s="1340"/>
      <c r="Z1173" s="181" t="s">
        <v>103</v>
      </c>
      <c r="AA1173" s="780" t="s">
        <v>89</v>
      </c>
      <c r="AB1173" s="779" t="s">
        <v>1142</v>
      </c>
      <c r="AC1173" s="237">
        <v>17089.6548805274</v>
      </c>
      <c r="AD1173" s="779" t="str">
        <f>AB1173</f>
        <v xml:space="preserve">  Доход от взимания платы за негативное воздействие на работу централизованной системы водоотведения</v>
      </c>
      <c r="AE1173" s="237">
        <v>0</v>
      </c>
      <c r="AF1173" s="1351"/>
      <c r="AG1173" s="1353"/>
      <c r="AH1173" s="1353"/>
      <c r="AI1173" s="1351"/>
      <c r="AJ1173" s="1353"/>
      <c r="AK1173" s="1354"/>
      <c r="AL1173" s="772"/>
    </row>
    <row r="1174" spans="1:38" ht="11.25" customHeight="1">
      <c r="A1174" t="s">
        <v>1019</v>
      </c>
      <c r="E1174" s="557"/>
      <c r="F1174" s="1339"/>
      <c r="G1174" s="1340"/>
      <c r="H1174" s="1335" t="s">
        <v>114</v>
      </c>
      <c r="I1174" s="1347"/>
      <c r="J1174" s="1360"/>
      <c r="K1174" s="1349"/>
      <c r="L1174" s="1079"/>
      <c r="M1174" s="1080"/>
      <c r="N1174" s="1355"/>
      <c r="O1174" s="1356"/>
      <c r="P1174" s="1359"/>
      <c r="Q1174" s="1308"/>
      <c r="R1174" s="1308"/>
      <c r="S1174" s="1361"/>
      <c r="T1174" s="1308"/>
      <c r="U1174" s="1308"/>
      <c r="V1174" s="1308"/>
      <c r="W1174" s="1308"/>
      <c r="X1174" s="1308"/>
      <c r="Y1174" s="1308"/>
      <c r="Z1174" s="229"/>
      <c r="AA1174" s="230"/>
      <c r="AB1174" s="44" t="s">
        <v>1059</v>
      </c>
      <c r="AC1174" s="231"/>
      <c r="AD1174" s="231"/>
      <c r="AE1174" s="246"/>
      <c r="AF1174" s="1350"/>
      <c r="AG1174" s="1352"/>
      <c r="AH1174" s="1352"/>
      <c r="AI1174" s="1350"/>
      <c r="AJ1174" s="1352"/>
      <c r="AK1174" s="1352"/>
      <c r="AL1174" s="772"/>
    </row>
    <row r="1175" spans="1:38" ht="11.25" customHeight="1">
      <c r="A1175" t="s">
        <v>1019</v>
      </c>
      <c r="E1175" s="557"/>
      <c r="F1175" s="1339"/>
      <c r="G1175" s="1340"/>
      <c r="H1175" s="1335" t="s">
        <v>114</v>
      </c>
      <c r="I1175" s="1347"/>
      <c r="J1175" s="1360"/>
      <c r="K1175" s="1349"/>
      <c r="L1175" s="1079"/>
      <c r="M1175" s="1080"/>
      <c r="N1175" s="229"/>
      <c r="O1175" s="230"/>
      <c r="P1175" s="44" t="s">
        <v>1060</v>
      </c>
      <c r="Q1175" s="230"/>
      <c r="R1175" s="230"/>
      <c r="S1175" s="230"/>
      <c r="T1175" s="230"/>
      <c r="U1175" s="230"/>
      <c r="V1175" s="230"/>
      <c r="W1175" s="230"/>
      <c r="X1175" s="230"/>
      <c r="Y1175" s="230"/>
      <c r="Z1175" s="230"/>
      <c r="AA1175" s="230"/>
      <c r="AB1175" s="230"/>
      <c r="AC1175" s="230"/>
      <c r="AD1175" s="230"/>
      <c r="AE1175" s="247"/>
      <c r="AF1175" s="1350"/>
      <c r="AG1175" s="1352"/>
      <c r="AH1175" s="1352"/>
      <c r="AI1175" s="1350"/>
      <c r="AJ1175" s="1352"/>
      <c r="AK1175" s="1352"/>
      <c r="AL1175" s="772"/>
    </row>
    <row r="1176" spans="1:38" ht="11.25" customHeight="1">
      <c r="A1176" t="s">
        <v>1019</v>
      </c>
      <c r="B1176" t="s">
        <v>1051</v>
      </c>
      <c r="E1176" s="557"/>
      <c r="F1176" s="1339"/>
      <c r="G1176" s="1325" t="s">
        <v>103</v>
      </c>
      <c r="H1176" s="1335" t="s">
        <v>89</v>
      </c>
      <c r="I1176" s="1347" t="s">
        <v>1052</v>
      </c>
      <c r="J1176" s="1363" t="s">
        <v>1053</v>
      </c>
      <c r="K1176" s="1349" t="s">
        <v>1102</v>
      </c>
      <c r="L1176" s="1079" t="s">
        <v>61</v>
      </c>
      <c r="M1176" s="1364" t="s">
        <v>1018</v>
      </c>
      <c r="N1176" s="242"/>
      <c r="O1176" s="243" t="s">
        <v>384</v>
      </c>
      <c r="P1176" s="244"/>
      <c r="Q1176" s="244"/>
      <c r="R1176" s="244"/>
      <c r="S1176" s="244"/>
      <c r="T1176" s="244"/>
      <c r="U1176" s="244"/>
      <c r="V1176" s="244"/>
      <c r="W1176" s="244"/>
      <c r="X1176" s="244"/>
      <c r="Y1176" s="244"/>
      <c r="Z1176" s="244"/>
      <c r="AA1176" s="244"/>
      <c r="AB1176" s="244"/>
      <c r="AC1176" s="244"/>
      <c r="AD1176" s="244"/>
      <c r="AE1176" s="244"/>
      <c r="AF1176" s="1350">
        <v>3</v>
      </c>
      <c r="AG1176" s="1352" t="s">
        <v>1055</v>
      </c>
      <c r="AH1176" s="1352" t="s">
        <v>1103</v>
      </c>
      <c r="AI1176" s="1350">
        <v>3</v>
      </c>
      <c r="AJ1176" s="1352" t="s">
        <v>1055</v>
      </c>
      <c r="AK1176" s="1352" t="s">
        <v>1103</v>
      </c>
      <c r="AL1176" s="772"/>
    </row>
    <row r="1177" spans="1:38" ht="11.25" customHeight="1">
      <c r="A1177" t="s">
        <v>1019</v>
      </c>
      <c r="E1177" s="557"/>
      <c r="F1177" s="1339"/>
      <c r="G1177" s="1340"/>
      <c r="H1177" s="1335" t="s">
        <v>102</v>
      </c>
      <c r="I1177" s="1347"/>
      <c r="J1177" s="1363"/>
      <c r="K1177" s="1349"/>
      <c r="L1177" s="1079"/>
      <c r="M1177" s="1364"/>
      <c r="N1177" s="1355"/>
      <c r="O1177" s="1356">
        <v>1</v>
      </c>
      <c r="P1177" s="1357" t="s">
        <v>19</v>
      </c>
      <c r="Q1177" s="1308" t="s">
        <v>22</v>
      </c>
      <c r="R1177" s="1308" t="s">
        <v>22</v>
      </c>
      <c r="S1177" s="1308" t="s">
        <v>22</v>
      </c>
      <c r="T1177" s="1308" t="s">
        <v>22</v>
      </c>
      <c r="U1177" s="1308" t="s">
        <v>22</v>
      </c>
      <c r="V1177" s="1308" t="s">
        <v>22</v>
      </c>
      <c r="W1177" s="1308" t="s">
        <v>22</v>
      </c>
      <c r="X1177" s="1308" t="s">
        <v>22</v>
      </c>
      <c r="Y1177" s="1308"/>
      <c r="Z1177" s="229"/>
      <c r="AA1177" s="230"/>
      <c r="AB1177" s="230"/>
      <c r="AC1177" s="231"/>
      <c r="AD1177" s="231"/>
      <c r="AE1177" s="245"/>
      <c r="AF1177" s="1350"/>
      <c r="AG1177" s="1352"/>
      <c r="AH1177" s="1352"/>
      <c r="AI1177" s="1350"/>
      <c r="AJ1177" s="1352"/>
      <c r="AK1177" s="1352"/>
      <c r="AL1177" s="772"/>
    </row>
    <row r="1178" spans="1:38" ht="11.25" customHeight="1">
      <c r="A1178" t="s">
        <v>1019</v>
      </c>
      <c r="E1178" s="557"/>
      <c r="F1178" s="1339"/>
      <c r="G1178" s="1340"/>
      <c r="H1178" s="1335" t="s">
        <v>102</v>
      </c>
      <c r="I1178" s="1347"/>
      <c r="J1178" s="1363"/>
      <c r="K1178" s="1349"/>
      <c r="L1178" s="1079"/>
      <c r="M1178" s="1364"/>
      <c r="N1178" s="1355"/>
      <c r="O1178" s="1356"/>
      <c r="P1178" s="1358"/>
      <c r="Q1178" s="1308"/>
      <c r="R1178" s="1308"/>
      <c r="S1178" s="1361"/>
      <c r="T1178" s="1308"/>
      <c r="U1178" s="1308"/>
      <c r="V1178" s="1308"/>
      <c r="W1178" s="1308"/>
      <c r="X1178" s="1308"/>
      <c r="Y1178" s="1308"/>
      <c r="AA1178" s="778">
        <v>1</v>
      </c>
      <c r="AB1178" s="779" t="s">
        <v>1119</v>
      </c>
      <c r="AC1178" s="237">
        <v>9227.6929964500905</v>
      </c>
      <c r="AD1178" s="779" t="str">
        <f>AB1178</f>
        <v xml:space="preserve">  Прибыль направляемая на инвестиции</v>
      </c>
      <c r="AE1178" s="237">
        <v>0</v>
      </c>
      <c r="AF1178" s="1350"/>
      <c r="AG1178" s="1352"/>
      <c r="AH1178" s="1352"/>
      <c r="AI1178" s="1350"/>
      <c r="AJ1178" s="1352"/>
      <c r="AK1178" s="1352"/>
      <c r="AL1178" s="772"/>
    </row>
    <row r="1179" spans="1:38" ht="11.25" customHeight="1">
      <c r="A1179" t="s">
        <v>1019</v>
      </c>
      <c r="E1179" s="557"/>
      <c r="F1179" s="1340"/>
      <c r="G1179" s="1340"/>
      <c r="H1179" s="1340"/>
      <c r="I1179" s="1340"/>
      <c r="J1179" s="1340"/>
      <c r="K1179" s="1340"/>
      <c r="L1179" s="1340"/>
      <c r="M1179" s="1365"/>
      <c r="N1179" s="1340"/>
      <c r="O1179" s="1340"/>
      <c r="P1179" s="1340"/>
      <c r="Q1179" s="1340"/>
      <c r="R1179" s="1340"/>
      <c r="S1179" s="1340"/>
      <c r="T1179" s="1340"/>
      <c r="U1179" s="1340"/>
      <c r="V1179" s="1340"/>
      <c r="W1179" s="1340"/>
      <c r="X1179" s="1340"/>
      <c r="Y1179" s="1340"/>
      <c r="Z1179" s="181" t="s">
        <v>103</v>
      </c>
      <c r="AA1179" s="780" t="s">
        <v>102</v>
      </c>
      <c r="AB1179" s="779" t="s">
        <v>1120</v>
      </c>
      <c r="AC1179" s="237">
        <v>3170.4481295067098</v>
      </c>
      <c r="AD1179" s="779" t="str">
        <f>AB1179</f>
        <v xml:space="preserve">     Прочие амортизационные отчисления</v>
      </c>
      <c r="AE1179" s="237">
        <v>0</v>
      </c>
      <c r="AF1179" s="1351"/>
      <c r="AG1179" s="1353"/>
      <c r="AH1179" s="1353"/>
      <c r="AI1179" s="1351"/>
      <c r="AJ1179" s="1353"/>
      <c r="AK1179" s="1354"/>
      <c r="AL1179" s="772"/>
    </row>
    <row r="1180" spans="1:38" ht="11.25" customHeight="1">
      <c r="A1180" t="s">
        <v>1019</v>
      </c>
      <c r="E1180" s="557"/>
      <c r="F1180" s="1340"/>
      <c r="G1180" s="1340"/>
      <c r="H1180" s="1340"/>
      <c r="I1180" s="1340"/>
      <c r="J1180" s="1340"/>
      <c r="K1180" s="1340"/>
      <c r="L1180" s="1340"/>
      <c r="M1180" s="1365"/>
      <c r="N1180" s="1340"/>
      <c r="O1180" s="1340"/>
      <c r="P1180" s="1340"/>
      <c r="Q1180" s="1340"/>
      <c r="R1180" s="1340"/>
      <c r="S1180" s="1340"/>
      <c r="T1180" s="1340"/>
      <c r="U1180" s="1340"/>
      <c r="V1180" s="1340"/>
      <c r="W1180" s="1340"/>
      <c r="X1180" s="1340"/>
      <c r="Y1180" s="1340"/>
      <c r="Z1180" s="181" t="s">
        <v>103</v>
      </c>
      <c r="AA1180" s="780" t="s">
        <v>89</v>
      </c>
      <c r="AB1180" s="779" t="s">
        <v>1142</v>
      </c>
      <c r="AC1180" s="237">
        <v>2519.9693907098699</v>
      </c>
      <c r="AD1180" s="779" t="str">
        <f>AB1180</f>
        <v xml:space="preserve">  Доход от взимания платы за негативное воздействие на работу централизованной системы водоотведения</v>
      </c>
      <c r="AE1180" s="237">
        <v>0</v>
      </c>
      <c r="AF1180" s="1351"/>
      <c r="AG1180" s="1353"/>
      <c r="AH1180" s="1353"/>
      <c r="AI1180" s="1351"/>
      <c r="AJ1180" s="1353"/>
      <c r="AK1180" s="1354"/>
      <c r="AL1180" s="772"/>
    </row>
    <row r="1181" spans="1:38" ht="11.25" customHeight="1">
      <c r="A1181" t="s">
        <v>1019</v>
      </c>
      <c r="E1181" s="557"/>
      <c r="F1181" s="1339"/>
      <c r="G1181" s="1340"/>
      <c r="H1181" s="1335" t="s">
        <v>102</v>
      </c>
      <c r="I1181" s="1347"/>
      <c r="J1181" s="1363"/>
      <c r="K1181" s="1349"/>
      <c r="L1181" s="1079"/>
      <c r="M1181" s="1364"/>
      <c r="N1181" s="1355"/>
      <c r="O1181" s="1356"/>
      <c r="P1181" s="1359"/>
      <c r="Q1181" s="1308"/>
      <c r="R1181" s="1308"/>
      <c r="S1181" s="1361"/>
      <c r="T1181" s="1308"/>
      <c r="U1181" s="1308"/>
      <c r="V1181" s="1308"/>
      <c r="W1181" s="1308"/>
      <c r="X1181" s="1308"/>
      <c r="Y1181" s="1308"/>
      <c r="Z1181" s="229"/>
      <c r="AA1181" s="230"/>
      <c r="AB1181" s="44" t="s">
        <v>1059</v>
      </c>
      <c r="AC1181" s="231"/>
      <c r="AD1181" s="231"/>
      <c r="AE1181" s="246"/>
      <c r="AF1181" s="1350"/>
      <c r="AG1181" s="1352"/>
      <c r="AH1181" s="1352"/>
      <c r="AI1181" s="1350"/>
      <c r="AJ1181" s="1352"/>
      <c r="AK1181" s="1352"/>
      <c r="AL1181" s="772"/>
    </row>
    <row r="1182" spans="1:38" ht="11.25" customHeight="1">
      <c r="A1182" t="s">
        <v>1019</v>
      </c>
      <c r="E1182" s="557"/>
      <c r="F1182" s="1339"/>
      <c r="G1182" s="1340"/>
      <c r="H1182" s="1335" t="s">
        <v>102</v>
      </c>
      <c r="I1182" s="1347"/>
      <c r="J1182" s="1363"/>
      <c r="K1182" s="1349"/>
      <c r="L1182" s="1079"/>
      <c r="M1182" s="1364"/>
      <c r="N1182" s="229"/>
      <c r="O1182" s="230"/>
      <c r="P1182" s="44" t="s">
        <v>1060</v>
      </c>
      <c r="Q1182" s="230"/>
      <c r="R1182" s="230"/>
      <c r="S1182" s="230"/>
      <c r="T1182" s="230"/>
      <c r="U1182" s="230"/>
      <c r="V1182" s="230"/>
      <c r="W1182" s="230"/>
      <c r="X1182" s="230"/>
      <c r="Y1182" s="230"/>
      <c r="Z1182" s="230"/>
      <c r="AA1182" s="230"/>
      <c r="AB1182" s="230"/>
      <c r="AC1182" s="230"/>
      <c r="AD1182" s="230"/>
      <c r="AE1182" s="247"/>
      <c r="AF1182" s="1350"/>
      <c r="AG1182" s="1352"/>
      <c r="AH1182" s="1352"/>
      <c r="AI1182" s="1350"/>
      <c r="AJ1182" s="1352"/>
      <c r="AK1182" s="1352"/>
      <c r="AL1182" s="772"/>
    </row>
    <row r="1183" spans="1:38" ht="11.25" customHeight="1">
      <c r="A1183" t="s">
        <v>1019</v>
      </c>
      <c r="B1183" t="s">
        <v>1051</v>
      </c>
      <c r="E1183" s="557"/>
      <c r="F1183" s="1339"/>
      <c r="G1183" s="1325" t="s">
        <v>103</v>
      </c>
      <c r="H1183" s="1335" t="s">
        <v>90</v>
      </c>
      <c r="I1183" s="1347" t="s">
        <v>1052</v>
      </c>
      <c r="J1183" s="1363" t="s">
        <v>1053</v>
      </c>
      <c r="K1183" s="1349" t="s">
        <v>1155</v>
      </c>
      <c r="L1183" s="1079" t="s">
        <v>61</v>
      </c>
      <c r="M1183" s="1364" t="s">
        <v>1018</v>
      </c>
      <c r="N1183" s="242"/>
      <c r="O1183" s="243" t="s">
        <v>384</v>
      </c>
      <c r="P1183" s="244"/>
      <c r="Q1183" s="244"/>
      <c r="R1183" s="244"/>
      <c r="S1183" s="244"/>
      <c r="T1183" s="244"/>
      <c r="U1183" s="244"/>
      <c r="V1183" s="244"/>
      <c r="W1183" s="244"/>
      <c r="X1183" s="244"/>
      <c r="Y1183" s="244"/>
      <c r="Z1183" s="244"/>
      <c r="AA1183" s="244"/>
      <c r="AB1183" s="244"/>
      <c r="AC1183" s="244"/>
      <c r="AD1183" s="244"/>
      <c r="AE1183" s="244"/>
      <c r="AF1183" s="1350">
        <v>1</v>
      </c>
      <c r="AG1183" s="1352" t="s">
        <v>1055</v>
      </c>
      <c r="AH1183" s="1352" t="s">
        <v>1152</v>
      </c>
      <c r="AI1183" s="1350">
        <v>1</v>
      </c>
      <c r="AJ1183" s="1352" t="s">
        <v>1055</v>
      </c>
      <c r="AK1183" s="1352" t="s">
        <v>1152</v>
      </c>
      <c r="AL1183" s="772"/>
    </row>
    <row r="1184" spans="1:38" ht="11.25" customHeight="1">
      <c r="A1184" t="s">
        <v>1019</v>
      </c>
      <c r="E1184" s="557"/>
      <c r="F1184" s="1339"/>
      <c r="G1184" s="1340"/>
      <c r="H1184" s="1335" t="s">
        <v>89</v>
      </c>
      <c r="I1184" s="1347"/>
      <c r="J1184" s="1363"/>
      <c r="K1184" s="1349"/>
      <c r="L1184" s="1079"/>
      <c r="M1184" s="1364"/>
      <c r="N1184" s="1355"/>
      <c r="O1184" s="1356">
        <v>1</v>
      </c>
      <c r="P1184" s="1357" t="s">
        <v>19</v>
      </c>
      <c r="Q1184" s="1308" t="s">
        <v>22</v>
      </c>
      <c r="R1184" s="1308" t="s">
        <v>22</v>
      </c>
      <c r="S1184" s="1308" t="s">
        <v>22</v>
      </c>
      <c r="T1184" s="1308" t="s">
        <v>22</v>
      </c>
      <c r="U1184" s="1308" t="s">
        <v>22</v>
      </c>
      <c r="V1184" s="1308" t="s">
        <v>22</v>
      </c>
      <c r="W1184" s="1308" t="s">
        <v>22</v>
      </c>
      <c r="X1184" s="1308" t="s">
        <v>22</v>
      </c>
      <c r="Y1184" s="1308"/>
      <c r="Z1184" s="229"/>
      <c r="AA1184" s="230"/>
      <c r="AB1184" s="230"/>
      <c r="AC1184" s="231"/>
      <c r="AD1184" s="231"/>
      <c r="AE1184" s="245"/>
      <c r="AF1184" s="1350"/>
      <c r="AG1184" s="1352"/>
      <c r="AH1184" s="1352"/>
      <c r="AI1184" s="1350"/>
      <c r="AJ1184" s="1352"/>
      <c r="AK1184" s="1352"/>
      <c r="AL1184" s="772"/>
    </row>
    <row r="1185" spans="1:38" ht="11.25" customHeight="1">
      <c r="A1185" t="s">
        <v>1019</v>
      </c>
      <c r="E1185" s="557"/>
      <c r="F1185" s="1339"/>
      <c r="G1185" s="1340"/>
      <c r="H1185" s="1335" t="s">
        <v>89</v>
      </c>
      <c r="I1185" s="1347"/>
      <c r="J1185" s="1363"/>
      <c r="K1185" s="1349"/>
      <c r="L1185" s="1079"/>
      <c r="M1185" s="1364"/>
      <c r="N1185" s="1355"/>
      <c r="O1185" s="1356"/>
      <c r="P1185" s="1358"/>
      <c r="Q1185" s="1308"/>
      <c r="R1185" s="1308"/>
      <c r="S1185" s="1361"/>
      <c r="T1185" s="1308"/>
      <c r="U1185" s="1308"/>
      <c r="V1185" s="1308"/>
      <c r="W1185" s="1308"/>
      <c r="X1185" s="1308"/>
      <c r="Y1185" s="1308"/>
      <c r="AA1185" s="778">
        <v>1</v>
      </c>
      <c r="AB1185" s="779" t="s">
        <v>1119</v>
      </c>
      <c r="AC1185" s="237">
        <v>209469.85635707699</v>
      </c>
      <c r="AD1185" s="779" t="str">
        <f>AB1185</f>
        <v xml:space="preserve">  Прибыль направляемая на инвестиции</v>
      </c>
      <c r="AE1185" s="237">
        <v>0</v>
      </c>
      <c r="AF1185" s="1350"/>
      <c r="AG1185" s="1352"/>
      <c r="AH1185" s="1352"/>
      <c r="AI1185" s="1350"/>
      <c r="AJ1185" s="1352"/>
      <c r="AK1185" s="1352"/>
      <c r="AL1185" s="772"/>
    </row>
    <row r="1186" spans="1:38" ht="11.25" customHeight="1">
      <c r="A1186" t="s">
        <v>1019</v>
      </c>
      <c r="E1186" s="557"/>
      <c r="F1186" s="1340"/>
      <c r="G1186" s="1340"/>
      <c r="H1186" s="1340"/>
      <c r="I1186" s="1340"/>
      <c r="J1186" s="1340"/>
      <c r="K1186" s="1340"/>
      <c r="L1186" s="1340"/>
      <c r="M1186" s="1365"/>
      <c r="N1186" s="1340"/>
      <c r="O1186" s="1340"/>
      <c r="P1186" s="1340"/>
      <c r="Q1186" s="1340"/>
      <c r="R1186" s="1340"/>
      <c r="S1186" s="1340"/>
      <c r="T1186" s="1340"/>
      <c r="U1186" s="1340"/>
      <c r="V1186" s="1340"/>
      <c r="W1186" s="1340"/>
      <c r="X1186" s="1340"/>
      <c r="Y1186" s="1340"/>
      <c r="Z1186" s="181" t="s">
        <v>103</v>
      </c>
      <c r="AA1186" s="780" t="s">
        <v>102</v>
      </c>
      <c r="AB1186" s="779" t="s">
        <v>1120</v>
      </c>
      <c r="AC1186" s="237">
        <v>71969.593540966307</v>
      </c>
      <c r="AD1186" s="779" t="str">
        <f>AB1186</f>
        <v xml:space="preserve">     Прочие амортизационные отчисления</v>
      </c>
      <c r="AE1186" s="237">
        <v>0</v>
      </c>
      <c r="AF1186" s="1351"/>
      <c r="AG1186" s="1353"/>
      <c r="AH1186" s="1353"/>
      <c r="AI1186" s="1351"/>
      <c r="AJ1186" s="1353"/>
      <c r="AK1186" s="1354"/>
      <c r="AL1186" s="772"/>
    </row>
    <row r="1187" spans="1:38" ht="11.25" customHeight="1">
      <c r="A1187" t="s">
        <v>1019</v>
      </c>
      <c r="E1187" s="557"/>
      <c r="F1187" s="1340"/>
      <c r="G1187" s="1340"/>
      <c r="H1187" s="1340"/>
      <c r="I1187" s="1340"/>
      <c r="J1187" s="1340"/>
      <c r="K1187" s="1340"/>
      <c r="L1187" s="1340"/>
      <c r="M1187" s="1365"/>
      <c r="N1187" s="1340"/>
      <c r="O1187" s="1340"/>
      <c r="P1187" s="1340"/>
      <c r="Q1187" s="1340"/>
      <c r="R1187" s="1340"/>
      <c r="S1187" s="1340"/>
      <c r="T1187" s="1340"/>
      <c r="U1187" s="1340"/>
      <c r="V1187" s="1340"/>
      <c r="W1187" s="1340"/>
      <c r="X1187" s="1340"/>
      <c r="Y1187" s="1340"/>
      <c r="Z1187" s="181" t="s">
        <v>103</v>
      </c>
      <c r="AA1187" s="780" t="s">
        <v>89</v>
      </c>
      <c r="AB1187" s="779" t="s">
        <v>1142</v>
      </c>
      <c r="AC1187" s="237">
        <v>57203.639793748502</v>
      </c>
      <c r="AD1187" s="779" t="str">
        <f>AB1187</f>
        <v xml:space="preserve">  Доход от взимания платы за негативное воздействие на работу централизованной системы водоотведения</v>
      </c>
      <c r="AE1187" s="237">
        <v>0</v>
      </c>
      <c r="AF1187" s="1351"/>
      <c r="AG1187" s="1353"/>
      <c r="AH1187" s="1353"/>
      <c r="AI1187" s="1351"/>
      <c r="AJ1187" s="1353"/>
      <c r="AK1187" s="1354"/>
      <c r="AL1187" s="772"/>
    </row>
    <row r="1188" spans="1:38" ht="11.25" customHeight="1">
      <c r="A1188" t="s">
        <v>1019</v>
      </c>
      <c r="E1188" s="557"/>
      <c r="F1188" s="1339"/>
      <c r="G1188" s="1340"/>
      <c r="H1188" s="1335" t="s">
        <v>89</v>
      </c>
      <c r="I1188" s="1347"/>
      <c r="J1188" s="1363"/>
      <c r="K1188" s="1349"/>
      <c r="L1188" s="1079"/>
      <c r="M1188" s="1364"/>
      <c r="N1188" s="1355"/>
      <c r="O1188" s="1356"/>
      <c r="P1188" s="1359"/>
      <c r="Q1188" s="1308"/>
      <c r="R1188" s="1308"/>
      <c r="S1188" s="1361"/>
      <c r="T1188" s="1308"/>
      <c r="U1188" s="1308"/>
      <c r="V1188" s="1308"/>
      <c r="W1188" s="1308"/>
      <c r="X1188" s="1308"/>
      <c r="Y1188" s="1308"/>
      <c r="Z1188" s="229"/>
      <c r="AA1188" s="230"/>
      <c r="AB1188" s="44" t="s">
        <v>1059</v>
      </c>
      <c r="AC1188" s="231"/>
      <c r="AD1188" s="231"/>
      <c r="AE1188" s="246"/>
      <c r="AF1188" s="1350"/>
      <c r="AG1188" s="1352"/>
      <c r="AH1188" s="1352"/>
      <c r="AI1188" s="1350"/>
      <c r="AJ1188" s="1352"/>
      <c r="AK1188" s="1352"/>
      <c r="AL1188" s="772"/>
    </row>
    <row r="1189" spans="1:38" ht="11.25" customHeight="1">
      <c r="A1189" t="s">
        <v>1019</v>
      </c>
      <c r="E1189" s="557"/>
      <c r="F1189" s="1339"/>
      <c r="G1189" s="1340"/>
      <c r="H1189" s="1335" t="s">
        <v>89</v>
      </c>
      <c r="I1189" s="1347"/>
      <c r="J1189" s="1363"/>
      <c r="K1189" s="1349"/>
      <c r="L1189" s="1079"/>
      <c r="M1189" s="1364"/>
      <c r="N1189" s="229"/>
      <c r="O1189" s="230"/>
      <c r="P1189" s="44" t="s">
        <v>1060</v>
      </c>
      <c r="Q1189" s="230"/>
      <c r="R1189" s="230"/>
      <c r="S1189" s="230"/>
      <c r="T1189" s="230"/>
      <c r="U1189" s="230"/>
      <c r="V1189" s="230"/>
      <c r="W1189" s="230"/>
      <c r="X1189" s="230"/>
      <c r="Y1189" s="230"/>
      <c r="Z1189" s="230"/>
      <c r="AA1189" s="230"/>
      <c r="AB1189" s="230"/>
      <c r="AC1189" s="230"/>
      <c r="AD1189" s="230"/>
      <c r="AE1189" s="247"/>
      <c r="AF1189" s="1350"/>
      <c r="AG1189" s="1352"/>
      <c r="AH1189" s="1352"/>
      <c r="AI1189" s="1350"/>
      <c r="AJ1189" s="1352"/>
      <c r="AK1189" s="1352"/>
      <c r="AL1189" s="772"/>
    </row>
    <row r="1190" spans="1:38" ht="11.25" customHeight="1">
      <c r="A1190" t="s">
        <v>1019</v>
      </c>
      <c r="B1190" t="s">
        <v>1051</v>
      </c>
      <c r="E1190" s="557"/>
      <c r="F1190" s="1339"/>
      <c r="G1190" s="1325" t="s">
        <v>103</v>
      </c>
      <c r="H1190" s="1335" t="s">
        <v>115</v>
      </c>
      <c r="I1190" s="1347" t="s">
        <v>1052</v>
      </c>
      <c r="J1190" s="1363" t="s">
        <v>1093</v>
      </c>
      <c r="K1190" s="1349" t="s">
        <v>1094</v>
      </c>
      <c r="L1190" s="1079" t="s">
        <v>61</v>
      </c>
      <c r="M1190" s="1364" t="s">
        <v>1018</v>
      </c>
      <c r="N1190" s="242"/>
      <c r="O1190" s="243" t="s">
        <v>384</v>
      </c>
      <c r="P1190" s="244"/>
      <c r="Q1190" s="244"/>
      <c r="R1190" s="244"/>
      <c r="S1190" s="244"/>
      <c r="T1190" s="244"/>
      <c r="U1190" s="244"/>
      <c r="V1190" s="244"/>
      <c r="W1190" s="244"/>
      <c r="X1190" s="244"/>
      <c r="Y1190" s="244"/>
      <c r="Z1190" s="244"/>
      <c r="AA1190" s="244"/>
      <c r="AB1190" s="244"/>
      <c r="AC1190" s="244"/>
      <c r="AD1190" s="244"/>
      <c r="AE1190" s="244"/>
      <c r="AF1190" s="1350">
        <v>6</v>
      </c>
      <c r="AG1190" s="1352" t="s">
        <v>1055</v>
      </c>
      <c r="AH1190" s="1352" t="s">
        <v>1095</v>
      </c>
      <c r="AI1190" s="1350">
        <v>6</v>
      </c>
      <c r="AJ1190" s="1352" t="s">
        <v>1055</v>
      </c>
      <c r="AK1190" s="1352" t="s">
        <v>1095</v>
      </c>
      <c r="AL1190" s="772"/>
    </row>
    <row r="1191" spans="1:38" ht="11.25" customHeight="1">
      <c r="A1191" t="s">
        <v>1019</v>
      </c>
      <c r="E1191" s="557"/>
      <c r="F1191" s="1339"/>
      <c r="G1191" s="1340"/>
      <c r="H1191" s="1335" t="s">
        <v>90</v>
      </c>
      <c r="I1191" s="1347"/>
      <c r="J1191" s="1363"/>
      <c r="K1191" s="1349"/>
      <c r="L1191" s="1079"/>
      <c r="M1191" s="1364"/>
      <c r="N1191" s="1355"/>
      <c r="O1191" s="1356">
        <v>1</v>
      </c>
      <c r="P1191" s="1357" t="s">
        <v>19</v>
      </c>
      <c r="Q1191" s="1308" t="s">
        <v>22</v>
      </c>
      <c r="R1191" s="1308" t="s">
        <v>22</v>
      </c>
      <c r="S1191" s="1308" t="s">
        <v>22</v>
      </c>
      <c r="T1191" s="1308" t="s">
        <v>22</v>
      </c>
      <c r="U1191" s="1308" t="s">
        <v>22</v>
      </c>
      <c r="V1191" s="1308" t="s">
        <v>22</v>
      </c>
      <c r="W1191" s="1308" t="s">
        <v>22</v>
      </c>
      <c r="X1191" s="1308" t="s">
        <v>22</v>
      </c>
      <c r="Y1191" s="1308"/>
      <c r="Z1191" s="229"/>
      <c r="AA1191" s="230"/>
      <c r="AB1191" s="230"/>
      <c r="AC1191" s="231"/>
      <c r="AD1191" s="231"/>
      <c r="AE1191" s="245"/>
      <c r="AF1191" s="1350"/>
      <c r="AG1191" s="1352"/>
      <c r="AH1191" s="1352"/>
      <c r="AI1191" s="1350"/>
      <c r="AJ1191" s="1352"/>
      <c r="AK1191" s="1352"/>
      <c r="AL1191" s="772"/>
    </row>
    <row r="1192" spans="1:38" ht="11.25" customHeight="1">
      <c r="A1192" t="s">
        <v>1019</v>
      </c>
      <c r="E1192" s="557"/>
      <c r="F1192" s="1339"/>
      <c r="G1192" s="1340"/>
      <c r="H1192" s="1335" t="s">
        <v>90</v>
      </c>
      <c r="I1192" s="1347"/>
      <c r="J1192" s="1363"/>
      <c r="K1192" s="1349"/>
      <c r="L1192" s="1079"/>
      <c r="M1192" s="1364"/>
      <c r="N1192" s="1355"/>
      <c r="O1192" s="1356"/>
      <c r="P1192" s="1358"/>
      <c r="Q1192" s="1308"/>
      <c r="R1192" s="1308"/>
      <c r="S1192" s="1361"/>
      <c r="T1192" s="1308"/>
      <c r="U1192" s="1308"/>
      <c r="V1192" s="1308"/>
      <c r="W1192" s="1308"/>
      <c r="X1192" s="1308"/>
      <c r="Y1192" s="1308"/>
      <c r="AA1192" s="778">
        <v>1</v>
      </c>
      <c r="AB1192" s="779" t="s">
        <v>1119</v>
      </c>
      <c r="AC1192" s="237">
        <v>4743.3214524980804</v>
      </c>
      <c r="AD1192" s="779" t="str">
        <f>AB1192</f>
        <v xml:space="preserve">  Прибыль направляемая на инвестиции</v>
      </c>
      <c r="AE1192" s="237">
        <v>0</v>
      </c>
      <c r="AF1192" s="1350"/>
      <c r="AG1192" s="1352"/>
      <c r="AH1192" s="1352"/>
      <c r="AI1192" s="1350"/>
      <c r="AJ1192" s="1352"/>
      <c r="AK1192" s="1352"/>
      <c r="AL1192" s="772"/>
    </row>
    <row r="1193" spans="1:38" ht="11.25" customHeight="1">
      <c r="A1193" t="s">
        <v>1019</v>
      </c>
      <c r="E1193" s="557"/>
      <c r="F1193" s="1340"/>
      <c r="G1193" s="1340"/>
      <c r="H1193" s="1340"/>
      <c r="I1193" s="1340"/>
      <c r="J1193" s="1340"/>
      <c r="K1193" s="1340"/>
      <c r="L1193" s="1340"/>
      <c r="M1193" s="1365"/>
      <c r="N1193" s="1340"/>
      <c r="O1193" s="1340"/>
      <c r="P1193" s="1340"/>
      <c r="Q1193" s="1340"/>
      <c r="R1193" s="1340"/>
      <c r="S1193" s="1340"/>
      <c r="T1193" s="1340"/>
      <c r="U1193" s="1340"/>
      <c r="V1193" s="1340"/>
      <c r="W1193" s="1340"/>
      <c r="X1193" s="1340"/>
      <c r="Y1193" s="1340"/>
      <c r="Z1193" s="181" t="s">
        <v>103</v>
      </c>
      <c r="AA1193" s="780" t="s">
        <v>102</v>
      </c>
      <c r="AB1193" s="779" t="s">
        <v>1120</v>
      </c>
      <c r="AC1193" s="237">
        <v>1629.7090326376201</v>
      </c>
      <c r="AD1193" s="779" t="str">
        <f>AB1193</f>
        <v xml:space="preserve">     Прочие амортизационные отчисления</v>
      </c>
      <c r="AE1193" s="237">
        <v>0</v>
      </c>
      <c r="AF1193" s="1351"/>
      <c r="AG1193" s="1353"/>
      <c r="AH1193" s="1353"/>
      <c r="AI1193" s="1351"/>
      <c r="AJ1193" s="1353"/>
      <c r="AK1193" s="1354"/>
      <c r="AL1193" s="772"/>
    </row>
    <row r="1194" spans="1:38" ht="11.25" customHeight="1">
      <c r="A1194" t="s">
        <v>1019</v>
      </c>
      <c r="E1194" s="557"/>
      <c r="F1194" s="1340"/>
      <c r="G1194" s="1340"/>
      <c r="H1194" s="1340"/>
      <c r="I1194" s="1340"/>
      <c r="J1194" s="1340"/>
      <c r="K1194" s="1340"/>
      <c r="L1194" s="1340"/>
      <c r="M1194" s="1365"/>
      <c r="N1194" s="1340"/>
      <c r="O1194" s="1340"/>
      <c r="P1194" s="1340"/>
      <c r="Q1194" s="1340"/>
      <c r="R1194" s="1340"/>
      <c r="S1194" s="1340"/>
      <c r="T1194" s="1340"/>
      <c r="U1194" s="1340"/>
      <c r="V1194" s="1340"/>
      <c r="W1194" s="1340"/>
      <c r="X1194" s="1340"/>
      <c r="Y1194" s="1340"/>
      <c r="Z1194" s="181" t="s">
        <v>103</v>
      </c>
      <c r="AA1194" s="780" t="s">
        <v>89</v>
      </c>
      <c r="AB1194" s="779" t="s">
        <v>1142</v>
      </c>
      <c r="AC1194" s="237">
        <v>1295.34271189895</v>
      </c>
      <c r="AD1194" s="779" t="str">
        <f>AB1194</f>
        <v xml:space="preserve">  Доход от взимания платы за негативное воздействие на работу централизованной системы водоотведения</v>
      </c>
      <c r="AE1194" s="237">
        <v>0</v>
      </c>
      <c r="AF1194" s="1351"/>
      <c r="AG1194" s="1353"/>
      <c r="AH1194" s="1353"/>
      <c r="AI1194" s="1351"/>
      <c r="AJ1194" s="1353"/>
      <c r="AK1194" s="1354"/>
      <c r="AL1194" s="772"/>
    </row>
    <row r="1195" spans="1:38" ht="11.25" customHeight="1">
      <c r="A1195" t="s">
        <v>1019</v>
      </c>
      <c r="E1195" s="557"/>
      <c r="F1195" s="1339"/>
      <c r="G1195" s="1340"/>
      <c r="H1195" s="1335" t="s">
        <v>90</v>
      </c>
      <c r="I1195" s="1347"/>
      <c r="J1195" s="1363"/>
      <c r="K1195" s="1349"/>
      <c r="L1195" s="1079"/>
      <c r="M1195" s="1364"/>
      <c r="N1195" s="1355"/>
      <c r="O1195" s="1356"/>
      <c r="P1195" s="1359"/>
      <c r="Q1195" s="1308"/>
      <c r="R1195" s="1308"/>
      <c r="S1195" s="1361"/>
      <c r="T1195" s="1308"/>
      <c r="U1195" s="1308"/>
      <c r="V1195" s="1308"/>
      <c r="W1195" s="1308"/>
      <c r="X1195" s="1308"/>
      <c r="Y1195" s="1308"/>
      <c r="Z1195" s="229"/>
      <c r="AA1195" s="230"/>
      <c r="AB1195" s="44" t="s">
        <v>1059</v>
      </c>
      <c r="AC1195" s="231"/>
      <c r="AD1195" s="231"/>
      <c r="AE1195" s="246"/>
      <c r="AF1195" s="1350"/>
      <c r="AG1195" s="1352"/>
      <c r="AH1195" s="1352"/>
      <c r="AI1195" s="1350"/>
      <c r="AJ1195" s="1352"/>
      <c r="AK1195" s="1352"/>
      <c r="AL1195" s="772"/>
    </row>
    <row r="1196" spans="1:38" ht="11.25" customHeight="1">
      <c r="A1196" t="s">
        <v>1019</v>
      </c>
      <c r="E1196" s="557"/>
      <c r="F1196" s="1339"/>
      <c r="G1196" s="1340"/>
      <c r="H1196" s="1335" t="s">
        <v>90</v>
      </c>
      <c r="I1196" s="1347"/>
      <c r="J1196" s="1363"/>
      <c r="K1196" s="1349"/>
      <c r="L1196" s="1079"/>
      <c r="M1196" s="1364"/>
      <c r="N1196" s="229"/>
      <c r="O1196" s="230"/>
      <c r="P1196" s="44" t="s">
        <v>1060</v>
      </c>
      <c r="Q1196" s="230"/>
      <c r="R1196" s="230"/>
      <c r="S1196" s="230"/>
      <c r="T1196" s="230"/>
      <c r="U1196" s="230"/>
      <c r="V1196" s="230"/>
      <c r="W1196" s="230"/>
      <c r="X1196" s="230"/>
      <c r="Y1196" s="230"/>
      <c r="Z1196" s="230"/>
      <c r="AA1196" s="230"/>
      <c r="AB1196" s="230"/>
      <c r="AC1196" s="230"/>
      <c r="AD1196" s="230"/>
      <c r="AE1196" s="247"/>
      <c r="AF1196" s="1350"/>
      <c r="AG1196" s="1352"/>
      <c r="AH1196" s="1352"/>
      <c r="AI1196" s="1350"/>
      <c r="AJ1196" s="1352"/>
      <c r="AK1196" s="1352"/>
      <c r="AL1196" s="772"/>
    </row>
    <row r="1197" spans="1:38" ht="12" customHeight="1">
      <c r="A1197" s="1030" t="s">
        <v>1019</v>
      </c>
      <c r="E1197" s="557"/>
      <c r="F1197" s="1341"/>
      <c r="G1197" s="775"/>
      <c r="H1197" s="775"/>
      <c r="I1197" s="1337" t="s">
        <v>1070</v>
      </c>
      <c r="J1197" s="1337"/>
      <c r="K1197" s="1337"/>
      <c r="L1197" s="776"/>
      <c r="M1197" s="776"/>
      <c r="N1197" s="777"/>
      <c r="O1197" s="777"/>
      <c r="P1197" s="777"/>
      <c r="Q1197" s="777"/>
      <c r="R1197" s="777"/>
      <c r="S1197" s="777"/>
      <c r="T1197" s="777"/>
      <c r="U1197" s="777"/>
      <c r="V1197" s="777"/>
      <c r="W1197" s="777"/>
      <c r="X1197" s="777"/>
      <c r="Y1197" s="777"/>
      <c r="Z1197" s="777"/>
      <c r="AA1197" s="777"/>
      <c r="AB1197" s="777"/>
      <c r="AC1197" s="777"/>
      <c r="AD1197" s="777"/>
      <c r="AE1197" s="777"/>
      <c r="AF1197" s="777"/>
      <c r="AG1197" s="776"/>
      <c r="AH1197" s="776"/>
      <c r="AI1197" s="777"/>
      <c r="AJ1197" s="776"/>
      <c r="AK1197" s="777"/>
      <c r="AL1197" s="772"/>
    </row>
    <row r="1198" spans="1:38" ht="0.75" customHeight="1">
      <c r="A1198" s="1030" t="s">
        <v>1019</v>
      </c>
      <c r="E1198" s="557"/>
      <c r="F1198" s="1338">
        <v>2026</v>
      </c>
      <c r="G1198" s="1335"/>
      <c r="H1198" s="1343" t="s">
        <v>384</v>
      </c>
      <c r="I1198" s="1344"/>
      <c r="J1198" s="1334"/>
      <c r="K1198" s="1334"/>
      <c r="L1198" s="1336"/>
      <c r="M1198" s="1190"/>
      <c r="N1198" s="214"/>
      <c r="O1198" s="215"/>
      <c r="P1198" s="214"/>
      <c r="Q1198" s="214"/>
      <c r="R1198" s="214"/>
      <c r="S1198" s="214"/>
      <c r="T1198" s="214"/>
      <c r="U1198" s="214"/>
      <c r="V1198" s="214"/>
      <c r="W1198" s="214"/>
      <c r="X1198" s="214"/>
      <c r="Y1198" s="214"/>
      <c r="Z1198" s="214"/>
      <c r="AA1198" s="214"/>
      <c r="AB1198" s="214"/>
      <c r="AC1198" s="214"/>
      <c r="AD1198" s="214"/>
      <c r="AE1198" s="214"/>
      <c r="AF1198" s="1342"/>
      <c r="AG1198" s="1336"/>
      <c r="AH1198" s="1336"/>
      <c r="AI1198" s="1342"/>
      <c r="AJ1198" s="1336"/>
      <c r="AK1198" s="1336"/>
      <c r="AL1198" s="772"/>
    </row>
    <row r="1199" spans="1:38" ht="0.75" customHeight="1">
      <c r="A1199" s="1030" t="s">
        <v>1019</v>
      </c>
      <c r="E1199" s="557"/>
      <c r="F1199" s="1338"/>
      <c r="G1199" s="1335"/>
      <c r="H1199" s="1343"/>
      <c r="I1199" s="1344"/>
      <c r="J1199" s="1334"/>
      <c r="K1199" s="1334"/>
      <c r="L1199" s="1336"/>
      <c r="M1199" s="1190"/>
      <c r="N1199" s="1345"/>
      <c r="O1199" s="1346"/>
      <c r="P1199" s="1331"/>
      <c r="Q1199" s="1334"/>
      <c r="R1199" s="1334"/>
      <c r="S1199" s="1334"/>
      <c r="T1199" s="1334"/>
      <c r="U1199" s="1334"/>
      <c r="V1199" s="1334"/>
      <c r="W1199" s="1334"/>
      <c r="X1199" s="1334"/>
      <c r="Y1199" s="1334"/>
      <c r="Z1199" s="216"/>
      <c r="AA1199" s="217"/>
      <c r="AB1199" s="217"/>
      <c r="AC1199" s="218"/>
      <c r="AD1199" s="218"/>
      <c r="AE1199" s="219"/>
      <c r="AF1199" s="1342"/>
      <c r="AG1199" s="1336"/>
      <c r="AH1199" s="1336"/>
      <c r="AI1199" s="1342"/>
      <c r="AJ1199" s="1336"/>
      <c r="AK1199" s="1336"/>
      <c r="AL1199" s="772"/>
    </row>
    <row r="1200" spans="1:38" ht="0.75" customHeight="1">
      <c r="A1200" s="1030" t="s">
        <v>1019</v>
      </c>
      <c r="E1200" s="557"/>
      <c r="F1200" s="1338"/>
      <c r="G1200" s="1335"/>
      <c r="H1200" s="1343"/>
      <c r="I1200" s="1344"/>
      <c r="J1200" s="1334"/>
      <c r="K1200" s="1334"/>
      <c r="L1200" s="1336"/>
      <c r="M1200" s="1190"/>
      <c r="N1200" s="1345"/>
      <c r="O1200" s="1346"/>
      <c r="P1200" s="1332"/>
      <c r="Q1200" s="1334"/>
      <c r="R1200" s="1334"/>
      <c r="S1200" s="1334"/>
      <c r="T1200" s="1334"/>
      <c r="U1200" s="1334"/>
      <c r="V1200" s="1334"/>
      <c r="W1200" s="1334"/>
      <c r="X1200" s="1334"/>
      <c r="Y1200" s="1334"/>
      <c r="AA1200" s="773"/>
      <c r="AB1200" s="774"/>
      <c r="AC1200" s="220"/>
      <c r="AD1200" s="774"/>
      <c r="AE1200" s="220"/>
      <c r="AF1200" s="1342"/>
      <c r="AG1200" s="1336"/>
      <c r="AH1200" s="1336"/>
      <c r="AI1200" s="1342"/>
      <c r="AJ1200" s="1336"/>
      <c r="AK1200" s="1336"/>
      <c r="AL1200" s="772"/>
    </row>
    <row r="1201" spans="1:38" ht="0.75" customHeight="1">
      <c r="A1201" s="1030" t="s">
        <v>1019</v>
      </c>
      <c r="E1201" s="557"/>
      <c r="F1201" s="1338"/>
      <c r="G1201" s="1335"/>
      <c r="H1201" s="1343"/>
      <c r="I1201" s="1344"/>
      <c r="J1201" s="1334"/>
      <c r="K1201" s="1334"/>
      <c r="L1201" s="1336"/>
      <c r="M1201" s="1190"/>
      <c r="N1201" s="1345"/>
      <c r="O1201" s="1346"/>
      <c r="P1201" s="1333"/>
      <c r="Q1201" s="1334"/>
      <c r="R1201" s="1334"/>
      <c r="S1201" s="1334"/>
      <c r="T1201" s="1334"/>
      <c r="U1201" s="1334"/>
      <c r="V1201" s="1334"/>
      <c r="W1201" s="1334"/>
      <c r="X1201" s="1334"/>
      <c r="Y1201" s="1334"/>
      <c r="Z1201" s="216"/>
      <c r="AA1201" s="217"/>
      <c r="AB1201" s="221"/>
      <c r="AC1201" s="218"/>
      <c r="AD1201" s="218"/>
      <c r="AE1201" s="222"/>
      <c r="AF1201" s="1342"/>
      <c r="AG1201" s="1336"/>
      <c r="AH1201" s="1336"/>
      <c r="AI1201" s="1342"/>
      <c r="AJ1201" s="1336"/>
      <c r="AK1201" s="1336"/>
      <c r="AL1201" s="772"/>
    </row>
    <row r="1202" spans="1:38" ht="0.75" customHeight="1">
      <c r="A1202" s="1030" t="s">
        <v>1019</v>
      </c>
      <c r="E1202" s="557"/>
      <c r="F1202" s="1338"/>
      <c r="G1202" s="1335"/>
      <c r="H1202" s="1343"/>
      <c r="I1202" s="1344"/>
      <c r="J1202" s="1334"/>
      <c r="K1202" s="1334"/>
      <c r="L1202" s="1336"/>
      <c r="M1202" s="1190"/>
      <c r="N1202" s="217"/>
      <c r="O1202" s="217"/>
      <c r="P1202" s="221"/>
      <c r="Q1202" s="217"/>
      <c r="R1202" s="217"/>
      <c r="S1202" s="217"/>
      <c r="T1202" s="217"/>
      <c r="U1202" s="217"/>
      <c r="V1202" s="217"/>
      <c r="W1202" s="217"/>
      <c r="X1202" s="217"/>
      <c r="Y1202" s="217"/>
      <c r="Z1202" s="217"/>
      <c r="AA1202" s="217"/>
      <c r="AB1202" s="217"/>
      <c r="AC1202" s="217"/>
      <c r="AD1202" s="217"/>
      <c r="AE1202" s="223"/>
      <c r="AF1202" s="1342"/>
      <c r="AG1202" s="1336"/>
      <c r="AH1202" s="1336"/>
      <c r="AI1202" s="1342"/>
      <c r="AJ1202" s="1336"/>
      <c r="AK1202" s="1336"/>
      <c r="AL1202" s="772"/>
    </row>
    <row r="1203" spans="1:38" ht="11.25" customHeight="1">
      <c r="A1203" t="s">
        <v>1019</v>
      </c>
      <c r="B1203" t="s">
        <v>22</v>
      </c>
      <c r="E1203" s="557"/>
      <c r="F1203" s="1339"/>
      <c r="G1203" s="1325" t="s">
        <v>103</v>
      </c>
      <c r="H1203" s="1335" t="s">
        <v>114</v>
      </c>
      <c r="I1203" s="1347" t="s">
        <v>1071</v>
      </c>
      <c r="J1203" s="1360" t="s">
        <v>22</v>
      </c>
      <c r="K1203" s="1349" t="s">
        <v>1104</v>
      </c>
      <c r="L1203" s="1079" t="s">
        <v>61</v>
      </c>
      <c r="M1203" s="1364" t="s">
        <v>1018</v>
      </c>
      <c r="N1203" s="242"/>
      <c r="O1203" s="243" t="s">
        <v>384</v>
      </c>
      <c r="P1203" s="244"/>
      <c r="Q1203" s="244"/>
      <c r="R1203" s="244"/>
      <c r="S1203" s="244"/>
      <c r="T1203" s="244"/>
      <c r="U1203" s="244"/>
      <c r="V1203" s="244"/>
      <c r="W1203" s="244"/>
      <c r="X1203" s="244"/>
      <c r="Y1203" s="244"/>
      <c r="Z1203" s="244"/>
      <c r="AA1203" s="244"/>
      <c r="AB1203" s="244"/>
      <c r="AC1203" s="244"/>
      <c r="AD1203" s="244"/>
      <c r="AE1203" s="244"/>
      <c r="AF1203" s="1350">
        <v>1</v>
      </c>
      <c r="AG1203" s="1352" t="s">
        <v>1055</v>
      </c>
      <c r="AH1203" s="1352" t="s">
        <v>1105</v>
      </c>
      <c r="AI1203" s="1350">
        <v>1</v>
      </c>
      <c r="AJ1203" s="1352" t="s">
        <v>1055</v>
      </c>
      <c r="AK1203" s="1352" t="s">
        <v>1105</v>
      </c>
      <c r="AL1203" s="772"/>
    </row>
    <row r="1204" spans="1:38" ht="11.25" customHeight="1">
      <c r="A1204" t="s">
        <v>1019</v>
      </c>
      <c r="E1204" s="557"/>
      <c r="F1204" s="1339"/>
      <c r="G1204" s="1340"/>
      <c r="H1204" s="1335" t="s">
        <v>384</v>
      </c>
      <c r="I1204" s="1347"/>
      <c r="J1204" s="1360"/>
      <c r="K1204" s="1349"/>
      <c r="L1204" s="1079"/>
      <c r="M1204" s="1364"/>
      <c r="N1204" s="1355"/>
      <c r="O1204" s="1356">
        <v>1</v>
      </c>
      <c r="P1204" s="1357" t="s">
        <v>61</v>
      </c>
      <c r="Q1204" s="1348" t="s">
        <v>1074</v>
      </c>
      <c r="R1204" s="1362" t="s">
        <v>1075</v>
      </c>
      <c r="S1204" s="1362" t="s">
        <v>99</v>
      </c>
      <c r="T1204" s="1362" t="s">
        <v>99</v>
      </c>
      <c r="U1204" s="1362" t="s">
        <v>100</v>
      </c>
      <c r="V1204" s="1362" t="s">
        <v>1066</v>
      </c>
      <c r="W1204" s="1362" t="s">
        <v>1067</v>
      </c>
      <c r="X1204" s="1362" t="s">
        <v>1076</v>
      </c>
      <c r="Y1204" s="1362" t="s">
        <v>1077</v>
      </c>
      <c r="Z1204" s="229"/>
      <c r="AA1204" s="230"/>
      <c r="AB1204" s="230"/>
      <c r="AC1204" s="231"/>
      <c r="AD1204" s="231"/>
      <c r="AE1204" s="245"/>
      <c r="AF1204" s="1350"/>
      <c r="AG1204" s="1352"/>
      <c r="AH1204" s="1352"/>
      <c r="AI1204" s="1350"/>
      <c r="AJ1204" s="1352"/>
      <c r="AK1204" s="1352"/>
      <c r="AL1204" s="772"/>
    </row>
    <row r="1205" spans="1:38" ht="11.25" customHeight="1">
      <c r="A1205" t="s">
        <v>1019</v>
      </c>
      <c r="E1205" s="557"/>
      <c r="F1205" s="1339"/>
      <c r="G1205" s="1340"/>
      <c r="H1205" s="1335" t="s">
        <v>384</v>
      </c>
      <c r="I1205" s="1347"/>
      <c r="J1205" s="1360"/>
      <c r="K1205" s="1349"/>
      <c r="L1205" s="1079"/>
      <c r="M1205" s="1364"/>
      <c r="N1205" s="1355"/>
      <c r="O1205" s="1356"/>
      <c r="P1205" s="1358"/>
      <c r="Q1205" s="1348"/>
      <c r="R1205" s="1308"/>
      <c r="S1205" s="1361"/>
      <c r="T1205" s="1308"/>
      <c r="U1205" s="1308"/>
      <c r="V1205" s="1308"/>
      <c r="W1205" s="1308"/>
      <c r="X1205" s="1308"/>
      <c r="Y1205" s="1308"/>
      <c r="AA1205" s="778">
        <v>1</v>
      </c>
      <c r="AB1205" s="779" t="s">
        <v>1119</v>
      </c>
      <c r="AC1205" s="237">
        <v>218211.73707791601</v>
      </c>
      <c r="AD1205" s="779" t="str">
        <f>AB1205</f>
        <v xml:space="preserve">  Прибыль направляемая на инвестиции</v>
      </c>
      <c r="AE1205" s="237">
        <v>0</v>
      </c>
      <c r="AF1205" s="1350"/>
      <c r="AG1205" s="1352"/>
      <c r="AH1205" s="1352"/>
      <c r="AI1205" s="1350"/>
      <c r="AJ1205" s="1352"/>
      <c r="AK1205" s="1352"/>
      <c r="AL1205" s="772"/>
    </row>
    <row r="1206" spans="1:38" ht="11.25" customHeight="1">
      <c r="A1206" t="s">
        <v>1019</v>
      </c>
      <c r="E1206" s="557"/>
      <c r="F1206" s="1340"/>
      <c r="G1206" s="1340"/>
      <c r="H1206" s="1340"/>
      <c r="I1206" s="1340"/>
      <c r="J1206" s="1340"/>
      <c r="K1206" s="1340"/>
      <c r="L1206" s="1340"/>
      <c r="M1206" s="1365"/>
      <c r="N1206" s="1340"/>
      <c r="O1206" s="1340"/>
      <c r="P1206" s="1340"/>
      <c r="Q1206" s="1340"/>
      <c r="R1206" s="1340"/>
      <c r="S1206" s="1340"/>
      <c r="T1206" s="1340"/>
      <c r="U1206" s="1340"/>
      <c r="V1206" s="1340"/>
      <c r="W1206" s="1340"/>
      <c r="X1206" s="1340"/>
      <c r="Y1206" s="1340"/>
      <c r="Z1206" s="181" t="s">
        <v>103</v>
      </c>
      <c r="AA1206" s="780" t="s">
        <v>102</v>
      </c>
      <c r="AB1206" s="779" t="s">
        <v>1120</v>
      </c>
      <c r="AC1206" s="237">
        <v>68445.293136212698</v>
      </c>
      <c r="AD1206" s="779" t="str">
        <f>AB1206</f>
        <v xml:space="preserve">     Прочие амортизационные отчисления</v>
      </c>
      <c r="AE1206" s="237">
        <v>0</v>
      </c>
      <c r="AF1206" s="1351"/>
      <c r="AG1206" s="1353"/>
      <c r="AH1206" s="1353"/>
      <c r="AI1206" s="1351"/>
      <c r="AJ1206" s="1353"/>
      <c r="AK1206" s="1354"/>
      <c r="AL1206" s="772"/>
    </row>
    <row r="1207" spans="1:38" ht="11.25" customHeight="1">
      <c r="A1207" t="s">
        <v>1019</v>
      </c>
      <c r="E1207" s="557"/>
      <c r="F1207" s="1340"/>
      <c r="G1207" s="1340"/>
      <c r="H1207" s="1340"/>
      <c r="I1207" s="1340"/>
      <c r="J1207" s="1340"/>
      <c r="K1207" s="1340"/>
      <c r="L1207" s="1340"/>
      <c r="M1207" s="1365"/>
      <c r="N1207" s="1340"/>
      <c r="O1207" s="1340"/>
      <c r="P1207" s="1340"/>
      <c r="Q1207" s="1340"/>
      <c r="R1207" s="1340"/>
      <c r="S1207" s="1340"/>
      <c r="T1207" s="1340"/>
      <c r="U1207" s="1340"/>
      <c r="V1207" s="1340"/>
      <c r="W1207" s="1340"/>
      <c r="X1207" s="1340"/>
      <c r="Y1207" s="1340"/>
      <c r="Z1207" s="181" t="s">
        <v>103</v>
      </c>
      <c r="AA1207" s="780" t="s">
        <v>89</v>
      </c>
      <c r="AB1207" s="779" t="s">
        <v>1142</v>
      </c>
      <c r="AC1207" s="237">
        <v>59909.551407771301</v>
      </c>
      <c r="AD1207" s="779" t="str">
        <f>AB1207</f>
        <v xml:space="preserve">  Доход от взимания платы за негативное воздействие на работу централизованной системы водоотведения</v>
      </c>
      <c r="AE1207" s="237">
        <v>0</v>
      </c>
      <c r="AF1207" s="1351"/>
      <c r="AG1207" s="1353"/>
      <c r="AH1207" s="1353"/>
      <c r="AI1207" s="1351"/>
      <c r="AJ1207" s="1353"/>
      <c r="AK1207" s="1354"/>
      <c r="AL1207" s="772"/>
    </row>
    <row r="1208" spans="1:38" ht="11.25" customHeight="1">
      <c r="A1208" t="s">
        <v>1019</v>
      </c>
      <c r="E1208" s="557"/>
      <c r="F1208" s="1339"/>
      <c r="G1208" s="1340"/>
      <c r="H1208" s="1335" t="s">
        <v>384</v>
      </c>
      <c r="I1208" s="1347"/>
      <c r="J1208" s="1360"/>
      <c r="K1208" s="1349"/>
      <c r="L1208" s="1079"/>
      <c r="M1208" s="1364"/>
      <c r="N1208" s="1355"/>
      <c r="O1208" s="1356"/>
      <c r="P1208" s="1359"/>
      <c r="Q1208" s="1348"/>
      <c r="R1208" s="1308"/>
      <c r="S1208" s="1361"/>
      <c r="T1208" s="1308"/>
      <c r="U1208" s="1308"/>
      <c r="V1208" s="1308"/>
      <c r="W1208" s="1308"/>
      <c r="X1208" s="1308"/>
      <c r="Y1208" s="1308"/>
      <c r="Z1208" s="229"/>
      <c r="AA1208" s="230"/>
      <c r="AB1208" s="44" t="s">
        <v>1059</v>
      </c>
      <c r="AC1208" s="231"/>
      <c r="AD1208" s="231"/>
      <c r="AE1208" s="246"/>
      <c r="AF1208" s="1350"/>
      <c r="AG1208" s="1352"/>
      <c r="AH1208" s="1352"/>
      <c r="AI1208" s="1350"/>
      <c r="AJ1208" s="1352"/>
      <c r="AK1208" s="1352"/>
      <c r="AL1208" s="772"/>
    </row>
    <row r="1209" spans="1:38" ht="11.25" customHeight="1">
      <c r="A1209" t="s">
        <v>1019</v>
      </c>
      <c r="E1209" s="557"/>
      <c r="F1209" s="1339"/>
      <c r="G1209" s="1340"/>
      <c r="H1209" s="1335" t="s">
        <v>384</v>
      </c>
      <c r="I1209" s="1347"/>
      <c r="J1209" s="1360"/>
      <c r="K1209" s="1349"/>
      <c r="L1209" s="1079"/>
      <c r="M1209" s="1364"/>
      <c r="N1209" s="229"/>
      <c r="O1209" s="230"/>
      <c r="P1209" s="44" t="s">
        <v>1060</v>
      </c>
      <c r="Q1209" s="230"/>
      <c r="R1209" s="230"/>
      <c r="S1209" s="230"/>
      <c r="T1209" s="230"/>
      <c r="U1209" s="230"/>
      <c r="V1209" s="230"/>
      <c r="W1209" s="230"/>
      <c r="X1209" s="230"/>
      <c r="Y1209" s="230"/>
      <c r="Z1209" s="230"/>
      <c r="AA1209" s="230"/>
      <c r="AB1209" s="230"/>
      <c r="AC1209" s="230"/>
      <c r="AD1209" s="230"/>
      <c r="AE1209" s="247"/>
      <c r="AF1209" s="1350"/>
      <c r="AG1209" s="1352"/>
      <c r="AH1209" s="1352"/>
      <c r="AI1209" s="1350"/>
      <c r="AJ1209" s="1352"/>
      <c r="AK1209" s="1352"/>
      <c r="AL1209" s="772"/>
    </row>
    <row r="1210" spans="1:38" ht="11.25" customHeight="1">
      <c r="A1210" t="s">
        <v>1019</v>
      </c>
      <c r="B1210" t="s">
        <v>1051</v>
      </c>
      <c r="E1210" s="557"/>
      <c r="F1210" s="1339"/>
      <c r="G1210" s="1325" t="s">
        <v>103</v>
      </c>
      <c r="H1210" s="1335" t="s">
        <v>102</v>
      </c>
      <c r="I1210" s="1347" t="s">
        <v>1052</v>
      </c>
      <c r="J1210" s="1363" t="s">
        <v>1093</v>
      </c>
      <c r="K1210" s="1349" t="s">
        <v>1100</v>
      </c>
      <c r="L1210" s="1079" t="s">
        <v>19</v>
      </c>
      <c r="M1210" s="1080"/>
      <c r="N1210" s="242"/>
      <c r="O1210" s="243" t="s">
        <v>384</v>
      </c>
      <c r="P1210" s="244"/>
      <c r="Q1210" s="244"/>
      <c r="R1210" s="244"/>
      <c r="S1210" s="244"/>
      <c r="T1210" s="244"/>
      <c r="U1210" s="244"/>
      <c r="V1210" s="244"/>
      <c r="W1210" s="244"/>
      <c r="X1210" s="244"/>
      <c r="Y1210" s="244"/>
      <c r="Z1210" s="244"/>
      <c r="AA1210" s="244"/>
      <c r="AB1210" s="244"/>
      <c r="AC1210" s="244"/>
      <c r="AD1210" s="244"/>
      <c r="AE1210" s="244"/>
      <c r="AF1210" s="1350">
        <v>3</v>
      </c>
      <c r="AG1210" s="1352" t="s">
        <v>1055</v>
      </c>
      <c r="AH1210" s="1352" t="s">
        <v>1101</v>
      </c>
      <c r="AI1210" s="1350">
        <v>3</v>
      </c>
      <c r="AJ1210" s="1352" t="s">
        <v>1055</v>
      </c>
      <c r="AK1210" s="1352" t="s">
        <v>1101</v>
      </c>
      <c r="AL1210" s="772"/>
    </row>
    <row r="1211" spans="1:38" ht="11.25" customHeight="1">
      <c r="A1211" t="s">
        <v>1019</v>
      </c>
      <c r="E1211" s="557"/>
      <c r="F1211" s="1339"/>
      <c r="G1211" s="1340"/>
      <c r="H1211" s="1335" t="s">
        <v>114</v>
      </c>
      <c r="I1211" s="1347"/>
      <c r="J1211" s="1363"/>
      <c r="K1211" s="1349"/>
      <c r="L1211" s="1079"/>
      <c r="M1211" s="1080"/>
      <c r="N1211" s="1355"/>
      <c r="O1211" s="1356">
        <v>1</v>
      </c>
      <c r="P1211" s="1357" t="s">
        <v>19</v>
      </c>
      <c r="Q1211" s="1308" t="s">
        <v>22</v>
      </c>
      <c r="R1211" s="1308" t="s">
        <v>22</v>
      </c>
      <c r="S1211" s="1308" t="s">
        <v>22</v>
      </c>
      <c r="T1211" s="1308" t="s">
        <v>22</v>
      </c>
      <c r="U1211" s="1308" t="s">
        <v>22</v>
      </c>
      <c r="V1211" s="1308" t="s">
        <v>22</v>
      </c>
      <c r="W1211" s="1308" t="s">
        <v>22</v>
      </c>
      <c r="X1211" s="1308" t="s">
        <v>22</v>
      </c>
      <c r="Y1211" s="1308"/>
      <c r="Z1211" s="229"/>
      <c r="AA1211" s="230"/>
      <c r="AB1211" s="230"/>
      <c r="AC1211" s="231"/>
      <c r="AD1211" s="231"/>
      <c r="AE1211" s="245"/>
      <c r="AF1211" s="1350"/>
      <c r="AG1211" s="1352"/>
      <c r="AH1211" s="1352"/>
      <c r="AI1211" s="1350"/>
      <c r="AJ1211" s="1352"/>
      <c r="AK1211" s="1352"/>
      <c r="AL1211" s="772"/>
    </row>
    <row r="1212" spans="1:38" ht="11.25" customHeight="1">
      <c r="A1212" t="s">
        <v>1019</v>
      </c>
      <c r="E1212" s="557"/>
      <c r="F1212" s="1339"/>
      <c r="G1212" s="1340"/>
      <c r="H1212" s="1335" t="s">
        <v>114</v>
      </c>
      <c r="I1212" s="1347"/>
      <c r="J1212" s="1363"/>
      <c r="K1212" s="1349"/>
      <c r="L1212" s="1079"/>
      <c r="M1212" s="1080"/>
      <c r="N1212" s="1355"/>
      <c r="O1212" s="1356"/>
      <c r="P1212" s="1358"/>
      <c r="Q1212" s="1308"/>
      <c r="R1212" s="1308"/>
      <c r="S1212" s="1361"/>
      <c r="T1212" s="1308"/>
      <c r="U1212" s="1308"/>
      <c r="V1212" s="1308"/>
      <c r="W1212" s="1308"/>
      <c r="X1212" s="1308"/>
      <c r="Y1212" s="1308"/>
      <c r="AA1212" s="778">
        <v>1</v>
      </c>
      <c r="AB1212" s="779" t="s">
        <v>1119</v>
      </c>
      <c r="AC1212" s="237">
        <v>15118.6007120717</v>
      </c>
      <c r="AD1212" s="779" t="str">
        <f>AB1212</f>
        <v xml:space="preserve">  Прибыль направляемая на инвестиции</v>
      </c>
      <c r="AE1212" s="237">
        <v>0</v>
      </c>
      <c r="AF1212" s="1350"/>
      <c r="AG1212" s="1352"/>
      <c r="AH1212" s="1352"/>
      <c r="AI1212" s="1350"/>
      <c r="AJ1212" s="1352"/>
      <c r="AK1212" s="1352"/>
      <c r="AL1212" s="772"/>
    </row>
    <row r="1213" spans="1:38" ht="11.25" customHeight="1">
      <c r="A1213" t="s">
        <v>1019</v>
      </c>
      <c r="E1213" s="557"/>
      <c r="F1213" s="1340"/>
      <c r="G1213" s="1340"/>
      <c r="H1213" s="1340"/>
      <c r="I1213" s="1340"/>
      <c r="J1213" s="1340"/>
      <c r="K1213" s="1340"/>
      <c r="L1213" s="1340"/>
      <c r="M1213" s="1340"/>
      <c r="N1213" s="1340"/>
      <c r="O1213" s="1340"/>
      <c r="P1213" s="1340"/>
      <c r="Q1213" s="1340"/>
      <c r="R1213" s="1340"/>
      <c r="S1213" s="1340"/>
      <c r="T1213" s="1340"/>
      <c r="U1213" s="1340"/>
      <c r="V1213" s="1340"/>
      <c r="W1213" s="1340"/>
      <c r="X1213" s="1340"/>
      <c r="Y1213" s="1340"/>
      <c r="Z1213" s="181" t="s">
        <v>103</v>
      </c>
      <c r="AA1213" s="780" t="s">
        <v>102</v>
      </c>
      <c r="AB1213" s="779" t="s">
        <v>1120</v>
      </c>
      <c r="AC1213" s="237">
        <v>4742.1695615649396</v>
      </c>
      <c r="AD1213" s="779" t="str">
        <f>AB1213</f>
        <v xml:space="preserve">     Прочие амортизационные отчисления</v>
      </c>
      <c r="AE1213" s="237">
        <v>0</v>
      </c>
      <c r="AF1213" s="1351"/>
      <c r="AG1213" s="1353"/>
      <c r="AH1213" s="1353"/>
      <c r="AI1213" s="1351"/>
      <c r="AJ1213" s="1353"/>
      <c r="AK1213" s="1354"/>
      <c r="AL1213" s="772"/>
    </row>
    <row r="1214" spans="1:38" ht="11.25" customHeight="1">
      <c r="A1214" t="s">
        <v>1019</v>
      </c>
      <c r="E1214" s="557"/>
      <c r="F1214" s="1340"/>
      <c r="G1214" s="1340"/>
      <c r="H1214" s="1340"/>
      <c r="I1214" s="1340"/>
      <c r="J1214" s="1340"/>
      <c r="K1214" s="1340"/>
      <c r="L1214" s="1340"/>
      <c r="M1214" s="1340"/>
      <c r="N1214" s="1340"/>
      <c r="O1214" s="1340"/>
      <c r="P1214" s="1340"/>
      <c r="Q1214" s="1340"/>
      <c r="R1214" s="1340"/>
      <c r="S1214" s="1340"/>
      <c r="T1214" s="1340"/>
      <c r="U1214" s="1340"/>
      <c r="V1214" s="1340"/>
      <c r="W1214" s="1340"/>
      <c r="X1214" s="1340"/>
      <c r="Y1214" s="1340"/>
      <c r="Z1214" s="181" t="s">
        <v>103</v>
      </c>
      <c r="AA1214" s="780" t="s">
        <v>89</v>
      </c>
      <c r="AB1214" s="779" t="s">
        <v>1142</v>
      </c>
      <c r="AC1214" s="237">
        <v>4150.7784993710802</v>
      </c>
      <c r="AD1214" s="779" t="str">
        <f>AB1214</f>
        <v xml:space="preserve">  Доход от взимания платы за негативное воздействие на работу централизованной системы водоотведения</v>
      </c>
      <c r="AE1214" s="237">
        <v>0</v>
      </c>
      <c r="AF1214" s="1351"/>
      <c r="AG1214" s="1353"/>
      <c r="AH1214" s="1353"/>
      <c r="AI1214" s="1351"/>
      <c r="AJ1214" s="1353"/>
      <c r="AK1214" s="1354"/>
      <c r="AL1214" s="772"/>
    </row>
    <row r="1215" spans="1:38" ht="11.25" customHeight="1">
      <c r="A1215" t="s">
        <v>1019</v>
      </c>
      <c r="E1215" s="557"/>
      <c r="F1215" s="1339"/>
      <c r="G1215" s="1340"/>
      <c r="H1215" s="1335" t="s">
        <v>114</v>
      </c>
      <c r="I1215" s="1347"/>
      <c r="J1215" s="1363"/>
      <c r="K1215" s="1349"/>
      <c r="L1215" s="1079"/>
      <c r="M1215" s="1080"/>
      <c r="N1215" s="1355"/>
      <c r="O1215" s="1356"/>
      <c r="P1215" s="1359"/>
      <c r="Q1215" s="1308"/>
      <c r="R1215" s="1308"/>
      <c r="S1215" s="1361"/>
      <c r="T1215" s="1308"/>
      <c r="U1215" s="1308"/>
      <c r="V1215" s="1308"/>
      <c r="W1215" s="1308"/>
      <c r="X1215" s="1308"/>
      <c r="Y1215" s="1308"/>
      <c r="Z1215" s="229"/>
      <c r="AA1215" s="230"/>
      <c r="AB1215" s="44" t="s">
        <v>1059</v>
      </c>
      <c r="AC1215" s="231"/>
      <c r="AD1215" s="231"/>
      <c r="AE1215" s="246"/>
      <c r="AF1215" s="1350"/>
      <c r="AG1215" s="1352"/>
      <c r="AH1215" s="1352"/>
      <c r="AI1215" s="1350"/>
      <c r="AJ1215" s="1352"/>
      <c r="AK1215" s="1352"/>
      <c r="AL1215" s="772"/>
    </row>
    <row r="1216" spans="1:38" ht="11.25" customHeight="1">
      <c r="A1216" t="s">
        <v>1019</v>
      </c>
      <c r="E1216" s="557"/>
      <c r="F1216" s="1339"/>
      <c r="G1216" s="1340"/>
      <c r="H1216" s="1335" t="s">
        <v>114</v>
      </c>
      <c r="I1216" s="1347"/>
      <c r="J1216" s="1363"/>
      <c r="K1216" s="1349"/>
      <c r="L1216" s="1079"/>
      <c r="M1216" s="1080"/>
      <c r="N1216" s="229"/>
      <c r="O1216" s="230"/>
      <c r="P1216" s="44" t="s">
        <v>1060</v>
      </c>
      <c r="Q1216" s="230"/>
      <c r="R1216" s="230"/>
      <c r="S1216" s="230"/>
      <c r="T1216" s="230"/>
      <c r="U1216" s="230"/>
      <c r="V1216" s="230"/>
      <c r="W1216" s="230"/>
      <c r="X1216" s="230"/>
      <c r="Y1216" s="230"/>
      <c r="Z1216" s="230"/>
      <c r="AA1216" s="230"/>
      <c r="AB1216" s="230"/>
      <c r="AC1216" s="230"/>
      <c r="AD1216" s="230"/>
      <c r="AE1216" s="247"/>
      <c r="AF1216" s="1350"/>
      <c r="AG1216" s="1352"/>
      <c r="AH1216" s="1352"/>
      <c r="AI1216" s="1350"/>
      <c r="AJ1216" s="1352"/>
      <c r="AK1216" s="1352"/>
      <c r="AL1216" s="772"/>
    </row>
    <row r="1217" spans="1:38" ht="11.25" customHeight="1">
      <c r="A1217" t="s">
        <v>1019</v>
      </c>
      <c r="B1217" t="s">
        <v>1051</v>
      </c>
      <c r="E1217" s="557"/>
      <c r="F1217" s="1339"/>
      <c r="G1217" s="1325" t="s">
        <v>103</v>
      </c>
      <c r="H1217" s="1335" t="s">
        <v>89</v>
      </c>
      <c r="I1217" s="1347" t="s">
        <v>1052</v>
      </c>
      <c r="J1217" s="1363" t="s">
        <v>1053</v>
      </c>
      <c r="K1217" s="1349" t="s">
        <v>1102</v>
      </c>
      <c r="L1217" s="1079" t="s">
        <v>61</v>
      </c>
      <c r="M1217" s="1364" t="s">
        <v>1018</v>
      </c>
      <c r="N1217" s="242"/>
      <c r="O1217" s="243" t="s">
        <v>384</v>
      </c>
      <c r="P1217" s="244"/>
      <c r="Q1217" s="244"/>
      <c r="R1217" s="244"/>
      <c r="S1217" s="244"/>
      <c r="T1217" s="244"/>
      <c r="U1217" s="244"/>
      <c r="V1217" s="244"/>
      <c r="W1217" s="244"/>
      <c r="X1217" s="244"/>
      <c r="Y1217" s="244"/>
      <c r="Z1217" s="244"/>
      <c r="AA1217" s="244"/>
      <c r="AB1217" s="244"/>
      <c r="AC1217" s="244"/>
      <c r="AD1217" s="244"/>
      <c r="AE1217" s="244"/>
      <c r="AF1217" s="1350">
        <v>2</v>
      </c>
      <c r="AG1217" s="1352" t="s">
        <v>1055</v>
      </c>
      <c r="AH1217" s="1352" t="s">
        <v>1103</v>
      </c>
      <c r="AI1217" s="1350">
        <v>2</v>
      </c>
      <c r="AJ1217" s="1352" t="s">
        <v>1055</v>
      </c>
      <c r="AK1217" s="1352" t="s">
        <v>1103</v>
      </c>
      <c r="AL1217" s="772"/>
    </row>
    <row r="1218" spans="1:38" ht="11.25" customHeight="1">
      <c r="A1218" t="s">
        <v>1019</v>
      </c>
      <c r="E1218" s="557"/>
      <c r="F1218" s="1339"/>
      <c r="G1218" s="1340"/>
      <c r="H1218" s="1335" t="s">
        <v>102</v>
      </c>
      <c r="I1218" s="1347"/>
      <c r="J1218" s="1363"/>
      <c r="K1218" s="1349"/>
      <c r="L1218" s="1079"/>
      <c r="M1218" s="1364"/>
      <c r="N1218" s="1355"/>
      <c r="O1218" s="1356">
        <v>1</v>
      </c>
      <c r="P1218" s="1357" t="s">
        <v>19</v>
      </c>
      <c r="Q1218" s="1308" t="s">
        <v>22</v>
      </c>
      <c r="R1218" s="1308" t="s">
        <v>22</v>
      </c>
      <c r="S1218" s="1308" t="s">
        <v>22</v>
      </c>
      <c r="T1218" s="1308" t="s">
        <v>22</v>
      </c>
      <c r="U1218" s="1308" t="s">
        <v>22</v>
      </c>
      <c r="V1218" s="1308" t="s">
        <v>22</v>
      </c>
      <c r="W1218" s="1308" t="s">
        <v>22</v>
      </c>
      <c r="X1218" s="1308" t="s">
        <v>22</v>
      </c>
      <c r="Y1218" s="1308"/>
      <c r="Z1218" s="229"/>
      <c r="AA1218" s="230"/>
      <c r="AB1218" s="230"/>
      <c r="AC1218" s="231"/>
      <c r="AD1218" s="231"/>
      <c r="AE1218" s="245"/>
      <c r="AF1218" s="1350"/>
      <c r="AG1218" s="1352"/>
      <c r="AH1218" s="1352"/>
      <c r="AI1218" s="1350"/>
      <c r="AJ1218" s="1352"/>
      <c r="AK1218" s="1352"/>
      <c r="AL1218" s="772"/>
    </row>
    <row r="1219" spans="1:38" ht="11.25" customHeight="1">
      <c r="A1219" t="s">
        <v>1019</v>
      </c>
      <c r="E1219" s="557"/>
      <c r="F1219" s="1339"/>
      <c r="G1219" s="1340"/>
      <c r="H1219" s="1335" t="s">
        <v>102</v>
      </c>
      <c r="I1219" s="1347"/>
      <c r="J1219" s="1363"/>
      <c r="K1219" s="1349"/>
      <c r="L1219" s="1079"/>
      <c r="M1219" s="1364"/>
      <c r="N1219" s="1355"/>
      <c r="O1219" s="1356"/>
      <c r="P1219" s="1358"/>
      <c r="Q1219" s="1308"/>
      <c r="R1219" s="1308"/>
      <c r="S1219" s="1361"/>
      <c r="T1219" s="1308"/>
      <c r="U1219" s="1308"/>
      <c r="V1219" s="1308"/>
      <c r="W1219" s="1308"/>
      <c r="X1219" s="1308"/>
      <c r="Y1219" s="1308"/>
      <c r="AA1219" s="778">
        <v>1</v>
      </c>
      <c r="AB1219" s="779" t="s">
        <v>1119</v>
      </c>
      <c r="AC1219" s="237">
        <v>153478.632675392</v>
      </c>
      <c r="AD1219" s="779" t="str">
        <f>AB1219</f>
        <v xml:space="preserve">  Прибыль направляемая на инвестиции</v>
      </c>
      <c r="AE1219" s="237">
        <v>0</v>
      </c>
      <c r="AF1219" s="1350"/>
      <c r="AG1219" s="1352"/>
      <c r="AH1219" s="1352"/>
      <c r="AI1219" s="1350"/>
      <c r="AJ1219" s="1352"/>
      <c r="AK1219" s="1352"/>
      <c r="AL1219" s="772"/>
    </row>
    <row r="1220" spans="1:38" ht="11.25" customHeight="1">
      <c r="A1220" t="s">
        <v>1019</v>
      </c>
      <c r="E1220" s="557"/>
      <c r="F1220" s="1340"/>
      <c r="G1220" s="1340"/>
      <c r="H1220" s="1340"/>
      <c r="I1220" s="1340"/>
      <c r="J1220" s="1340"/>
      <c r="K1220" s="1340"/>
      <c r="L1220" s="1340"/>
      <c r="M1220" s="1365"/>
      <c r="N1220" s="1340"/>
      <c r="O1220" s="1340"/>
      <c r="P1220" s="1340"/>
      <c r="Q1220" s="1340"/>
      <c r="R1220" s="1340"/>
      <c r="S1220" s="1340"/>
      <c r="T1220" s="1340"/>
      <c r="U1220" s="1340"/>
      <c r="V1220" s="1340"/>
      <c r="W1220" s="1340"/>
      <c r="X1220" s="1340"/>
      <c r="Y1220" s="1340"/>
      <c r="Z1220" s="181" t="s">
        <v>103</v>
      </c>
      <c r="AA1220" s="780" t="s">
        <v>102</v>
      </c>
      <c r="AB1220" s="779" t="s">
        <v>1120</v>
      </c>
      <c r="AC1220" s="237">
        <v>48140.811050238699</v>
      </c>
      <c r="AD1220" s="779" t="str">
        <f>AB1220</f>
        <v xml:space="preserve">     Прочие амортизационные отчисления</v>
      </c>
      <c r="AE1220" s="237">
        <v>0</v>
      </c>
      <c r="AF1220" s="1351"/>
      <c r="AG1220" s="1353"/>
      <c r="AH1220" s="1353"/>
      <c r="AI1220" s="1351"/>
      <c r="AJ1220" s="1353"/>
      <c r="AK1220" s="1354"/>
      <c r="AL1220" s="772"/>
    </row>
    <row r="1221" spans="1:38" ht="11.25" customHeight="1">
      <c r="A1221" t="s">
        <v>1019</v>
      </c>
      <c r="E1221" s="557"/>
      <c r="F1221" s="1340"/>
      <c r="G1221" s="1340"/>
      <c r="H1221" s="1340"/>
      <c r="I1221" s="1340"/>
      <c r="J1221" s="1340"/>
      <c r="K1221" s="1340"/>
      <c r="L1221" s="1340"/>
      <c r="M1221" s="1365"/>
      <c r="N1221" s="1340"/>
      <c r="O1221" s="1340"/>
      <c r="P1221" s="1340"/>
      <c r="Q1221" s="1340"/>
      <c r="R1221" s="1340"/>
      <c r="S1221" s="1340"/>
      <c r="T1221" s="1340"/>
      <c r="U1221" s="1340"/>
      <c r="V1221" s="1340"/>
      <c r="W1221" s="1340"/>
      <c r="X1221" s="1340"/>
      <c r="Y1221" s="1340"/>
      <c r="Z1221" s="181" t="s">
        <v>103</v>
      </c>
      <c r="AA1221" s="780" t="s">
        <v>89</v>
      </c>
      <c r="AB1221" s="779" t="s">
        <v>1142</v>
      </c>
      <c r="AC1221" s="237">
        <v>42137.220286082302</v>
      </c>
      <c r="AD1221" s="779" t="str">
        <f>AB1221</f>
        <v xml:space="preserve">  Доход от взимания платы за негативное воздействие на работу централизованной системы водоотведения</v>
      </c>
      <c r="AE1221" s="237">
        <v>0</v>
      </c>
      <c r="AF1221" s="1351"/>
      <c r="AG1221" s="1353"/>
      <c r="AH1221" s="1353"/>
      <c r="AI1221" s="1351"/>
      <c r="AJ1221" s="1353"/>
      <c r="AK1221" s="1354"/>
      <c r="AL1221" s="772"/>
    </row>
    <row r="1222" spans="1:38" ht="11.25" customHeight="1">
      <c r="A1222" t="s">
        <v>1019</v>
      </c>
      <c r="E1222" s="557"/>
      <c r="F1222" s="1339"/>
      <c r="G1222" s="1340"/>
      <c r="H1222" s="1335" t="s">
        <v>102</v>
      </c>
      <c r="I1222" s="1347"/>
      <c r="J1222" s="1363"/>
      <c r="K1222" s="1349"/>
      <c r="L1222" s="1079"/>
      <c r="M1222" s="1364"/>
      <c r="N1222" s="1355"/>
      <c r="O1222" s="1356"/>
      <c r="P1222" s="1359"/>
      <c r="Q1222" s="1308"/>
      <c r="R1222" s="1308"/>
      <c r="S1222" s="1361"/>
      <c r="T1222" s="1308"/>
      <c r="U1222" s="1308"/>
      <c r="V1222" s="1308"/>
      <c r="W1222" s="1308"/>
      <c r="X1222" s="1308"/>
      <c r="Y1222" s="1308"/>
      <c r="Z1222" s="229"/>
      <c r="AA1222" s="230"/>
      <c r="AB1222" s="44" t="s">
        <v>1059</v>
      </c>
      <c r="AC1222" s="231"/>
      <c r="AD1222" s="231"/>
      <c r="AE1222" s="246"/>
      <c r="AF1222" s="1350"/>
      <c r="AG1222" s="1352"/>
      <c r="AH1222" s="1352"/>
      <c r="AI1222" s="1350"/>
      <c r="AJ1222" s="1352"/>
      <c r="AK1222" s="1352"/>
      <c r="AL1222" s="772"/>
    </row>
    <row r="1223" spans="1:38" ht="11.25" customHeight="1">
      <c r="A1223" t="s">
        <v>1019</v>
      </c>
      <c r="E1223" s="557"/>
      <c r="F1223" s="1339"/>
      <c r="G1223" s="1340"/>
      <c r="H1223" s="1335" t="s">
        <v>102</v>
      </c>
      <c r="I1223" s="1347"/>
      <c r="J1223" s="1363"/>
      <c r="K1223" s="1349"/>
      <c r="L1223" s="1079"/>
      <c r="M1223" s="1364"/>
      <c r="N1223" s="229"/>
      <c r="O1223" s="230"/>
      <c r="P1223" s="44" t="s">
        <v>1060</v>
      </c>
      <c r="Q1223" s="230"/>
      <c r="R1223" s="230"/>
      <c r="S1223" s="230"/>
      <c r="T1223" s="230"/>
      <c r="U1223" s="230"/>
      <c r="V1223" s="230"/>
      <c r="W1223" s="230"/>
      <c r="X1223" s="230"/>
      <c r="Y1223" s="230"/>
      <c r="Z1223" s="230"/>
      <c r="AA1223" s="230"/>
      <c r="AB1223" s="230"/>
      <c r="AC1223" s="230"/>
      <c r="AD1223" s="230"/>
      <c r="AE1223" s="247"/>
      <c r="AF1223" s="1350"/>
      <c r="AG1223" s="1352"/>
      <c r="AH1223" s="1352"/>
      <c r="AI1223" s="1350"/>
      <c r="AJ1223" s="1352"/>
      <c r="AK1223" s="1352"/>
      <c r="AL1223" s="772"/>
    </row>
    <row r="1224" spans="1:38" ht="11.25" customHeight="1">
      <c r="A1224" t="s">
        <v>1019</v>
      </c>
      <c r="B1224" t="s">
        <v>1051</v>
      </c>
      <c r="E1224" s="557"/>
      <c r="F1224" s="1339"/>
      <c r="G1224" s="1325" t="s">
        <v>103</v>
      </c>
      <c r="H1224" s="1335" t="s">
        <v>90</v>
      </c>
      <c r="I1224" s="1347" t="s">
        <v>1052</v>
      </c>
      <c r="J1224" s="1363" t="s">
        <v>1093</v>
      </c>
      <c r="K1224" s="1349" t="s">
        <v>1195</v>
      </c>
      <c r="L1224" s="1079" t="s">
        <v>19</v>
      </c>
      <c r="M1224" s="1080"/>
      <c r="N1224" s="242"/>
      <c r="O1224" s="243" t="s">
        <v>384</v>
      </c>
      <c r="P1224" s="244"/>
      <c r="Q1224" s="244"/>
      <c r="R1224" s="244"/>
      <c r="S1224" s="244"/>
      <c r="T1224" s="244"/>
      <c r="U1224" s="244"/>
      <c r="V1224" s="244"/>
      <c r="W1224" s="244"/>
      <c r="X1224" s="244"/>
      <c r="Y1224" s="244"/>
      <c r="Z1224" s="244"/>
      <c r="AA1224" s="244"/>
      <c r="AB1224" s="244"/>
      <c r="AC1224" s="244"/>
      <c r="AD1224" s="244"/>
      <c r="AE1224" s="244"/>
      <c r="AF1224" s="1350">
        <v>2</v>
      </c>
      <c r="AG1224" s="1352" t="s">
        <v>1055</v>
      </c>
      <c r="AH1224" s="1352" t="s">
        <v>1103</v>
      </c>
      <c r="AI1224" s="1350">
        <v>2</v>
      </c>
      <c r="AJ1224" s="1352" t="s">
        <v>1055</v>
      </c>
      <c r="AK1224" s="1352" t="s">
        <v>1103</v>
      </c>
      <c r="AL1224" s="772"/>
    </row>
    <row r="1225" spans="1:38" ht="11.25" customHeight="1">
      <c r="A1225" t="s">
        <v>1019</v>
      </c>
      <c r="E1225" s="557"/>
      <c r="F1225" s="1339"/>
      <c r="G1225" s="1340"/>
      <c r="H1225" s="1335" t="s">
        <v>89</v>
      </c>
      <c r="I1225" s="1347"/>
      <c r="J1225" s="1363"/>
      <c r="K1225" s="1349"/>
      <c r="L1225" s="1079"/>
      <c r="M1225" s="1080"/>
      <c r="N1225" s="1355"/>
      <c r="O1225" s="1356">
        <v>1</v>
      </c>
      <c r="P1225" s="1357" t="s">
        <v>19</v>
      </c>
      <c r="Q1225" s="1308" t="s">
        <v>22</v>
      </c>
      <c r="R1225" s="1308" t="s">
        <v>22</v>
      </c>
      <c r="S1225" s="1308" t="s">
        <v>22</v>
      </c>
      <c r="T1225" s="1308" t="s">
        <v>22</v>
      </c>
      <c r="U1225" s="1308" t="s">
        <v>22</v>
      </c>
      <c r="V1225" s="1308" t="s">
        <v>22</v>
      </c>
      <c r="W1225" s="1308" t="s">
        <v>22</v>
      </c>
      <c r="X1225" s="1308" t="s">
        <v>22</v>
      </c>
      <c r="Y1225" s="1308"/>
      <c r="Z1225" s="229"/>
      <c r="AA1225" s="230"/>
      <c r="AB1225" s="230"/>
      <c r="AC1225" s="231"/>
      <c r="AD1225" s="231"/>
      <c r="AE1225" s="245"/>
      <c r="AF1225" s="1350"/>
      <c r="AG1225" s="1352"/>
      <c r="AH1225" s="1352"/>
      <c r="AI1225" s="1350"/>
      <c r="AJ1225" s="1352"/>
      <c r="AK1225" s="1352"/>
      <c r="AL1225" s="772"/>
    </row>
    <row r="1226" spans="1:38" ht="11.25" customHeight="1">
      <c r="A1226" t="s">
        <v>1019</v>
      </c>
      <c r="E1226" s="557"/>
      <c r="F1226" s="1339"/>
      <c r="G1226" s="1340"/>
      <c r="H1226" s="1335" t="s">
        <v>89</v>
      </c>
      <c r="I1226" s="1347"/>
      <c r="J1226" s="1363"/>
      <c r="K1226" s="1349"/>
      <c r="L1226" s="1079"/>
      <c r="M1226" s="1080"/>
      <c r="N1226" s="1355"/>
      <c r="O1226" s="1356"/>
      <c r="P1226" s="1358"/>
      <c r="Q1226" s="1308"/>
      <c r="R1226" s="1308"/>
      <c r="S1226" s="1361"/>
      <c r="T1226" s="1308"/>
      <c r="U1226" s="1308"/>
      <c r="V1226" s="1308"/>
      <c r="W1226" s="1308"/>
      <c r="X1226" s="1308"/>
      <c r="Y1226" s="1308"/>
      <c r="AA1226" s="778">
        <v>1</v>
      </c>
      <c r="AB1226" s="779" t="s">
        <v>1119</v>
      </c>
      <c r="AC1226" s="237">
        <v>9761.3018584685105</v>
      </c>
      <c r="AD1226" s="779" t="str">
        <f>AB1226</f>
        <v xml:space="preserve">  Прибыль направляемая на инвестиции</v>
      </c>
      <c r="AE1226" s="237">
        <v>0</v>
      </c>
      <c r="AF1226" s="1350"/>
      <c r="AG1226" s="1352"/>
      <c r="AH1226" s="1352"/>
      <c r="AI1226" s="1350"/>
      <c r="AJ1226" s="1352"/>
      <c r="AK1226" s="1352"/>
      <c r="AL1226" s="772"/>
    </row>
    <row r="1227" spans="1:38" ht="11.25" customHeight="1">
      <c r="A1227" t="s">
        <v>1019</v>
      </c>
      <c r="E1227" s="557"/>
      <c r="F1227" s="1340"/>
      <c r="G1227" s="1340"/>
      <c r="H1227" s="1340"/>
      <c r="I1227" s="1340"/>
      <c r="J1227" s="1340"/>
      <c r="K1227" s="1340"/>
      <c r="L1227" s="1340"/>
      <c r="M1227" s="1340"/>
      <c r="N1227" s="1340"/>
      <c r="O1227" s="1340"/>
      <c r="P1227" s="1340"/>
      <c r="Q1227" s="1340"/>
      <c r="R1227" s="1340"/>
      <c r="S1227" s="1340"/>
      <c r="T1227" s="1340"/>
      <c r="U1227" s="1340"/>
      <c r="V1227" s="1340"/>
      <c r="W1227" s="1340"/>
      <c r="X1227" s="1340"/>
      <c r="Y1227" s="1340"/>
      <c r="Z1227" s="181" t="s">
        <v>103</v>
      </c>
      <c r="AA1227" s="780" t="s">
        <v>102</v>
      </c>
      <c r="AB1227" s="779" t="s">
        <v>1120</v>
      </c>
      <c r="AC1227" s="237">
        <v>3061.77465997337</v>
      </c>
      <c r="AD1227" s="779" t="str">
        <f>AB1227</f>
        <v xml:space="preserve">     Прочие амортизационные отчисления</v>
      </c>
      <c r="AE1227" s="237">
        <v>0</v>
      </c>
      <c r="AF1227" s="1351"/>
      <c r="AG1227" s="1353"/>
      <c r="AH1227" s="1353"/>
      <c r="AI1227" s="1351"/>
      <c r="AJ1227" s="1353"/>
      <c r="AK1227" s="1354"/>
      <c r="AL1227" s="772"/>
    </row>
    <row r="1228" spans="1:38" ht="11.25" customHeight="1">
      <c r="A1228" t="s">
        <v>1019</v>
      </c>
      <c r="E1228" s="557"/>
      <c r="F1228" s="1340"/>
      <c r="G1228" s="1340"/>
      <c r="H1228" s="1340"/>
      <c r="I1228" s="1340"/>
      <c r="J1228" s="1340"/>
      <c r="K1228" s="1340"/>
      <c r="L1228" s="1340"/>
      <c r="M1228" s="1340"/>
      <c r="N1228" s="1340"/>
      <c r="O1228" s="1340"/>
      <c r="P1228" s="1340"/>
      <c r="Q1228" s="1340"/>
      <c r="R1228" s="1340"/>
      <c r="S1228" s="1340"/>
      <c r="T1228" s="1340"/>
      <c r="U1228" s="1340"/>
      <c r="V1228" s="1340"/>
      <c r="W1228" s="1340"/>
      <c r="X1228" s="1340"/>
      <c r="Y1228" s="1340"/>
      <c r="Z1228" s="181" t="s">
        <v>103</v>
      </c>
      <c r="AA1228" s="780" t="s">
        <v>89</v>
      </c>
      <c r="AB1228" s="779" t="s">
        <v>1142</v>
      </c>
      <c r="AC1228" s="237">
        <v>2679.9439082778699</v>
      </c>
      <c r="AD1228" s="779" t="str">
        <f>AB1228</f>
        <v xml:space="preserve">  Доход от взимания платы за негативное воздействие на работу централизованной системы водоотведения</v>
      </c>
      <c r="AE1228" s="237">
        <v>0</v>
      </c>
      <c r="AF1228" s="1351"/>
      <c r="AG1228" s="1353"/>
      <c r="AH1228" s="1353"/>
      <c r="AI1228" s="1351"/>
      <c r="AJ1228" s="1353"/>
      <c r="AK1228" s="1354"/>
      <c r="AL1228" s="772"/>
    </row>
    <row r="1229" spans="1:38" ht="11.25" customHeight="1">
      <c r="A1229" t="s">
        <v>1019</v>
      </c>
      <c r="E1229" s="557"/>
      <c r="F1229" s="1339"/>
      <c r="G1229" s="1340"/>
      <c r="H1229" s="1335" t="s">
        <v>89</v>
      </c>
      <c r="I1229" s="1347"/>
      <c r="J1229" s="1363"/>
      <c r="K1229" s="1349"/>
      <c r="L1229" s="1079"/>
      <c r="M1229" s="1080"/>
      <c r="N1229" s="1355"/>
      <c r="O1229" s="1356"/>
      <c r="P1229" s="1359"/>
      <c r="Q1229" s="1308"/>
      <c r="R1229" s="1308"/>
      <c r="S1229" s="1361"/>
      <c r="T1229" s="1308"/>
      <c r="U1229" s="1308"/>
      <c r="V1229" s="1308"/>
      <c r="W1229" s="1308"/>
      <c r="X1229" s="1308"/>
      <c r="Y1229" s="1308"/>
      <c r="Z1229" s="229"/>
      <c r="AA1229" s="230"/>
      <c r="AB1229" s="44" t="s">
        <v>1059</v>
      </c>
      <c r="AC1229" s="231"/>
      <c r="AD1229" s="231"/>
      <c r="AE1229" s="246"/>
      <c r="AF1229" s="1350"/>
      <c r="AG1229" s="1352"/>
      <c r="AH1229" s="1352"/>
      <c r="AI1229" s="1350"/>
      <c r="AJ1229" s="1352"/>
      <c r="AK1229" s="1352"/>
      <c r="AL1229" s="772"/>
    </row>
    <row r="1230" spans="1:38" ht="11.25" customHeight="1">
      <c r="A1230" t="s">
        <v>1019</v>
      </c>
      <c r="E1230" s="557"/>
      <c r="F1230" s="1339"/>
      <c r="G1230" s="1340"/>
      <c r="H1230" s="1335" t="s">
        <v>89</v>
      </c>
      <c r="I1230" s="1347"/>
      <c r="J1230" s="1363"/>
      <c r="K1230" s="1349"/>
      <c r="L1230" s="1079"/>
      <c r="M1230" s="1080"/>
      <c r="N1230" s="229"/>
      <c r="O1230" s="230"/>
      <c r="P1230" s="44" t="s">
        <v>1060</v>
      </c>
      <c r="Q1230" s="230"/>
      <c r="R1230" s="230"/>
      <c r="S1230" s="230"/>
      <c r="T1230" s="230"/>
      <c r="U1230" s="230"/>
      <c r="V1230" s="230"/>
      <c r="W1230" s="230"/>
      <c r="X1230" s="230"/>
      <c r="Y1230" s="230"/>
      <c r="Z1230" s="230"/>
      <c r="AA1230" s="230"/>
      <c r="AB1230" s="230"/>
      <c r="AC1230" s="230"/>
      <c r="AD1230" s="230"/>
      <c r="AE1230" s="247"/>
      <c r="AF1230" s="1350"/>
      <c r="AG1230" s="1352"/>
      <c r="AH1230" s="1352"/>
      <c r="AI1230" s="1350"/>
      <c r="AJ1230" s="1352"/>
      <c r="AK1230" s="1352"/>
      <c r="AL1230" s="772"/>
    </row>
    <row r="1231" spans="1:38" ht="11.25" customHeight="1">
      <c r="A1231" t="s">
        <v>1019</v>
      </c>
      <c r="B1231" t="s">
        <v>1051</v>
      </c>
      <c r="E1231" s="557"/>
      <c r="F1231" s="1339"/>
      <c r="G1231" s="1325" t="s">
        <v>103</v>
      </c>
      <c r="H1231" s="1335" t="s">
        <v>115</v>
      </c>
      <c r="I1231" s="1347" t="s">
        <v>1052</v>
      </c>
      <c r="J1231" s="1363" t="s">
        <v>1053</v>
      </c>
      <c r="K1231" s="1349" t="s">
        <v>1196</v>
      </c>
      <c r="L1231" s="1079" t="s">
        <v>19</v>
      </c>
      <c r="M1231" s="1080"/>
      <c r="N1231" s="242"/>
      <c r="O1231" s="243" t="s">
        <v>384</v>
      </c>
      <c r="P1231" s="244"/>
      <c r="Q1231" s="244"/>
      <c r="R1231" s="244"/>
      <c r="S1231" s="244"/>
      <c r="T1231" s="244"/>
      <c r="U1231" s="244"/>
      <c r="V1231" s="244"/>
      <c r="W1231" s="244"/>
      <c r="X1231" s="244"/>
      <c r="Y1231" s="244"/>
      <c r="Z1231" s="244"/>
      <c r="AA1231" s="244"/>
      <c r="AB1231" s="244"/>
      <c r="AC1231" s="244"/>
      <c r="AD1231" s="244"/>
      <c r="AE1231" s="244"/>
      <c r="AF1231" s="1350">
        <v>2</v>
      </c>
      <c r="AG1231" s="1352" t="s">
        <v>1055</v>
      </c>
      <c r="AH1231" s="1352" t="s">
        <v>1103</v>
      </c>
      <c r="AI1231" s="1350">
        <v>2</v>
      </c>
      <c r="AJ1231" s="1352" t="s">
        <v>1055</v>
      </c>
      <c r="AK1231" s="1352" t="s">
        <v>1103</v>
      </c>
      <c r="AL1231" s="772"/>
    </row>
    <row r="1232" spans="1:38" ht="11.25" customHeight="1">
      <c r="A1232" t="s">
        <v>1019</v>
      </c>
      <c r="E1232" s="557"/>
      <c r="F1232" s="1339"/>
      <c r="G1232" s="1340"/>
      <c r="H1232" s="1335" t="s">
        <v>90</v>
      </c>
      <c r="I1232" s="1347"/>
      <c r="J1232" s="1363"/>
      <c r="K1232" s="1349"/>
      <c r="L1232" s="1079"/>
      <c r="M1232" s="1080"/>
      <c r="N1232" s="1355"/>
      <c r="O1232" s="1356">
        <v>1</v>
      </c>
      <c r="P1232" s="1357" t="s">
        <v>19</v>
      </c>
      <c r="Q1232" s="1308" t="s">
        <v>22</v>
      </c>
      <c r="R1232" s="1308" t="s">
        <v>22</v>
      </c>
      <c r="S1232" s="1308" t="s">
        <v>22</v>
      </c>
      <c r="T1232" s="1308" t="s">
        <v>22</v>
      </c>
      <c r="U1232" s="1308" t="s">
        <v>22</v>
      </c>
      <c r="V1232" s="1308" t="s">
        <v>22</v>
      </c>
      <c r="W1232" s="1308" t="s">
        <v>22</v>
      </c>
      <c r="X1232" s="1308" t="s">
        <v>22</v>
      </c>
      <c r="Y1232" s="1308"/>
      <c r="Z1232" s="229"/>
      <c r="AA1232" s="230"/>
      <c r="AB1232" s="230"/>
      <c r="AC1232" s="231"/>
      <c r="AD1232" s="231"/>
      <c r="AE1232" s="245"/>
      <c r="AF1232" s="1350"/>
      <c r="AG1232" s="1352"/>
      <c r="AH1232" s="1352"/>
      <c r="AI1232" s="1350"/>
      <c r="AJ1232" s="1352"/>
      <c r="AK1232" s="1352"/>
      <c r="AL1232" s="772"/>
    </row>
    <row r="1233" spans="1:38" ht="11.25" customHeight="1">
      <c r="A1233" t="s">
        <v>1019</v>
      </c>
      <c r="E1233" s="557"/>
      <c r="F1233" s="1339"/>
      <c r="G1233" s="1340"/>
      <c r="H1233" s="1335" t="s">
        <v>90</v>
      </c>
      <c r="I1233" s="1347"/>
      <c r="J1233" s="1363"/>
      <c r="K1233" s="1349"/>
      <c r="L1233" s="1079"/>
      <c r="M1233" s="1080"/>
      <c r="N1233" s="1355"/>
      <c r="O1233" s="1356"/>
      <c r="P1233" s="1358"/>
      <c r="Q1233" s="1308"/>
      <c r="R1233" s="1308"/>
      <c r="S1233" s="1361"/>
      <c r="T1233" s="1308"/>
      <c r="U1233" s="1308"/>
      <c r="V1233" s="1308"/>
      <c r="W1233" s="1308"/>
      <c r="X1233" s="1308"/>
      <c r="Y1233" s="1308"/>
      <c r="AA1233" s="778">
        <v>1</v>
      </c>
      <c r="AB1233" s="779" t="s">
        <v>1119</v>
      </c>
      <c r="AC1233" s="237">
        <v>1705.52850161622</v>
      </c>
      <c r="AD1233" s="779" t="str">
        <f>AB1233</f>
        <v xml:space="preserve">  Прибыль направляемая на инвестиции</v>
      </c>
      <c r="AE1233" s="237">
        <v>0</v>
      </c>
      <c r="AF1233" s="1350"/>
      <c r="AG1233" s="1352"/>
      <c r="AH1233" s="1352"/>
      <c r="AI1233" s="1350"/>
      <c r="AJ1233" s="1352"/>
      <c r="AK1233" s="1352"/>
      <c r="AL1233" s="772"/>
    </row>
    <row r="1234" spans="1:38" ht="11.25" customHeight="1">
      <c r="A1234" t="s">
        <v>1019</v>
      </c>
      <c r="E1234" s="557"/>
      <c r="F1234" s="1340"/>
      <c r="G1234" s="1340"/>
      <c r="H1234" s="1340"/>
      <c r="I1234" s="1340"/>
      <c r="J1234" s="1340"/>
      <c r="K1234" s="1340"/>
      <c r="L1234" s="1340"/>
      <c r="M1234" s="1340"/>
      <c r="N1234" s="1340"/>
      <c r="O1234" s="1340"/>
      <c r="P1234" s="1340"/>
      <c r="Q1234" s="1340"/>
      <c r="R1234" s="1340"/>
      <c r="S1234" s="1340"/>
      <c r="T1234" s="1340"/>
      <c r="U1234" s="1340"/>
      <c r="V1234" s="1340"/>
      <c r="W1234" s="1340"/>
      <c r="X1234" s="1340"/>
      <c r="Y1234" s="1340"/>
      <c r="Z1234" s="181" t="s">
        <v>103</v>
      </c>
      <c r="AA1234" s="780" t="s">
        <v>102</v>
      </c>
      <c r="AB1234" s="779" t="s">
        <v>1120</v>
      </c>
      <c r="AC1234" s="237">
        <v>534.96388328371904</v>
      </c>
      <c r="AD1234" s="779" t="str">
        <f>AB1234</f>
        <v xml:space="preserve">     Прочие амортизационные отчисления</v>
      </c>
      <c r="AE1234" s="237">
        <v>0</v>
      </c>
      <c r="AF1234" s="1351"/>
      <c r="AG1234" s="1353"/>
      <c r="AH1234" s="1353"/>
      <c r="AI1234" s="1351"/>
      <c r="AJ1234" s="1353"/>
      <c r="AK1234" s="1354"/>
      <c r="AL1234" s="772"/>
    </row>
    <row r="1235" spans="1:38" ht="11.25" customHeight="1">
      <c r="A1235" t="s">
        <v>1019</v>
      </c>
      <c r="E1235" s="557"/>
      <c r="F1235" s="1340"/>
      <c r="G1235" s="1340"/>
      <c r="H1235" s="1340"/>
      <c r="I1235" s="1340"/>
      <c r="J1235" s="1340"/>
      <c r="K1235" s="1340"/>
      <c r="L1235" s="1340"/>
      <c r="M1235" s="1340"/>
      <c r="N1235" s="1340"/>
      <c r="O1235" s="1340"/>
      <c r="P1235" s="1340"/>
      <c r="Q1235" s="1340"/>
      <c r="R1235" s="1340"/>
      <c r="S1235" s="1340"/>
      <c r="T1235" s="1340"/>
      <c r="U1235" s="1340"/>
      <c r="V1235" s="1340"/>
      <c r="W1235" s="1340"/>
      <c r="X1235" s="1340"/>
      <c r="Y1235" s="1340"/>
      <c r="Z1235" s="181" t="s">
        <v>103</v>
      </c>
      <c r="AA1235" s="780" t="s">
        <v>89</v>
      </c>
      <c r="AB1235" s="779" t="s">
        <v>1142</v>
      </c>
      <c r="AC1235" s="237">
        <v>468.24909060007099</v>
      </c>
      <c r="AD1235" s="779" t="str">
        <f>AB1235</f>
        <v xml:space="preserve">  Доход от взимания платы за негативное воздействие на работу централизованной системы водоотведения</v>
      </c>
      <c r="AE1235" s="237">
        <v>0</v>
      </c>
      <c r="AF1235" s="1351"/>
      <c r="AG1235" s="1353"/>
      <c r="AH1235" s="1353"/>
      <c r="AI1235" s="1351"/>
      <c r="AJ1235" s="1353"/>
      <c r="AK1235" s="1354"/>
      <c r="AL1235" s="772"/>
    </row>
    <row r="1236" spans="1:38" ht="11.25" customHeight="1">
      <c r="A1236" t="s">
        <v>1019</v>
      </c>
      <c r="E1236" s="557"/>
      <c r="F1236" s="1339"/>
      <c r="G1236" s="1340"/>
      <c r="H1236" s="1335" t="s">
        <v>90</v>
      </c>
      <c r="I1236" s="1347"/>
      <c r="J1236" s="1363"/>
      <c r="K1236" s="1349"/>
      <c r="L1236" s="1079"/>
      <c r="M1236" s="1080"/>
      <c r="N1236" s="1355"/>
      <c r="O1236" s="1356"/>
      <c r="P1236" s="1359"/>
      <c r="Q1236" s="1308"/>
      <c r="R1236" s="1308"/>
      <c r="S1236" s="1361"/>
      <c r="T1236" s="1308"/>
      <c r="U1236" s="1308"/>
      <c r="V1236" s="1308"/>
      <c r="W1236" s="1308"/>
      <c r="X1236" s="1308"/>
      <c r="Y1236" s="1308"/>
      <c r="Z1236" s="229"/>
      <c r="AA1236" s="230"/>
      <c r="AB1236" s="44" t="s">
        <v>1059</v>
      </c>
      <c r="AC1236" s="231"/>
      <c r="AD1236" s="231"/>
      <c r="AE1236" s="246"/>
      <c r="AF1236" s="1350"/>
      <c r="AG1236" s="1352"/>
      <c r="AH1236" s="1352"/>
      <c r="AI1236" s="1350"/>
      <c r="AJ1236" s="1352"/>
      <c r="AK1236" s="1352"/>
      <c r="AL1236" s="772"/>
    </row>
    <row r="1237" spans="1:38" ht="11.25" customHeight="1">
      <c r="A1237" t="s">
        <v>1019</v>
      </c>
      <c r="E1237" s="557"/>
      <c r="F1237" s="1339"/>
      <c r="G1237" s="1340"/>
      <c r="H1237" s="1335" t="s">
        <v>90</v>
      </c>
      <c r="I1237" s="1347"/>
      <c r="J1237" s="1363"/>
      <c r="K1237" s="1349"/>
      <c r="L1237" s="1079"/>
      <c r="M1237" s="1080"/>
      <c r="N1237" s="229"/>
      <c r="O1237" s="230"/>
      <c r="P1237" s="44" t="s">
        <v>1060</v>
      </c>
      <c r="Q1237" s="230"/>
      <c r="R1237" s="230"/>
      <c r="S1237" s="230"/>
      <c r="T1237" s="230"/>
      <c r="U1237" s="230"/>
      <c r="V1237" s="230"/>
      <c r="W1237" s="230"/>
      <c r="X1237" s="230"/>
      <c r="Y1237" s="230"/>
      <c r="Z1237" s="230"/>
      <c r="AA1237" s="230"/>
      <c r="AB1237" s="230"/>
      <c r="AC1237" s="230"/>
      <c r="AD1237" s="230"/>
      <c r="AE1237" s="247"/>
      <c r="AF1237" s="1350"/>
      <c r="AG1237" s="1352"/>
      <c r="AH1237" s="1352"/>
      <c r="AI1237" s="1350"/>
      <c r="AJ1237" s="1352"/>
      <c r="AK1237" s="1352"/>
      <c r="AL1237" s="772"/>
    </row>
    <row r="1238" spans="1:38" ht="11.25" customHeight="1">
      <c r="A1238" t="s">
        <v>1019</v>
      </c>
      <c r="B1238" t="s">
        <v>1051</v>
      </c>
      <c r="E1238" s="557"/>
      <c r="F1238" s="1339"/>
      <c r="G1238" s="1325" t="s">
        <v>103</v>
      </c>
      <c r="H1238" s="1335" t="s">
        <v>91</v>
      </c>
      <c r="I1238" s="1347" t="s">
        <v>1052</v>
      </c>
      <c r="J1238" s="1363" t="s">
        <v>1053</v>
      </c>
      <c r="K1238" s="1349" t="s">
        <v>1197</v>
      </c>
      <c r="L1238" s="1079" t="s">
        <v>19</v>
      </c>
      <c r="M1238" s="1080"/>
      <c r="N1238" s="242"/>
      <c r="O1238" s="243" t="s">
        <v>384</v>
      </c>
      <c r="P1238" s="244"/>
      <c r="Q1238" s="244"/>
      <c r="R1238" s="244"/>
      <c r="S1238" s="244"/>
      <c r="T1238" s="244"/>
      <c r="U1238" s="244"/>
      <c r="V1238" s="244"/>
      <c r="W1238" s="244"/>
      <c r="X1238" s="244"/>
      <c r="Y1238" s="244"/>
      <c r="Z1238" s="244"/>
      <c r="AA1238" s="244"/>
      <c r="AB1238" s="244"/>
      <c r="AC1238" s="244"/>
      <c r="AD1238" s="244"/>
      <c r="AE1238" s="244"/>
      <c r="AF1238" s="1350">
        <v>2</v>
      </c>
      <c r="AG1238" s="1352" t="s">
        <v>1055</v>
      </c>
      <c r="AH1238" s="1352" t="s">
        <v>1103</v>
      </c>
      <c r="AI1238" s="1350">
        <v>2</v>
      </c>
      <c r="AJ1238" s="1352" t="s">
        <v>1055</v>
      </c>
      <c r="AK1238" s="1352" t="s">
        <v>1103</v>
      </c>
      <c r="AL1238" s="772"/>
    </row>
    <row r="1239" spans="1:38" ht="11.25" customHeight="1">
      <c r="A1239" t="s">
        <v>1019</v>
      </c>
      <c r="E1239" s="557"/>
      <c r="F1239" s="1339"/>
      <c r="G1239" s="1340"/>
      <c r="H1239" s="1335" t="s">
        <v>115</v>
      </c>
      <c r="I1239" s="1347"/>
      <c r="J1239" s="1363"/>
      <c r="K1239" s="1349"/>
      <c r="L1239" s="1079"/>
      <c r="M1239" s="1080"/>
      <c r="N1239" s="1355"/>
      <c r="O1239" s="1356">
        <v>1</v>
      </c>
      <c r="P1239" s="1357" t="s">
        <v>19</v>
      </c>
      <c r="Q1239" s="1308" t="s">
        <v>22</v>
      </c>
      <c r="R1239" s="1308" t="s">
        <v>22</v>
      </c>
      <c r="S1239" s="1308" t="s">
        <v>22</v>
      </c>
      <c r="T1239" s="1308" t="s">
        <v>22</v>
      </c>
      <c r="U1239" s="1308" t="s">
        <v>22</v>
      </c>
      <c r="V1239" s="1308" t="s">
        <v>22</v>
      </c>
      <c r="W1239" s="1308" t="s">
        <v>22</v>
      </c>
      <c r="X1239" s="1308" t="s">
        <v>22</v>
      </c>
      <c r="Y1239" s="1308"/>
      <c r="Z1239" s="229"/>
      <c r="AA1239" s="230"/>
      <c r="AB1239" s="230"/>
      <c r="AC1239" s="231"/>
      <c r="AD1239" s="231"/>
      <c r="AE1239" s="245"/>
      <c r="AF1239" s="1350"/>
      <c r="AG1239" s="1352"/>
      <c r="AH1239" s="1352"/>
      <c r="AI1239" s="1350"/>
      <c r="AJ1239" s="1352"/>
      <c r="AK1239" s="1352"/>
      <c r="AL1239" s="772"/>
    </row>
    <row r="1240" spans="1:38" ht="11.25" customHeight="1">
      <c r="A1240" t="s">
        <v>1019</v>
      </c>
      <c r="E1240" s="557"/>
      <c r="F1240" s="1339"/>
      <c r="G1240" s="1340"/>
      <c r="H1240" s="1335" t="s">
        <v>115</v>
      </c>
      <c r="I1240" s="1347"/>
      <c r="J1240" s="1363"/>
      <c r="K1240" s="1349"/>
      <c r="L1240" s="1079"/>
      <c r="M1240" s="1080"/>
      <c r="N1240" s="1355"/>
      <c r="O1240" s="1356"/>
      <c r="P1240" s="1358"/>
      <c r="Q1240" s="1308"/>
      <c r="R1240" s="1308"/>
      <c r="S1240" s="1361"/>
      <c r="T1240" s="1308"/>
      <c r="U1240" s="1308"/>
      <c r="V1240" s="1308"/>
      <c r="W1240" s="1308"/>
      <c r="X1240" s="1308"/>
      <c r="Y1240" s="1308"/>
      <c r="AA1240" s="778">
        <v>1</v>
      </c>
      <c r="AB1240" s="779" t="s">
        <v>1119</v>
      </c>
      <c r="AC1240" s="237">
        <v>1850.12769144854</v>
      </c>
      <c r="AD1240" s="779" t="str">
        <f>AB1240</f>
        <v xml:space="preserve">  Прибыль направляемая на инвестиции</v>
      </c>
      <c r="AE1240" s="237">
        <v>0</v>
      </c>
      <c r="AF1240" s="1350"/>
      <c r="AG1240" s="1352"/>
      <c r="AH1240" s="1352"/>
      <c r="AI1240" s="1350"/>
      <c r="AJ1240" s="1352"/>
      <c r="AK1240" s="1352"/>
      <c r="AL1240" s="772"/>
    </row>
    <row r="1241" spans="1:38" ht="11.25" customHeight="1">
      <c r="A1241" t="s">
        <v>1019</v>
      </c>
      <c r="E1241" s="557"/>
      <c r="F1241" s="1340"/>
      <c r="G1241" s="1340"/>
      <c r="H1241" s="1340"/>
      <c r="I1241" s="1340"/>
      <c r="J1241" s="1340"/>
      <c r="K1241" s="1340"/>
      <c r="L1241" s="1340"/>
      <c r="M1241" s="1340"/>
      <c r="N1241" s="1340"/>
      <c r="O1241" s="1340"/>
      <c r="P1241" s="1340"/>
      <c r="Q1241" s="1340"/>
      <c r="R1241" s="1340"/>
      <c r="S1241" s="1340"/>
      <c r="T1241" s="1340"/>
      <c r="U1241" s="1340"/>
      <c r="V1241" s="1340"/>
      <c r="W1241" s="1340"/>
      <c r="X1241" s="1340"/>
      <c r="Y1241" s="1340"/>
      <c r="Z1241" s="181" t="s">
        <v>103</v>
      </c>
      <c r="AA1241" s="780" t="s">
        <v>102</v>
      </c>
      <c r="AB1241" s="779" t="s">
        <v>1120</v>
      </c>
      <c r="AC1241" s="237">
        <v>580.31952761277898</v>
      </c>
      <c r="AD1241" s="779" t="str">
        <f>AB1241</f>
        <v xml:space="preserve">     Прочие амортизационные отчисления</v>
      </c>
      <c r="AE1241" s="237">
        <v>0</v>
      </c>
      <c r="AF1241" s="1351"/>
      <c r="AG1241" s="1353"/>
      <c r="AH1241" s="1353"/>
      <c r="AI1241" s="1351"/>
      <c r="AJ1241" s="1353"/>
      <c r="AK1241" s="1354"/>
      <c r="AL1241" s="772"/>
    </row>
    <row r="1242" spans="1:38" ht="11.25" customHeight="1">
      <c r="A1242" t="s">
        <v>1019</v>
      </c>
      <c r="E1242" s="557"/>
      <c r="F1242" s="1340"/>
      <c r="G1242" s="1340"/>
      <c r="H1242" s="1340"/>
      <c r="I1242" s="1340"/>
      <c r="J1242" s="1340"/>
      <c r="K1242" s="1340"/>
      <c r="L1242" s="1340"/>
      <c r="M1242" s="1340"/>
      <c r="N1242" s="1340"/>
      <c r="O1242" s="1340"/>
      <c r="P1242" s="1340"/>
      <c r="Q1242" s="1340"/>
      <c r="R1242" s="1340"/>
      <c r="S1242" s="1340"/>
      <c r="T1242" s="1340"/>
      <c r="U1242" s="1340"/>
      <c r="V1242" s="1340"/>
      <c r="W1242" s="1340"/>
      <c r="X1242" s="1340"/>
      <c r="Y1242" s="1340"/>
      <c r="Z1242" s="181" t="s">
        <v>103</v>
      </c>
      <c r="AA1242" s="780" t="s">
        <v>89</v>
      </c>
      <c r="AB1242" s="779" t="s">
        <v>1142</v>
      </c>
      <c r="AC1242" s="237">
        <v>507.94847942666098</v>
      </c>
      <c r="AD1242" s="779" t="str">
        <f>AB1242</f>
        <v xml:space="preserve">  Доход от взимания платы за негативное воздействие на работу централизованной системы водоотведения</v>
      </c>
      <c r="AE1242" s="237">
        <v>0</v>
      </c>
      <c r="AF1242" s="1351"/>
      <c r="AG1242" s="1353"/>
      <c r="AH1242" s="1353"/>
      <c r="AI1242" s="1351"/>
      <c r="AJ1242" s="1353"/>
      <c r="AK1242" s="1354"/>
      <c r="AL1242" s="772"/>
    </row>
    <row r="1243" spans="1:38" ht="11.25" customHeight="1">
      <c r="A1243" t="s">
        <v>1019</v>
      </c>
      <c r="E1243" s="557"/>
      <c r="F1243" s="1339"/>
      <c r="G1243" s="1340"/>
      <c r="H1243" s="1335" t="s">
        <v>115</v>
      </c>
      <c r="I1243" s="1347"/>
      <c r="J1243" s="1363"/>
      <c r="K1243" s="1349"/>
      <c r="L1243" s="1079"/>
      <c r="M1243" s="1080"/>
      <c r="N1243" s="1355"/>
      <c r="O1243" s="1356"/>
      <c r="P1243" s="1359"/>
      <c r="Q1243" s="1308"/>
      <c r="R1243" s="1308"/>
      <c r="S1243" s="1361"/>
      <c r="T1243" s="1308"/>
      <c r="U1243" s="1308"/>
      <c r="V1243" s="1308"/>
      <c r="W1243" s="1308"/>
      <c r="X1243" s="1308"/>
      <c r="Y1243" s="1308"/>
      <c r="Z1243" s="229"/>
      <c r="AA1243" s="230"/>
      <c r="AB1243" s="44" t="s">
        <v>1059</v>
      </c>
      <c r="AC1243" s="231"/>
      <c r="AD1243" s="231"/>
      <c r="AE1243" s="246"/>
      <c r="AF1243" s="1350"/>
      <c r="AG1243" s="1352"/>
      <c r="AH1243" s="1352"/>
      <c r="AI1243" s="1350"/>
      <c r="AJ1243" s="1352"/>
      <c r="AK1243" s="1352"/>
      <c r="AL1243" s="772"/>
    </row>
    <row r="1244" spans="1:38" ht="11.25" customHeight="1">
      <c r="A1244" t="s">
        <v>1019</v>
      </c>
      <c r="E1244" s="557"/>
      <c r="F1244" s="1339"/>
      <c r="G1244" s="1340"/>
      <c r="H1244" s="1335" t="s">
        <v>115</v>
      </c>
      <c r="I1244" s="1347"/>
      <c r="J1244" s="1363"/>
      <c r="K1244" s="1349"/>
      <c r="L1244" s="1079"/>
      <c r="M1244" s="1080"/>
      <c r="N1244" s="229"/>
      <c r="O1244" s="230"/>
      <c r="P1244" s="44" t="s">
        <v>1060</v>
      </c>
      <c r="Q1244" s="230"/>
      <c r="R1244" s="230"/>
      <c r="S1244" s="230"/>
      <c r="T1244" s="230"/>
      <c r="U1244" s="230"/>
      <c r="V1244" s="230"/>
      <c r="W1244" s="230"/>
      <c r="X1244" s="230"/>
      <c r="Y1244" s="230"/>
      <c r="Z1244" s="230"/>
      <c r="AA1244" s="230"/>
      <c r="AB1244" s="230"/>
      <c r="AC1244" s="230"/>
      <c r="AD1244" s="230"/>
      <c r="AE1244" s="247"/>
      <c r="AF1244" s="1350"/>
      <c r="AG1244" s="1352"/>
      <c r="AH1244" s="1352"/>
      <c r="AI1244" s="1350"/>
      <c r="AJ1244" s="1352"/>
      <c r="AK1244" s="1352"/>
      <c r="AL1244" s="772"/>
    </row>
    <row r="1245" spans="1:38" ht="11.25" customHeight="1">
      <c r="A1245" t="s">
        <v>1019</v>
      </c>
      <c r="B1245" t="s">
        <v>1051</v>
      </c>
      <c r="E1245" s="557"/>
      <c r="F1245" s="1339"/>
      <c r="G1245" s="1325" t="s">
        <v>103</v>
      </c>
      <c r="H1245" s="1335" t="s">
        <v>92</v>
      </c>
      <c r="I1245" s="1347" t="s">
        <v>1052</v>
      </c>
      <c r="J1245" s="1363" t="s">
        <v>1053</v>
      </c>
      <c r="K1245" s="1349" t="s">
        <v>1198</v>
      </c>
      <c r="L1245" s="1079" t="s">
        <v>19</v>
      </c>
      <c r="M1245" s="1080"/>
      <c r="N1245" s="242"/>
      <c r="O1245" s="243" t="s">
        <v>384</v>
      </c>
      <c r="P1245" s="244"/>
      <c r="Q1245" s="244"/>
      <c r="R1245" s="244"/>
      <c r="S1245" s="244"/>
      <c r="T1245" s="244"/>
      <c r="U1245" s="244"/>
      <c r="V1245" s="244"/>
      <c r="W1245" s="244"/>
      <c r="X1245" s="244"/>
      <c r="Y1245" s="244"/>
      <c r="Z1245" s="244"/>
      <c r="AA1245" s="244"/>
      <c r="AB1245" s="244"/>
      <c r="AC1245" s="244"/>
      <c r="AD1245" s="244"/>
      <c r="AE1245" s="244"/>
      <c r="AF1245" s="1350">
        <v>2</v>
      </c>
      <c r="AG1245" s="1352" t="s">
        <v>1055</v>
      </c>
      <c r="AH1245" s="1352" t="s">
        <v>1103</v>
      </c>
      <c r="AI1245" s="1350">
        <v>2</v>
      </c>
      <c r="AJ1245" s="1352" t="s">
        <v>1055</v>
      </c>
      <c r="AK1245" s="1352" t="s">
        <v>1103</v>
      </c>
      <c r="AL1245" s="772"/>
    </row>
    <row r="1246" spans="1:38" ht="11.25" customHeight="1">
      <c r="A1246" t="s">
        <v>1019</v>
      </c>
      <c r="E1246" s="557"/>
      <c r="F1246" s="1339"/>
      <c r="G1246" s="1340"/>
      <c r="H1246" s="1335" t="s">
        <v>91</v>
      </c>
      <c r="I1246" s="1347"/>
      <c r="J1246" s="1363"/>
      <c r="K1246" s="1349"/>
      <c r="L1246" s="1079"/>
      <c r="M1246" s="1080"/>
      <c r="N1246" s="1355"/>
      <c r="O1246" s="1356">
        <v>1</v>
      </c>
      <c r="P1246" s="1357" t="s">
        <v>19</v>
      </c>
      <c r="Q1246" s="1308" t="s">
        <v>22</v>
      </c>
      <c r="R1246" s="1308" t="s">
        <v>22</v>
      </c>
      <c r="S1246" s="1308" t="s">
        <v>22</v>
      </c>
      <c r="T1246" s="1308" t="s">
        <v>22</v>
      </c>
      <c r="U1246" s="1308" t="s">
        <v>22</v>
      </c>
      <c r="V1246" s="1308" t="s">
        <v>22</v>
      </c>
      <c r="W1246" s="1308" t="s">
        <v>22</v>
      </c>
      <c r="X1246" s="1308" t="s">
        <v>22</v>
      </c>
      <c r="Y1246" s="1308"/>
      <c r="Z1246" s="229"/>
      <c r="AA1246" s="230"/>
      <c r="AB1246" s="230"/>
      <c r="AC1246" s="231"/>
      <c r="AD1246" s="231"/>
      <c r="AE1246" s="245"/>
      <c r="AF1246" s="1350"/>
      <c r="AG1246" s="1352"/>
      <c r="AH1246" s="1352"/>
      <c r="AI1246" s="1350"/>
      <c r="AJ1246" s="1352"/>
      <c r="AK1246" s="1352"/>
      <c r="AL1246" s="772"/>
    </row>
    <row r="1247" spans="1:38" ht="11.25" customHeight="1">
      <c r="A1247" t="s">
        <v>1019</v>
      </c>
      <c r="E1247" s="557"/>
      <c r="F1247" s="1339"/>
      <c r="G1247" s="1340"/>
      <c r="H1247" s="1335" t="s">
        <v>91</v>
      </c>
      <c r="I1247" s="1347"/>
      <c r="J1247" s="1363"/>
      <c r="K1247" s="1349"/>
      <c r="L1247" s="1079"/>
      <c r="M1247" s="1080"/>
      <c r="N1247" s="1355"/>
      <c r="O1247" s="1356"/>
      <c r="P1247" s="1358"/>
      <c r="Q1247" s="1308"/>
      <c r="R1247" s="1308"/>
      <c r="S1247" s="1361"/>
      <c r="T1247" s="1308"/>
      <c r="U1247" s="1308"/>
      <c r="V1247" s="1308"/>
      <c r="W1247" s="1308"/>
      <c r="X1247" s="1308"/>
      <c r="Y1247" s="1308"/>
      <c r="AA1247" s="778">
        <v>1</v>
      </c>
      <c r="AB1247" s="779" t="s">
        <v>1119</v>
      </c>
      <c r="AC1247" s="237">
        <v>1968.4817104737399</v>
      </c>
      <c r="AD1247" s="779" t="str">
        <f>AB1247</f>
        <v xml:space="preserve">  Прибыль направляемая на инвестиции</v>
      </c>
      <c r="AE1247" s="237">
        <v>0</v>
      </c>
      <c r="AF1247" s="1350"/>
      <c r="AG1247" s="1352"/>
      <c r="AH1247" s="1352"/>
      <c r="AI1247" s="1350"/>
      <c r="AJ1247" s="1352"/>
      <c r="AK1247" s="1352"/>
      <c r="AL1247" s="772"/>
    </row>
    <row r="1248" spans="1:38" ht="11.25" customHeight="1">
      <c r="A1248" t="s">
        <v>1019</v>
      </c>
      <c r="E1248" s="557"/>
      <c r="F1248" s="1340"/>
      <c r="G1248" s="1340"/>
      <c r="H1248" s="1340"/>
      <c r="I1248" s="1340"/>
      <c r="J1248" s="1340"/>
      <c r="K1248" s="1340"/>
      <c r="L1248" s="1340"/>
      <c r="M1248" s="1340"/>
      <c r="N1248" s="1340"/>
      <c r="O1248" s="1340"/>
      <c r="P1248" s="1340"/>
      <c r="Q1248" s="1340"/>
      <c r="R1248" s="1340"/>
      <c r="S1248" s="1340"/>
      <c r="T1248" s="1340"/>
      <c r="U1248" s="1340"/>
      <c r="V1248" s="1340"/>
      <c r="W1248" s="1340"/>
      <c r="X1248" s="1340"/>
      <c r="Y1248" s="1340"/>
      <c r="Z1248" s="181" t="s">
        <v>103</v>
      </c>
      <c r="AA1248" s="780" t="s">
        <v>102</v>
      </c>
      <c r="AB1248" s="779" t="s">
        <v>1120</v>
      </c>
      <c r="AC1248" s="237">
        <v>617.44299143056696</v>
      </c>
      <c r="AD1248" s="779" t="str">
        <f>AB1248</f>
        <v xml:space="preserve">     Прочие амортизационные отчисления</v>
      </c>
      <c r="AE1248" s="237">
        <v>0</v>
      </c>
      <c r="AF1248" s="1351"/>
      <c r="AG1248" s="1353"/>
      <c r="AH1248" s="1353"/>
      <c r="AI1248" s="1351"/>
      <c r="AJ1248" s="1353"/>
      <c r="AK1248" s="1354"/>
      <c r="AL1248" s="772"/>
    </row>
    <row r="1249" spans="1:38" ht="11.25" customHeight="1">
      <c r="A1249" t="s">
        <v>1019</v>
      </c>
      <c r="E1249" s="557"/>
      <c r="F1249" s="1340"/>
      <c r="G1249" s="1340"/>
      <c r="H1249" s="1340"/>
      <c r="I1249" s="1340"/>
      <c r="J1249" s="1340"/>
      <c r="K1249" s="1340"/>
      <c r="L1249" s="1340"/>
      <c r="M1249" s="1340"/>
      <c r="N1249" s="1340"/>
      <c r="O1249" s="1340"/>
      <c r="P1249" s="1340"/>
      <c r="Q1249" s="1340"/>
      <c r="R1249" s="1340"/>
      <c r="S1249" s="1340"/>
      <c r="T1249" s="1340"/>
      <c r="U1249" s="1340"/>
      <c r="V1249" s="1340"/>
      <c r="W1249" s="1340"/>
      <c r="X1249" s="1340"/>
      <c r="Y1249" s="1340"/>
      <c r="Z1249" s="181" t="s">
        <v>103</v>
      </c>
      <c r="AA1249" s="780" t="s">
        <v>89</v>
      </c>
      <c r="AB1249" s="779" t="s">
        <v>1142</v>
      </c>
      <c r="AC1249" s="237">
        <v>540.44231446072604</v>
      </c>
      <c r="AD1249" s="779" t="str">
        <f>AB1249</f>
        <v xml:space="preserve">  Доход от взимания платы за негативное воздействие на работу централизованной системы водоотведения</v>
      </c>
      <c r="AE1249" s="237">
        <v>0</v>
      </c>
      <c r="AF1249" s="1351"/>
      <c r="AG1249" s="1353"/>
      <c r="AH1249" s="1353"/>
      <c r="AI1249" s="1351"/>
      <c r="AJ1249" s="1353"/>
      <c r="AK1249" s="1354"/>
      <c r="AL1249" s="772"/>
    </row>
    <row r="1250" spans="1:38" ht="11.25" customHeight="1">
      <c r="A1250" t="s">
        <v>1019</v>
      </c>
      <c r="E1250" s="557"/>
      <c r="F1250" s="1339"/>
      <c r="G1250" s="1340"/>
      <c r="H1250" s="1335" t="s">
        <v>91</v>
      </c>
      <c r="I1250" s="1347"/>
      <c r="J1250" s="1363"/>
      <c r="K1250" s="1349"/>
      <c r="L1250" s="1079"/>
      <c r="M1250" s="1080"/>
      <c r="N1250" s="1355"/>
      <c r="O1250" s="1356"/>
      <c r="P1250" s="1359"/>
      <c r="Q1250" s="1308"/>
      <c r="R1250" s="1308"/>
      <c r="S1250" s="1361"/>
      <c r="T1250" s="1308"/>
      <c r="U1250" s="1308"/>
      <c r="V1250" s="1308"/>
      <c r="W1250" s="1308"/>
      <c r="X1250" s="1308"/>
      <c r="Y1250" s="1308"/>
      <c r="Z1250" s="229"/>
      <c r="AA1250" s="230"/>
      <c r="AB1250" s="44" t="s">
        <v>1059</v>
      </c>
      <c r="AC1250" s="231"/>
      <c r="AD1250" s="231"/>
      <c r="AE1250" s="246"/>
      <c r="AF1250" s="1350"/>
      <c r="AG1250" s="1352"/>
      <c r="AH1250" s="1352"/>
      <c r="AI1250" s="1350"/>
      <c r="AJ1250" s="1352"/>
      <c r="AK1250" s="1352"/>
      <c r="AL1250" s="772"/>
    </row>
    <row r="1251" spans="1:38" ht="11.25" customHeight="1">
      <c r="A1251" t="s">
        <v>1019</v>
      </c>
      <c r="E1251" s="557"/>
      <c r="F1251" s="1339"/>
      <c r="G1251" s="1340"/>
      <c r="H1251" s="1335" t="s">
        <v>91</v>
      </c>
      <c r="I1251" s="1347"/>
      <c r="J1251" s="1363"/>
      <c r="K1251" s="1349"/>
      <c r="L1251" s="1079"/>
      <c r="M1251" s="1080"/>
      <c r="N1251" s="229"/>
      <c r="O1251" s="230"/>
      <c r="P1251" s="44" t="s">
        <v>1060</v>
      </c>
      <c r="Q1251" s="230"/>
      <c r="R1251" s="230"/>
      <c r="S1251" s="230"/>
      <c r="T1251" s="230"/>
      <c r="U1251" s="230"/>
      <c r="V1251" s="230"/>
      <c r="W1251" s="230"/>
      <c r="X1251" s="230"/>
      <c r="Y1251" s="230"/>
      <c r="Z1251" s="230"/>
      <c r="AA1251" s="230"/>
      <c r="AB1251" s="230"/>
      <c r="AC1251" s="230"/>
      <c r="AD1251" s="230"/>
      <c r="AE1251" s="247"/>
      <c r="AF1251" s="1350"/>
      <c r="AG1251" s="1352"/>
      <c r="AH1251" s="1352"/>
      <c r="AI1251" s="1350"/>
      <c r="AJ1251" s="1352"/>
      <c r="AK1251" s="1352"/>
      <c r="AL1251" s="772"/>
    </row>
    <row r="1252" spans="1:38" ht="11.25" customHeight="1">
      <c r="A1252" t="s">
        <v>1019</v>
      </c>
      <c r="B1252" t="s">
        <v>1051</v>
      </c>
      <c r="E1252" s="557"/>
      <c r="F1252" s="1339"/>
      <c r="G1252" s="1325" t="s">
        <v>103</v>
      </c>
      <c r="H1252" s="1335" t="s">
        <v>116</v>
      </c>
      <c r="I1252" s="1347" t="s">
        <v>1052</v>
      </c>
      <c r="J1252" s="1363" t="s">
        <v>1053</v>
      </c>
      <c r="K1252" s="1349" t="s">
        <v>1199</v>
      </c>
      <c r="L1252" s="1079" t="s">
        <v>19</v>
      </c>
      <c r="M1252" s="1080"/>
      <c r="N1252" s="242"/>
      <c r="O1252" s="243" t="s">
        <v>384</v>
      </c>
      <c r="P1252" s="244"/>
      <c r="Q1252" s="244"/>
      <c r="R1252" s="244"/>
      <c r="S1252" s="244"/>
      <c r="T1252" s="244"/>
      <c r="U1252" s="244"/>
      <c r="V1252" s="244"/>
      <c r="W1252" s="244"/>
      <c r="X1252" s="244"/>
      <c r="Y1252" s="244"/>
      <c r="Z1252" s="244"/>
      <c r="AA1252" s="244"/>
      <c r="AB1252" s="244"/>
      <c r="AC1252" s="244"/>
      <c r="AD1252" s="244"/>
      <c r="AE1252" s="244"/>
      <c r="AF1252" s="1350">
        <v>2</v>
      </c>
      <c r="AG1252" s="1352" t="s">
        <v>1055</v>
      </c>
      <c r="AH1252" s="1352" t="s">
        <v>1103</v>
      </c>
      <c r="AI1252" s="1350">
        <v>2</v>
      </c>
      <c r="AJ1252" s="1352" t="s">
        <v>1055</v>
      </c>
      <c r="AK1252" s="1352" t="s">
        <v>1103</v>
      </c>
      <c r="AL1252" s="772"/>
    </row>
    <row r="1253" spans="1:38" ht="11.25" customHeight="1">
      <c r="A1253" t="s">
        <v>1019</v>
      </c>
      <c r="E1253" s="557"/>
      <c r="F1253" s="1339"/>
      <c r="G1253" s="1340"/>
      <c r="H1253" s="1335" t="s">
        <v>92</v>
      </c>
      <c r="I1253" s="1347"/>
      <c r="J1253" s="1363"/>
      <c r="K1253" s="1349"/>
      <c r="L1253" s="1079"/>
      <c r="M1253" s="1080"/>
      <c r="N1253" s="1355"/>
      <c r="O1253" s="1356">
        <v>1</v>
      </c>
      <c r="P1253" s="1357" t="s">
        <v>19</v>
      </c>
      <c r="Q1253" s="1308" t="s">
        <v>22</v>
      </c>
      <c r="R1253" s="1308" t="s">
        <v>22</v>
      </c>
      <c r="S1253" s="1308" t="s">
        <v>22</v>
      </c>
      <c r="T1253" s="1308" t="s">
        <v>22</v>
      </c>
      <c r="U1253" s="1308" t="s">
        <v>22</v>
      </c>
      <c r="V1253" s="1308" t="s">
        <v>22</v>
      </c>
      <c r="W1253" s="1308" t="s">
        <v>22</v>
      </c>
      <c r="X1253" s="1308" t="s">
        <v>22</v>
      </c>
      <c r="Y1253" s="1308"/>
      <c r="Z1253" s="229"/>
      <c r="AA1253" s="230"/>
      <c r="AB1253" s="230"/>
      <c r="AC1253" s="231"/>
      <c r="AD1253" s="231"/>
      <c r="AE1253" s="245"/>
      <c r="AF1253" s="1350"/>
      <c r="AG1253" s="1352"/>
      <c r="AH1253" s="1352"/>
      <c r="AI1253" s="1350"/>
      <c r="AJ1253" s="1352"/>
      <c r="AK1253" s="1352"/>
      <c r="AL1253" s="772"/>
    </row>
    <row r="1254" spans="1:38" ht="11.25" customHeight="1">
      <c r="A1254" t="s">
        <v>1019</v>
      </c>
      <c r="E1254" s="557"/>
      <c r="F1254" s="1339"/>
      <c r="G1254" s="1340"/>
      <c r="H1254" s="1335" t="s">
        <v>92</v>
      </c>
      <c r="I1254" s="1347"/>
      <c r="J1254" s="1363"/>
      <c r="K1254" s="1349"/>
      <c r="L1254" s="1079"/>
      <c r="M1254" s="1080"/>
      <c r="N1254" s="1355"/>
      <c r="O1254" s="1356"/>
      <c r="P1254" s="1358"/>
      <c r="Q1254" s="1308"/>
      <c r="R1254" s="1308"/>
      <c r="S1254" s="1361"/>
      <c r="T1254" s="1308"/>
      <c r="U1254" s="1308"/>
      <c r="V1254" s="1308"/>
      <c r="W1254" s="1308"/>
      <c r="X1254" s="1308"/>
      <c r="Y1254" s="1308"/>
      <c r="AA1254" s="778">
        <v>1</v>
      </c>
      <c r="AB1254" s="779" t="s">
        <v>1119</v>
      </c>
      <c r="AC1254" s="237">
        <v>1840.53876518522</v>
      </c>
      <c r="AD1254" s="779" t="str">
        <f>AB1254</f>
        <v xml:space="preserve">  Прибыль направляемая на инвестиции</v>
      </c>
      <c r="AE1254" s="237">
        <v>0</v>
      </c>
      <c r="AF1254" s="1350"/>
      <c r="AG1254" s="1352"/>
      <c r="AH1254" s="1352"/>
      <c r="AI1254" s="1350"/>
      <c r="AJ1254" s="1352"/>
      <c r="AK1254" s="1352"/>
      <c r="AL1254" s="772"/>
    </row>
    <row r="1255" spans="1:38" ht="11.25" customHeight="1">
      <c r="A1255" t="s">
        <v>1019</v>
      </c>
      <c r="E1255" s="557"/>
      <c r="F1255" s="1340"/>
      <c r="G1255" s="1340"/>
      <c r="H1255" s="1340"/>
      <c r="I1255" s="1340"/>
      <c r="J1255" s="1340"/>
      <c r="K1255" s="1340"/>
      <c r="L1255" s="1340"/>
      <c r="M1255" s="1340"/>
      <c r="N1255" s="1340"/>
      <c r="O1255" s="1340"/>
      <c r="P1255" s="1340"/>
      <c r="Q1255" s="1340"/>
      <c r="R1255" s="1340"/>
      <c r="S1255" s="1340"/>
      <c r="T1255" s="1340"/>
      <c r="U1255" s="1340"/>
      <c r="V1255" s="1340"/>
      <c r="W1255" s="1340"/>
      <c r="X1255" s="1340"/>
      <c r="Y1255" s="1340"/>
      <c r="Z1255" s="181" t="s">
        <v>103</v>
      </c>
      <c r="AA1255" s="780" t="s">
        <v>102</v>
      </c>
      <c r="AB1255" s="779" t="s">
        <v>1120</v>
      </c>
      <c r="AC1255" s="237">
        <v>577.31182107167501</v>
      </c>
      <c r="AD1255" s="779" t="str">
        <f>AB1255</f>
        <v xml:space="preserve">     Прочие амортизационные отчисления</v>
      </c>
      <c r="AE1255" s="237">
        <v>0</v>
      </c>
      <c r="AF1255" s="1351"/>
      <c r="AG1255" s="1353"/>
      <c r="AH1255" s="1353"/>
      <c r="AI1255" s="1351"/>
      <c r="AJ1255" s="1353"/>
      <c r="AK1255" s="1354"/>
      <c r="AL1255" s="772"/>
    </row>
    <row r="1256" spans="1:38" ht="11.25" customHeight="1">
      <c r="A1256" t="s">
        <v>1019</v>
      </c>
      <c r="E1256" s="557"/>
      <c r="F1256" s="1340"/>
      <c r="G1256" s="1340"/>
      <c r="H1256" s="1340"/>
      <c r="I1256" s="1340"/>
      <c r="J1256" s="1340"/>
      <c r="K1256" s="1340"/>
      <c r="L1256" s="1340"/>
      <c r="M1256" s="1340"/>
      <c r="N1256" s="1340"/>
      <c r="O1256" s="1340"/>
      <c r="P1256" s="1340"/>
      <c r="Q1256" s="1340"/>
      <c r="R1256" s="1340"/>
      <c r="S1256" s="1340"/>
      <c r="T1256" s="1340"/>
      <c r="U1256" s="1340"/>
      <c r="V1256" s="1340"/>
      <c r="W1256" s="1340"/>
      <c r="X1256" s="1340"/>
      <c r="Y1256" s="1340"/>
      <c r="Z1256" s="181" t="s">
        <v>103</v>
      </c>
      <c r="AA1256" s="780" t="s">
        <v>89</v>
      </c>
      <c r="AB1256" s="779" t="s">
        <v>1142</v>
      </c>
      <c r="AC1256" s="237">
        <v>505.31586085805901</v>
      </c>
      <c r="AD1256" s="779" t="str">
        <f>AB1256</f>
        <v xml:space="preserve">  Доход от взимания платы за негативное воздействие на работу централизованной системы водоотведения</v>
      </c>
      <c r="AE1256" s="237">
        <v>0</v>
      </c>
      <c r="AF1256" s="1351"/>
      <c r="AG1256" s="1353"/>
      <c r="AH1256" s="1353"/>
      <c r="AI1256" s="1351"/>
      <c r="AJ1256" s="1353"/>
      <c r="AK1256" s="1354"/>
      <c r="AL1256" s="772"/>
    </row>
    <row r="1257" spans="1:38" ht="11.25" customHeight="1">
      <c r="A1257" t="s">
        <v>1019</v>
      </c>
      <c r="E1257" s="557"/>
      <c r="F1257" s="1339"/>
      <c r="G1257" s="1340"/>
      <c r="H1257" s="1335" t="s">
        <v>92</v>
      </c>
      <c r="I1257" s="1347"/>
      <c r="J1257" s="1363"/>
      <c r="K1257" s="1349"/>
      <c r="L1257" s="1079"/>
      <c r="M1257" s="1080"/>
      <c r="N1257" s="1355"/>
      <c r="O1257" s="1356"/>
      <c r="P1257" s="1359"/>
      <c r="Q1257" s="1308"/>
      <c r="R1257" s="1308"/>
      <c r="S1257" s="1361"/>
      <c r="T1257" s="1308"/>
      <c r="U1257" s="1308"/>
      <c r="V1257" s="1308"/>
      <c r="W1257" s="1308"/>
      <c r="X1257" s="1308"/>
      <c r="Y1257" s="1308"/>
      <c r="Z1257" s="229"/>
      <c r="AA1257" s="230"/>
      <c r="AB1257" s="44" t="s">
        <v>1059</v>
      </c>
      <c r="AC1257" s="231"/>
      <c r="AD1257" s="231"/>
      <c r="AE1257" s="246"/>
      <c r="AF1257" s="1350"/>
      <c r="AG1257" s="1352"/>
      <c r="AH1257" s="1352"/>
      <c r="AI1257" s="1350"/>
      <c r="AJ1257" s="1352"/>
      <c r="AK1257" s="1352"/>
      <c r="AL1257" s="772"/>
    </row>
    <row r="1258" spans="1:38" ht="11.25" customHeight="1">
      <c r="A1258" t="s">
        <v>1019</v>
      </c>
      <c r="E1258" s="557"/>
      <c r="F1258" s="1339"/>
      <c r="G1258" s="1340"/>
      <c r="H1258" s="1335" t="s">
        <v>92</v>
      </c>
      <c r="I1258" s="1347"/>
      <c r="J1258" s="1363"/>
      <c r="K1258" s="1349"/>
      <c r="L1258" s="1079"/>
      <c r="M1258" s="1080"/>
      <c r="N1258" s="229"/>
      <c r="O1258" s="230"/>
      <c r="P1258" s="44" t="s">
        <v>1060</v>
      </c>
      <c r="Q1258" s="230"/>
      <c r="R1258" s="230"/>
      <c r="S1258" s="230"/>
      <c r="T1258" s="230"/>
      <c r="U1258" s="230"/>
      <c r="V1258" s="230"/>
      <c r="W1258" s="230"/>
      <c r="X1258" s="230"/>
      <c r="Y1258" s="230"/>
      <c r="Z1258" s="230"/>
      <c r="AA1258" s="230"/>
      <c r="AB1258" s="230"/>
      <c r="AC1258" s="230"/>
      <c r="AD1258" s="230"/>
      <c r="AE1258" s="247"/>
      <c r="AF1258" s="1350"/>
      <c r="AG1258" s="1352"/>
      <c r="AH1258" s="1352"/>
      <c r="AI1258" s="1350"/>
      <c r="AJ1258" s="1352"/>
      <c r="AK1258" s="1352"/>
      <c r="AL1258" s="772"/>
    </row>
    <row r="1259" spans="1:38" ht="11.25" customHeight="1">
      <c r="A1259" t="s">
        <v>1019</v>
      </c>
      <c r="B1259" t="s">
        <v>1051</v>
      </c>
      <c r="E1259" s="557"/>
      <c r="F1259" s="1339"/>
      <c r="G1259" s="1325" t="s">
        <v>103</v>
      </c>
      <c r="H1259" s="1335" t="s">
        <v>158</v>
      </c>
      <c r="I1259" s="1347" t="s">
        <v>1052</v>
      </c>
      <c r="J1259" s="1363" t="s">
        <v>1053</v>
      </c>
      <c r="K1259" s="1349" t="s">
        <v>1200</v>
      </c>
      <c r="L1259" s="1079" t="s">
        <v>19</v>
      </c>
      <c r="M1259" s="1080"/>
      <c r="N1259" s="242"/>
      <c r="O1259" s="243" t="s">
        <v>384</v>
      </c>
      <c r="P1259" s="244"/>
      <c r="Q1259" s="244"/>
      <c r="R1259" s="244"/>
      <c r="S1259" s="244"/>
      <c r="T1259" s="244"/>
      <c r="U1259" s="244"/>
      <c r="V1259" s="244"/>
      <c r="W1259" s="244"/>
      <c r="X1259" s="244"/>
      <c r="Y1259" s="244"/>
      <c r="Z1259" s="244"/>
      <c r="AA1259" s="244"/>
      <c r="AB1259" s="244"/>
      <c r="AC1259" s="244"/>
      <c r="AD1259" s="244"/>
      <c r="AE1259" s="244"/>
      <c r="AF1259" s="1350">
        <v>2</v>
      </c>
      <c r="AG1259" s="1352" t="s">
        <v>1055</v>
      </c>
      <c r="AH1259" s="1352" t="s">
        <v>1103</v>
      </c>
      <c r="AI1259" s="1350">
        <v>2</v>
      </c>
      <c r="AJ1259" s="1352" t="s">
        <v>1055</v>
      </c>
      <c r="AK1259" s="1352" t="s">
        <v>1103</v>
      </c>
      <c r="AL1259" s="772"/>
    </row>
    <row r="1260" spans="1:38" ht="11.25" customHeight="1">
      <c r="A1260" t="s">
        <v>1019</v>
      </c>
      <c r="E1260" s="557"/>
      <c r="F1260" s="1339"/>
      <c r="G1260" s="1340"/>
      <c r="H1260" s="1335" t="s">
        <v>116</v>
      </c>
      <c r="I1260" s="1347"/>
      <c r="J1260" s="1363"/>
      <c r="K1260" s="1349"/>
      <c r="L1260" s="1079"/>
      <c r="M1260" s="1080"/>
      <c r="N1260" s="1355"/>
      <c r="O1260" s="1356">
        <v>1</v>
      </c>
      <c r="P1260" s="1357" t="s">
        <v>19</v>
      </c>
      <c r="Q1260" s="1308" t="s">
        <v>22</v>
      </c>
      <c r="R1260" s="1308" t="s">
        <v>22</v>
      </c>
      <c r="S1260" s="1308" t="s">
        <v>22</v>
      </c>
      <c r="T1260" s="1308" t="s">
        <v>22</v>
      </c>
      <c r="U1260" s="1308" t="s">
        <v>22</v>
      </c>
      <c r="V1260" s="1308" t="s">
        <v>22</v>
      </c>
      <c r="W1260" s="1308" t="s">
        <v>22</v>
      </c>
      <c r="X1260" s="1308" t="s">
        <v>22</v>
      </c>
      <c r="Y1260" s="1308"/>
      <c r="Z1260" s="229"/>
      <c r="AA1260" s="230"/>
      <c r="AB1260" s="230"/>
      <c r="AC1260" s="231"/>
      <c r="AD1260" s="231"/>
      <c r="AE1260" s="245"/>
      <c r="AF1260" s="1350"/>
      <c r="AG1260" s="1352"/>
      <c r="AH1260" s="1352"/>
      <c r="AI1260" s="1350"/>
      <c r="AJ1260" s="1352"/>
      <c r="AK1260" s="1352"/>
      <c r="AL1260" s="772"/>
    </row>
    <row r="1261" spans="1:38" ht="11.25" customHeight="1">
      <c r="A1261" t="s">
        <v>1019</v>
      </c>
      <c r="E1261" s="557"/>
      <c r="F1261" s="1339"/>
      <c r="G1261" s="1340"/>
      <c r="H1261" s="1335" t="s">
        <v>116</v>
      </c>
      <c r="I1261" s="1347"/>
      <c r="J1261" s="1363"/>
      <c r="K1261" s="1349"/>
      <c r="L1261" s="1079"/>
      <c r="M1261" s="1080"/>
      <c r="N1261" s="1355"/>
      <c r="O1261" s="1356"/>
      <c r="P1261" s="1358"/>
      <c r="Q1261" s="1308"/>
      <c r="R1261" s="1308"/>
      <c r="S1261" s="1361"/>
      <c r="T1261" s="1308"/>
      <c r="U1261" s="1308"/>
      <c r="V1261" s="1308"/>
      <c r="W1261" s="1308"/>
      <c r="X1261" s="1308"/>
      <c r="Y1261" s="1308"/>
      <c r="AA1261" s="778">
        <v>1</v>
      </c>
      <c r="AB1261" s="779" t="s">
        <v>1119</v>
      </c>
      <c r="AC1261" s="237">
        <v>3672.8925035533198</v>
      </c>
      <c r="AD1261" s="779" t="str">
        <f>AB1261</f>
        <v xml:space="preserve">  Прибыль направляемая на инвестиции</v>
      </c>
      <c r="AE1261" s="237">
        <v>0</v>
      </c>
      <c r="AF1261" s="1350"/>
      <c r="AG1261" s="1352"/>
      <c r="AH1261" s="1352"/>
      <c r="AI1261" s="1350"/>
      <c r="AJ1261" s="1352"/>
      <c r="AK1261" s="1352"/>
      <c r="AL1261" s="772"/>
    </row>
    <row r="1262" spans="1:38" ht="11.25" customHeight="1">
      <c r="A1262" t="s">
        <v>1019</v>
      </c>
      <c r="E1262" s="557"/>
      <c r="F1262" s="1340"/>
      <c r="G1262" s="1340"/>
      <c r="H1262" s="1340"/>
      <c r="I1262" s="1340"/>
      <c r="J1262" s="1340"/>
      <c r="K1262" s="1340"/>
      <c r="L1262" s="1340"/>
      <c r="M1262" s="1340"/>
      <c r="N1262" s="1340"/>
      <c r="O1262" s="1340"/>
      <c r="P1262" s="1340"/>
      <c r="Q1262" s="1340"/>
      <c r="R1262" s="1340"/>
      <c r="S1262" s="1340"/>
      <c r="T1262" s="1340"/>
      <c r="U1262" s="1340"/>
      <c r="V1262" s="1340"/>
      <c r="W1262" s="1340"/>
      <c r="X1262" s="1340"/>
      <c r="Y1262" s="1340"/>
      <c r="Z1262" s="181" t="s">
        <v>103</v>
      </c>
      <c r="AA1262" s="780" t="s">
        <v>102</v>
      </c>
      <c r="AB1262" s="779" t="s">
        <v>1120</v>
      </c>
      <c r="AC1262" s="237">
        <v>1152.0562891341699</v>
      </c>
      <c r="AD1262" s="779" t="str">
        <f>AB1262</f>
        <v xml:space="preserve">     Прочие амортизационные отчисления</v>
      </c>
      <c r="AE1262" s="237">
        <v>0</v>
      </c>
      <c r="AF1262" s="1351"/>
      <c r="AG1262" s="1353"/>
      <c r="AH1262" s="1353"/>
      <c r="AI1262" s="1351"/>
      <c r="AJ1262" s="1353"/>
      <c r="AK1262" s="1354"/>
      <c r="AL1262" s="772"/>
    </row>
    <row r="1263" spans="1:38" ht="11.25" customHeight="1">
      <c r="A1263" t="s">
        <v>1019</v>
      </c>
      <c r="E1263" s="557"/>
      <c r="F1263" s="1340"/>
      <c r="G1263" s="1340"/>
      <c r="H1263" s="1340"/>
      <c r="I1263" s="1340"/>
      <c r="J1263" s="1340"/>
      <c r="K1263" s="1340"/>
      <c r="L1263" s="1340"/>
      <c r="M1263" s="1340"/>
      <c r="N1263" s="1340"/>
      <c r="O1263" s="1340"/>
      <c r="P1263" s="1340"/>
      <c r="Q1263" s="1340"/>
      <c r="R1263" s="1340"/>
      <c r="S1263" s="1340"/>
      <c r="T1263" s="1340"/>
      <c r="U1263" s="1340"/>
      <c r="V1263" s="1340"/>
      <c r="W1263" s="1340"/>
      <c r="X1263" s="1340"/>
      <c r="Y1263" s="1340"/>
      <c r="Z1263" s="181" t="s">
        <v>103</v>
      </c>
      <c r="AA1263" s="780" t="s">
        <v>89</v>
      </c>
      <c r="AB1263" s="779" t="s">
        <v>1142</v>
      </c>
      <c r="AC1263" s="237">
        <v>1008.38454064584</v>
      </c>
      <c r="AD1263" s="779" t="str">
        <f>AB1263</f>
        <v xml:space="preserve">  Доход от взимания платы за негативное воздействие на работу централизованной системы водоотведения</v>
      </c>
      <c r="AE1263" s="237">
        <v>0</v>
      </c>
      <c r="AF1263" s="1351"/>
      <c r="AG1263" s="1353"/>
      <c r="AH1263" s="1353"/>
      <c r="AI1263" s="1351"/>
      <c r="AJ1263" s="1353"/>
      <c r="AK1263" s="1354"/>
      <c r="AL1263" s="772"/>
    </row>
    <row r="1264" spans="1:38" ht="11.25" customHeight="1">
      <c r="A1264" t="s">
        <v>1019</v>
      </c>
      <c r="E1264" s="557"/>
      <c r="F1264" s="1339"/>
      <c r="G1264" s="1340"/>
      <c r="H1264" s="1335" t="s">
        <v>116</v>
      </c>
      <c r="I1264" s="1347"/>
      <c r="J1264" s="1363"/>
      <c r="K1264" s="1349"/>
      <c r="L1264" s="1079"/>
      <c r="M1264" s="1080"/>
      <c r="N1264" s="1355"/>
      <c r="O1264" s="1356"/>
      <c r="P1264" s="1359"/>
      <c r="Q1264" s="1308"/>
      <c r="R1264" s="1308"/>
      <c r="S1264" s="1361"/>
      <c r="T1264" s="1308"/>
      <c r="U1264" s="1308"/>
      <c r="V1264" s="1308"/>
      <c r="W1264" s="1308"/>
      <c r="X1264" s="1308"/>
      <c r="Y1264" s="1308"/>
      <c r="Z1264" s="229"/>
      <c r="AA1264" s="230"/>
      <c r="AB1264" s="44" t="s">
        <v>1059</v>
      </c>
      <c r="AC1264" s="231"/>
      <c r="AD1264" s="231"/>
      <c r="AE1264" s="246"/>
      <c r="AF1264" s="1350"/>
      <c r="AG1264" s="1352"/>
      <c r="AH1264" s="1352"/>
      <c r="AI1264" s="1350"/>
      <c r="AJ1264" s="1352"/>
      <c r="AK1264" s="1352"/>
      <c r="AL1264" s="772"/>
    </row>
    <row r="1265" spans="1:38" ht="11.25" customHeight="1">
      <c r="A1265" t="s">
        <v>1019</v>
      </c>
      <c r="E1265" s="557"/>
      <c r="F1265" s="1339"/>
      <c r="G1265" s="1340"/>
      <c r="H1265" s="1335" t="s">
        <v>116</v>
      </c>
      <c r="I1265" s="1347"/>
      <c r="J1265" s="1363"/>
      <c r="K1265" s="1349"/>
      <c r="L1265" s="1079"/>
      <c r="M1265" s="1080"/>
      <c r="N1265" s="229"/>
      <c r="O1265" s="230"/>
      <c r="P1265" s="44" t="s">
        <v>1060</v>
      </c>
      <c r="Q1265" s="230"/>
      <c r="R1265" s="230"/>
      <c r="S1265" s="230"/>
      <c r="T1265" s="230"/>
      <c r="U1265" s="230"/>
      <c r="V1265" s="230"/>
      <c r="W1265" s="230"/>
      <c r="X1265" s="230"/>
      <c r="Y1265" s="230"/>
      <c r="Z1265" s="230"/>
      <c r="AA1265" s="230"/>
      <c r="AB1265" s="230"/>
      <c r="AC1265" s="230"/>
      <c r="AD1265" s="230"/>
      <c r="AE1265" s="247"/>
      <c r="AF1265" s="1350"/>
      <c r="AG1265" s="1352"/>
      <c r="AH1265" s="1352"/>
      <c r="AI1265" s="1350"/>
      <c r="AJ1265" s="1352"/>
      <c r="AK1265" s="1352"/>
      <c r="AL1265" s="772"/>
    </row>
    <row r="1266" spans="1:38" ht="11.25" customHeight="1">
      <c r="A1266" t="s">
        <v>1019</v>
      </c>
      <c r="B1266" t="s">
        <v>1051</v>
      </c>
      <c r="E1266" s="557"/>
      <c r="F1266" s="1339"/>
      <c r="G1266" s="1325" t="s">
        <v>103</v>
      </c>
      <c r="H1266" s="1335" t="s">
        <v>159</v>
      </c>
      <c r="I1266" s="1347" t="s">
        <v>1052</v>
      </c>
      <c r="J1266" s="1363" t="s">
        <v>1053</v>
      </c>
      <c r="K1266" s="1349" t="s">
        <v>1201</v>
      </c>
      <c r="L1266" s="1079" t="s">
        <v>19</v>
      </c>
      <c r="M1266" s="1080"/>
      <c r="N1266" s="242"/>
      <c r="O1266" s="243" t="s">
        <v>384</v>
      </c>
      <c r="P1266" s="244"/>
      <c r="Q1266" s="244"/>
      <c r="R1266" s="244"/>
      <c r="S1266" s="244"/>
      <c r="T1266" s="244"/>
      <c r="U1266" s="244"/>
      <c r="V1266" s="244"/>
      <c r="W1266" s="244"/>
      <c r="X1266" s="244"/>
      <c r="Y1266" s="244"/>
      <c r="Z1266" s="244"/>
      <c r="AA1266" s="244"/>
      <c r="AB1266" s="244"/>
      <c r="AC1266" s="244"/>
      <c r="AD1266" s="244"/>
      <c r="AE1266" s="244"/>
      <c r="AF1266" s="1350">
        <v>2</v>
      </c>
      <c r="AG1266" s="1352" t="s">
        <v>1055</v>
      </c>
      <c r="AH1266" s="1352" t="s">
        <v>1103</v>
      </c>
      <c r="AI1266" s="1350">
        <v>2</v>
      </c>
      <c r="AJ1266" s="1352" t="s">
        <v>1055</v>
      </c>
      <c r="AK1266" s="1352" t="s">
        <v>1103</v>
      </c>
      <c r="AL1266" s="772"/>
    </row>
    <row r="1267" spans="1:38" ht="11.25" customHeight="1">
      <c r="A1267" t="s">
        <v>1019</v>
      </c>
      <c r="E1267" s="557"/>
      <c r="F1267" s="1339"/>
      <c r="G1267" s="1340"/>
      <c r="H1267" s="1335" t="s">
        <v>158</v>
      </c>
      <c r="I1267" s="1347"/>
      <c r="J1267" s="1363"/>
      <c r="K1267" s="1349"/>
      <c r="L1267" s="1079"/>
      <c r="M1267" s="1080"/>
      <c r="N1267" s="1355"/>
      <c r="O1267" s="1356">
        <v>1</v>
      </c>
      <c r="P1267" s="1357" t="s">
        <v>19</v>
      </c>
      <c r="Q1267" s="1308" t="s">
        <v>22</v>
      </c>
      <c r="R1267" s="1308" t="s">
        <v>22</v>
      </c>
      <c r="S1267" s="1308" t="s">
        <v>22</v>
      </c>
      <c r="T1267" s="1308" t="s">
        <v>22</v>
      </c>
      <c r="U1267" s="1308" t="s">
        <v>22</v>
      </c>
      <c r="V1267" s="1308" t="s">
        <v>22</v>
      </c>
      <c r="W1267" s="1308" t="s">
        <v>22</v>
      </c>
      <c r="X1267" s="1308" t="s">
        <v>22</v>
      </c>
      <c r="Y1267" s="1308"/>
      <c r="Z1267" s="229"/>
      <c r="AA1267" s="230"/>
      <c r="AB1267" s="230"/>
      <c r="AC1267" s="231"/>
      <c r="AD1267" s="231"/>
      <c r="AE1267" s="245"/>
      <c r="AF1267" s="1350"/>
      <c r="AG1267" s="1352"/>
      <c r="AH1267" s="1352"/>
      <c r="AI1267" s="1350"/>
      <c r="AJ1267" s="1352"/>
      <c r="AK1267" s="1352"/>
      <c r="AL1267" s="772"/>
    </row>
    <row r="1268" spans="1:38" ht="11.25" customHeight="1">
      <c r="A1268" t="s">
        <v>1019</v>
      </c>
      <c r="E1268" s="557"/>
      <c r="F1268" s="1339"/>
      <c r="G1268" s="1340"/>
      <c r="H1268" s="1335" t="s">
        <v>158</v>
      </c>
      <c r="I1268" s="1347"/>
      <c r="J1268" s="1363"/>
      <c r="K1268" s="1349"/>
      <c r="L1268" s="1079"/>
      <c r="M1268" s="1080"/>
      <c r="N1268" s="1355"/>
      <c r="O1268" s="1356"/>
      <c r="P1268" s="1358"/>
      <c r="Q1268" s="1308"/>
      <c r="R1268" s="1308"/>
      <c r="S1268" s="1361"/>
      <c r="T1268" s="1308"/>
      <c r="U1268" s="1308"/>
      <c r="V1268" s="1308"/>
      <c r="W1268" s="1308"/>
      <c r="X1268" s="1308"/>
      <c r="Y1268" s="1308"/>
      <c r="AA1268" s="778">
        <v>1</v>
      </c>
      <c r="AB1268" s="779" t="s">
        <v>1119</v>
      </c>
      <c r="AC1268" s="237">
        <v>2999.08657419479</v>
      </c>
      <c r="AD1268" s="779" t="str">
        <f>AB1268</f>
        <v xml:space="preserve">  Прибыль направляемая на инвестиции</v>
      </c>
      <c r="AE1268" s="237">
        <v>0</v>
      </c>
      <c r="AF1268" s="1350"/>
      <c r="AG1268" s="1352"/>
      <c r="AH1268" s="1352"/>
      <c r="AI1268" s="1350"/>
      <c r="AJ1268" s="1352"/>
      <c r="AK1268" s="1352"/>
      <c r="AL1268" s="772"/>
    </row>
    <row r="1269" spans="1:38" ht="11.25" customHeight="1">
      <c r="A1269" t="s">
        <v>1019</v>
      </c>
      <c r="E1269" s="557"/>
      <c r="F1269" s="1340"/>
      <c r="G1269" s="1340"/>
      <c r="H1269" s="1340"/>
      <c r="I1269" s="1340"/>
      <c r="J1269" s="1340"/>
      <c r="K1269" s="1340"/>
      <c r="L1269" s="1340"/>
      <c r="M1269" s="1340"/>
      <c r="N1269" s="1340"/>
      <c r="O1269" s="1340"/>
      <c r="P1269" s="1340"/>
      <c r="Q1269" s="1340"/>
      <c r="R1269" s="1340"/>
      <c r="S1269" s="1340"/>
      <c r="T1269" s="1340"/>
      <c r="U1269" s="1340"/>
      <c r="V1269" s="1340"/>
      <c r="W1269" s="1340"/>
      <c r="X1269" s="1340"/>
      <c r="Y1269" s="1340"/>
      <c r="Z1269" s="181" t="s">
        <v>103</v>
      </c>
      <c r="AA1269" s="780" t="s">
        <v>102</v>
      </c>
      <c r="AB1269" s="779" t="s">
        <v>1120</v>
      </c>
      <c r="AC1269" s="237">
        <v>940.70723445249905</v>
      </c>
      <c r="AD1269" s="779" t="str">
        <f>AB1269</f>
        <v xml:space="preserve">     Прочие амортизационные отчисления</v>
      </c>
      <c r="AE1269" s="237">
        <v>0</v>
      </c>
      <c r="AF1269" s="1351"/>
      <c r="AG1269" s="1353"/>
      <c r="AH1269" s="1353"/>
      <c r="AI1269" s="1351"/>
      <c r="AJ1269" s="1353"/>
      <c r="AK1269" s="1354"/>
      <c r="AL1269" s="772"/>
    </row>
    <row r="1270" spans="1:38" ht="11.25" customHeight="1">
      <c r="A1270" t="s">
        <v>1019</v>
      </c>
      <c r="E1270" s="557"/>
      <c r="F1270" s="1340"/>
      <c r="G1270" s="1340"/>
      <c r="H1270" s="1340"/>
      <c r="I1270" s="1340"/>
      <c r="J1270" s="1340"/>
      <c r="K1270" s="1340"/>
      <c r="L1270" s="1340"/>
      <c r="M1270" s="1340"/>
      <c r="N1270" s="1340"/>
      <c r="O1270" s="1340"/>
      <c r="P1270" s="1340"/>
      <c r="Q1270" s="1340"/>
      <c r="R1270" s="1340"/>
      <c r="S1270" s="1340"/>
      <c r="T1270" s="1340"/>
      <c r="U1270" s="1340"/>
      <c r="V1270" s="1340"/>
      <c r="W1270" s="1340"/>
      <c r="X1270" s="1340"/>
      <c r="Y1270" s="1340"/>
      <c r="Z1270" s="181" t="s">
        <v>103</v>
      </c>
      <c r="AA1270" s="780" t="s">
        <v>89</v>
      </c>
      <c r="AB1270" s="779" t="s">
        <v>1142</v>
      </c>
      <c r="AC1270" s="237">
        <v>823.39260801962996</v>
      </c>
      <c r="AD1270" s="779" t="str">
        <f>AB1270</f>
        <v xml:space="preserve">  Доход от взимания платы за негативное воздействие на работу централизованной системы водоотведения</v>
      </c>
      <c r="AE1270" s="237">
        <v>0</v>
      </c>
      <c r="AF1270" s="1351"/>
      <c r="AG1270" s="1353"/>
      <c r="AH1270" s="1353"/>
      <c r="AI1270" s="1351"/>
      <c r="AJ1270" s="1353"/>
      <c r="AK1270" s="1354"/>
      <c r="AL1270" s="772"/>
    </row>
    <row r="1271" spans="1:38" ht="11.25" customHeight="1">
      <c r="A1271" t="s">
        <v>1019</v>
      </c>
      <c r="E1271" s="557"/>
      <c r="F1271" s="1339"/>
      <c r="G1271" s="1340"/>
      <c r="H1271" s="1335" t="s">
        <v>158</v>
      </c>
      <c r="I1271" s="1347"/>
      <c r="J1271" s="1363"/>
      <c r="K1271" s="1349"/>
      <c r="L1271" s="1079"/>
      <c r="M1271" s="1080"/>
      <c r="N1271" s="1355"/>
      <c r="O1271" s="1356"/>
      <c r="P1271" s="1359"/>
      <c r="Q1271" s="1308"/>
      <c r="R1271" s="1308"/>
      <c r="S1271" s="1361"/>
      <c r="T1271" s="1308"/>
      <c r="U1271" s="1308"/>
      <c r="V1271" s="1308"/>
      <c r="W1271" s="1308"/>
      <c r="X1271" s="1308"/>
      <c r="Y1271" s="1308"/>
      <c r="Z1271" s="229"/>
      <c r="AA1271" s="230"/>
      <c r="AB1271" s="44" t="s">
        <v>1059</v>
      </c>
      <c r="AC1271" s="231"/>
      <c r="AD1271" s="231"/>
      <c r="AE1271" s="246"/>
      <c r="AF1271" s="1350"/>
      <c r="AG1271" s="1352"/>
      <c r="AH1271" s="1352"/>
      <c r="AI1271" s="1350"/>
      <c r="AJ1271" s="1352"/>
      <c r="AK1271" s="1352"/>
      <c r="AL1271" s="772"/>
    </row>
    <row r="1272" spans="1:38" ht="11.25" customHeight="1">
      <c r="A1272" t="s">
        <v>1019</v>
      </c>
      <c r="E1272" s="557"/>
      <c r="F1272" s="1339"/>
      <c r="G1272" s="1340"/>
      <c r="H1272" s="1335" t="s">
        <v>158</v>
      </c>
      <c r="I1272" s="1347"/>
      <c r="J1272" s="1363"/>
      <c r="K1272" s="1349"/>
      <c r="L1272" s="1079"/>
      <c r="M1272" s="1080"/>
      <c r="N1272" s="229"/>
      <c r="O1272" s="230"/>
      <c r="P1272" s="44" t="s">
        <v>1060</v>
      </c>
      <c r="Q1272" s="230"/>
      <c r="R1272" s="230"/>
      <c r="S1272" s="230"/>
      <c r="T1272" s="230"/>
      <c r="U1272" s="230"/>
      <c r="V1272" s="230"/>
      <c r="W1272" s="230"/>
      <c r="X1272" s="230"/>
      <c r="Y1272" s="230"/>
      <c r="Z1272" s="230"/>
      <c r="AA1272" s="230"/>
      <c r="AB1272" s="230"/>
      <c r="AC1272" s="230"/>
      <c r="AD1272" s="230"/>
      <c r="AE1272" s="247"/>
      <c r="AF1272" s="1350"/>
      <c r="AG1272" s="1352"/>
      <c r="AH1272" s="1352"/>
      <c r="AI1272" s="1350"/>
      <c r="AJ1272" s="1352"/>
      <c r="AK1272" s="1352"/>
      <c r="AL1272" s="772"/>
    </row>
    <row r="1273" spans="1:38" ht="11.25" customHeight="1">
      <c r="A1273" t="s">
        <v>1019</v>
      </c>
      <c r="B1273" t="s">
        <v>1051</v>
      </c>
      <c r="E1273" s="557"/>
      <c r="F1273" s="1339"/>
      <c r="G1273" s="1325" t="s">
        <v>103</v>
      </c>
      <c r="H1273" s="1335" t="s">
        <v>160</v>
      </c>
      <c r="I1273" s="1347" t="s">
        <v>1052</v>
      </c>
      <c r="J1273" s="1363" t="s">
        <v>1093</v>
      </c>
      <c r="K1273" s="1349" t="s">
        <v>1094</v>
      </c>
      <c r="L1273" s="1079" t="s">
        <v>61</v>
      </c>
      <c r="M1273" s="1364" t="s">
        <v>1018</v>
      </c>
      <c r="N1273" s="242"/>
      <c r="O1273" s="243" t="s">
        <v>384</v>
      </c>
      <c r="P1273" s="244"/>
      <c r="Q1273" s="244"/>
      <c r="R1273" s="244"/>
      <c r="S1273" s="244"/>
      <c r="T1273" s="244"/>
      <c r="U1273" s="244"/>
      <c r="V1273" s="244"/>
      <c r="W1273" s="244"/>
      <c r="X1273" s="244"/>
      <c r="Y1273" s="244"/>
      <c r="Z1273" s="244"/>
      <c r="AA1273" s="244"/>
      <c r="AB1273" s="244"/>
      <c r="AC1273" s="244"/>
      <c r="AD1273" s="244"/>
      <c r="AE1273" s="244"/>
      <c r="AF1273" s="1350">
        <v>5</v>
      </c>
      <c r="AG1273" s="1352" t="s">
        <v>1055</v>
      </c>
      <c r="AH1273" s="1352" t="s">
        <v>1095</v>
      </c>
      <c r="AI1273" s="1350">
        <v>5</v>
      </c>
      <c r="AJ1273" s="1352" t="s">
        <v>1055</v>
      </c>
      <c r="AK1273" s="1352" t="s">
        <v>1095</v>
      </c>
      <c r="AL1273" s="772"/>
    </row>
    <row r="1274" spans="1:38" ht="11.25" customHeight="1">
      <c r="A1274" t="s">
        <v>1019</v>
      </c>
      <c r="E1274" s="557"/>
      <c r="F1274" s="1339"/>
      <c r="G1274" s="1340"/>
      <c r="H1274" s="1335" t="s">
        <v>159</v>
      </c>
      <c r="I1274" s="1347"/>
      <c r="J1274" s="1363"/>
      <c r="K1274" s="1349"/>
      <c r="L1274" s="1079"/>
      <c r="M1274" s="1364"/>
      <c r="N1274" s="1355"/>
      <c r="O1274" s="1356">
        <v>1</v>
      </c>
      <c r="P1274" s="1357" t="s">
        <v>19</v>
      </c>
      <c r="Q1274" s="1308" t="s">
        <v>22</v>
      </c>
      <c r="R1274" s="1308" t="s">
        <v>22</v>
      </c>
      <c r="S1274" s="1308" t="s">
        <v>22</v>
      </c>
      <c r="T1274" s="1308" t="s">
        <v>22</v>
      </c>
      <c r="U1274" s="1308" t="s">
        <v>22</v>
      </c>
      <c r="V1274" s="1308" t="s">
        <v>22</v>
      </c>
      <c r="W1274" s="1308" t="s">
        <v>22</v>
      </c>
      <c r="X1274" s="1308" t="s">
        <v>22</v>
      </c>
      <c r="Y1274" s="1308"/>
      <c r="Z1274" s="229"/>
      <c r="AA1274" s="230"/>
      <c r="AB1274" s="230"/>
      <c r="AC1274" s="231"/>
      <c r="AD1274" s="231"/>
      <c r="AE1274" s="245"/>
      <c r="AF1274" s="1350"/>
      <c r="AG1274" s="1352"/>
      <c r="AH1274" s="1352"/>
      <c r="AI1274" s="1350"/>
      <c r="AJ1274" s="1352"/>
      <c r="AK1274" s="1352"/>
      <c r="AL1274" s="772"/>
    </row>
    <row r="1275" spans="1:38" ht="11.25" customHeight="1">
      <c r="A1275" t="s">
        <v>1019</v>
      </c>
      <c r="E1275" s="557"/>
      <c r="F1275" s="1339"/>
      <c r="G1275" s="1340"/>
      <c r="H1275" s="1335" t="s">
        <v>159</v>
      </c>
      <c r="I1275" s="1347"/>
      <c r="J1275" s="1363"/>
      <c r="K1275" s="1349"/>
      <c r="L1275" s="1079"/>
      <c r="M1275" s="1364"/>
      <c r="N1275" s="1355"/>
      <c r="O1275" s="1356"/>
      <c r="P1275" s="1358"/>
      <c r="Q1275" s="1308"/>
      <c r="R1275" s="1308"/>
      <c r="S1275" s="1361"/>
      <c r="T1275" s="1308"/>
      <c r="U1275" s="1308"/>
      <c r="V1275" s="1308"/>
      <c r="W1275" s="1308"/>
      <c r="X1275" s="1308"/>
      <c r="Y1275" s="1308"/>
      <c r="AA1275" s="778">
        <v>1</v>
      </c>
      <c r="AB1275" s="779" t="s">
        <v>1119</v>
      </c>
      <c r="AC1275" s="237">
        <v>3061.0719296798602</v>
      </c>
      <c r="AD1275" s="779" t="str">
        <f>AB1275</f>
        <v xml:space="preserve">  Прибыль направляемая на инвестиции</v>
      </c>
      <c r="AE1275" s="237">
        <v>0</v>
      </c>
      <c r="AF1275" s="1350"/>
      <c r="AG1275" s="1352"/>
      <c r="AH1275" s="1352"/>
      <c r="AI1275" s="1350"/>
      <c r="AJ1275" s="1352"/>
      <c r="AK1275" s="1352"/>
      <c r="AL1275" s="772"/>
    </row>
    <row r="1276" spans="1:38" ht="11.25" customHeight="1">
      <c r="A1276" t="s">
        <v>1019</v>
      </c>
      <c r="E1276" s="557"/>
      <c r="F1276" s="1340"/>
      <c r="G1276" s="1340"/>
      <c r="H1276" s="1340"/>
      <c r="I1276" s="1340"/>
      <c r="J1276" s="1340"/>
      <c r="K1276" s="1340"/>
      <c r="L1276" s="1340"/>
      <c r="M1276" s="1365"/>
      <c r="N1276" s="1340"/>
      <c r="O1276" s="1340"/>
      <c r="P1276" s="1340"/>
      <c r="Q1276" s="1340"/>
      <c r="R1276" s="1340"/>
      <c r="S1276" s="1340"/>
      <c r="T1276" s="1340"/>
      <c r="U1276" s="1340"/>
      <c r="V1276" s="1340"/>
      <c r="W1276" s="1340"/>
      <c r="X1276" s="1340"/>
      <c r="Y1276" s="1340"/>
      <c r="Z1276" s="181" t="s">
        <v>103</v>
      </c>
      <c r="AA1276" s="780" t="s">
        <v>102</v>
      </c>
      <c r="AB1276" s="779" t="s">
        <v>1120</v>
      </c>
      <c r="AC1276" s="237">
        <v>960.14984502487596</v>
      </c>
      <c r="AD1276" s="779" t="str">
        <f>AB1276</f>
        <v xml:space="preserve">     Прочие амортизационные отчисления</v>
      </c>
      <c r="AE1276" s="237">
        <v>0</v>
      </c>
      <c r="AF1276" s="1351"/>
      <c r="AG1276" s="1353"/>
      <c r="AH1276" s="1353"/>
      <c r="AI1276" s="1351"/>
      <c r="AJ1276" s="1353"/>
      <c r="AK1276" s="1354"/>
      <c r="AL1276" s="772"/>
    </row>
    <row r="1277" spans="1:38" ht="11.25" customHeight="1">
      <c r="A1277" t="s">
        <v>1019</v>
      </c>
      <c r="E1277" s="557"/>
      <c r="F1277" s="1340"/>
      <c r="G1277" s="1340"/>
      <c r="H1277" s="1340"/>
      <c r="I1277" s="1340"/>
      <c r="J1277" s="1340"/>
      <c r="K1277" s="1340"/>
      <c r="L1277" s="1340"/>
      <c r="M1277" s="1365"/>
      <c r="N1277" s="1340"/>
      <c r="O1277" s="1340"/>
      <c r="P1277" s="1340"/>
      <c r="Q1277" s="1340"/>
      <c r="R1277" s="1340"/>
      <c r="S1277" s="1340"/>
      <c r="T1277" s="1340"/>
      <c r="U1277" s="1340"/>
      <c r="V1277" s="1340"/>
      <c r="W1277" s="1340"/>
      <c r="X1277" s="1340"/>
      <c r="Y1277" s="1340"/>
      <c r="Z1277" s="181" t="s">
        <v>103</v>
      </c>
      <c r="AA1277" s="780" t="s">
        <v>89</v>
      </c>
      <c r="AB1277" s="779" t="s">
        <v>1142</v>
      </c>
      <c r="AC1277" s="237">
        <v>840.41055073293001</v>
      </c>
      <c r="AD1277" s="779" t="str">
        <f>AB1277</f>
        <v xml:space="preserve">  Доход от взимания платы за негативное воздействие на работу централизованной системы водоотведения</v>
      </c>
      <c r="AE1277" s="237">
        <v>0</v>
      </c>
      <c r="AF1277" s="1351"/>
      <c r="AG1277" s="1353"/>
      <c r="AH1277" s="1353"/>
      <c r="AI1277" s="1351"/>
      <c r="AJ1277" s="1353"/>
      <c r="AK1277" s="1354"/>
      <c r="AL1277" s="772"/>
    </row>
    <row r="1278" spans="1:38" ht="11.25" customHeight="1">
      <c r="A1278" t="s">
        <v>1019</v>
      </c>
      <c r="E1278" s="557"/>
      <c r="F1278" s="1339"/>
      <c r="G1278" s="1340"/>
      <c r="H1278" s="1335" t="s">
        <v>159</v>
      </c>
      <c r="I1278" s="1347"/>
      <c r="J1278" s="1363"/>
      <c r="K1278" s="1349"/>
      <c r="L1278" s="1079"/>
      <c r="M1278" s="1364"/>
      <c r="N1278" s="1355"/>
      <c r="O1278" s="1356"/>
      <c r="P1278" s="1359"/>
      <c r="Q1278" s="1308"/>
      <c r="R1278" s="1308"/>
      <c r="S1278" s="1361"/>
      <c r="T1278" s="1308"/>
      <c r="U1278" s="1308"/>
      <c r="V1278" s="1308"/>
      <c r="W1278" s="1308"/>
      <c r="X1278" s="1308"/>
      <c r="Y1278" s="1308"/>
      <c r="Z1278" s="229"/>
      <c r="AA1278" s="230"/>
      <c r="AB1278" s="44" t="s">
        <v>1059</v>
      </c>
      <c r="AC1278" s="231"/>
      <c r="AD1278" s="231"/>
      <c r="AE1278" s="246"/>
      <c r="AF1278" s="1350"/>
      <c r="AG1278" s="1352"/>
      <c r="AH1278" s="1352"/>
      <c r="AI1278" s="1350"/>
      <c r="AJ1278" s="1352"/>
      <c r="AK1278" s="1352"/>
      <c r="AL1278" s="772"/>
    </row>
    <row r="1279" spans="1:38" ht="11.25" customHeight="1">
      <c r="A1279" t="s">
        <v>1019</v>
      </c>
      <c r="E1279" s="557"/>
      <c r="F1279" s="1339"/>
      <c r="G1279" s="1340"/>
      <c r="H1279" s="1335" t="s">
        <v>159</v>
      </c>
      <c r="I1279" s="1347"/>
      <c r="J1279" s="1363"/>
      <c r="K1279" s="1349"/>
      <c r="L1279" s="1079"/>
      <c r="M1279" s="1364"/>
      <c r="N1279" s="229"/>
      <c r="O1279" s="230"/>
      <c r="P1279" s="44" t="s">
        <v>1060</v>
      </c>
      <c r="Q1279" s="230"/>
      <c r="R1279" s="230"/>
      <c r="S1279" s="230"/>
      <c r="T1279" s="230"/>
      <c r="U1279" s="230"/>
      <c r="V1279" s="230"/>
      <c r="W1279" s="230"/>
      <c r="X1279" s="230"/>
      <c r="Y1279" s="230"/>
      <c r="Z1279" s="230"/>
      <c r="AA1279" s="230"/>
      <c r="AB1279" s="230"/>
      <c r="AC1279" s="230"/>
      <c r="AD1279" s="230"/>
      <c r="AE1279" s="247"/>
      <c r="AF1279" s="1350"/>
      <c r="AG1279" s="1352"/>
      <c r="AH1279" s="1352"/>
      <c r="AI1279" s="1350"/>
      <c r="AJ1279" s="1352"/>
      <c r="AK1279" s="1352"/>
      <c r="AL1279" s="772"/>
    </row>
    <row r="1280" spans="1:38" ht="12" customHeight="1">
      <c r="A1280" s="1030" t="s">
        <v>1019</v>
      </c>
      <c r="E1280" s="557"/>
      <c r="F1280" s="1341"/>
      <c r="G1280" s="775"/>
      <c r="H1280" s="775"/>
      <c r="I1280" s="1337" t="s">
        <v>1070</v>
      </c>
      <c r="J1280" s="1337"/>
      <c r="K1280" s="1337"/>
      <c r="L1280" s="776"/>
      <c r="M1280" s="776"/>
      <c r="N1280" s="777"/>
      <c r="O1280" s="777"/>
      <c r="P1280" s="777"/>
      <c r="Q1280" s="777"/>
      <c r="R1280" s="777"/>
      <c r="S1280" s="777"/>
      <c r="T1280" s="777"/>
      <c r="U1280" s="777"/>
      <c r="V1280" s="777"/>
      <c r="W1280" s="777"/>
      <c r="X1280" s="777"/>
      <c r="Y1280" s="777"/>
      <c r="Z1280" s="777"/>
      <c r="AA1280" s="777"/>
      <c r="AB1280" s="777"/>
      <c r="AC1280" s="777"/>
      <c r="AD1280" s="777"/>
      <c r="AE1280" s="777"/>
      <c r="AF1280" s="777"/>
      <c r="AG1280" s="776"/>
      <c r="AH1280" s="776"/>
      <c r="AI1280" s="777"/>
      <c r="AJ1280" s="776"/>
      <c r="AK1280" s="777"/>
      <c r="AL1280" s="772"/>
    </row>
    <row r="1281" spans="1:38" ht="0.75" customHeight="1">
      <c r="A1281" s="1030" t="s">
        <v>1019</v>
      </c>
      <c r="E1281" s="557"/>
      <c r="F1281" s="1338">
        <v>2027</v>
      </c>
      <c r="G1281" s="1335"/>
      <c r="H1281" s="1343" t="s">
        <v>384</v>
      </c>
      <c r="I1281" s="1344"/>
      <c r="J1281" s="1334"/>
      <c r="K1281" s="1334"/>
      <c r="L1281" s="1336"/>
      <c r="M1281" s="1190"/>
      <c r="N1281" s="214"/>
      <c r="O1281" s="215"/>
      <c r="P1281" s="214"/>
      <c r="Q1281" s="214"/>
      <c r="R1281" s="214"/>
      <c r="S1281" s="214"/>
      <c r="T1281" s="214"/>
      <c r="U1281" s="214"/>
      <c r="V1281" s="214"/>
      <c r="W1281" s="214"/>
      <c r="X1281" s="214"/>
      <c r="Y1281" s="214"/>
      <c r="Z1281" s="214"/>
      <c r="AA1281" s="214"/>
      <c r="AB1281" s="214"/>
      <c r="AC1281" s="214"/>
      <c r="AD1281" s="214"/>
      <c r="AE1281" s="214"/>
      <c r="AF1281" s="1342"/>
      <c r="AG1281" s="1336"/>
      <c r="AH1281" s="1336"/>
      <c r="AI1281" s="1342"/>
      <c r="AJ1281" s="1336"/>
      <c r="AK1281" s="1336"/>
      <c r="AL1281" s="772"/>
    </row>
    <row r="1282" spans="1:38" ht="0.75" customHeight="1">
      <c r="A1282" s="1030" t="s">
        <v>1019</v>
      </c>
      <c r="E1282" s="557"/>
      <c r="F1282" s="1338"/>
      <c r="G1282" s="1335"/>
      <c r="H1282" s="1343"/>
      <c r="I1282" s="1344"/>
      <c r="J1282" s="1334"/>
      <c r="K1282" s="1334"/>
      <c r="L1282" s="1336"/>
      <c r="M1282" s="1190"/>
      <c r="N1282" s="1345"/>
      <c r="O1282" s="1346"/>
      <c r="P1282" s="1331"/>
      <c r="Q1282" s="1334"/>
      <c r="R1282" s="1334"/>
      <c r="S1282" s="1334"/>
      <c r="T1282" s="1334"/>
      <c r="U1282" s="1334"/>
      <c r="V1282" s="1334"/>
      <c r="W1282" s="1334"/>
      <c r="X1282" s="1334"/>
      <c r="Y1282" s="1334"/>
      <c r="Z1282" s="216"/>
      <c r="AA1282" s="217"/>
      <c r="AB1282" s="217"/>
      <c r="AC1282" s="218"/>
      <c r="AD1282" s="218"/>
      <c r="AE1282" s="219"/>
      <c r="AF1282" s="1342"/>
      <c r="AG1282" s="1336"/>
      <c r="AH1282" s="1336"/>
      <c r="AI1282" s="1342"/>
      <c r="AJ1282" s="1336"/>
      <c r="AK1282" s="1336"/>
      <c r="AL1282" s="772"/>
    </row>
    <row r="1283" spans="1:38" ht="0.75" customHeight="1">
      <c r="A1283" s="1030" t="s">
        <v>1019</v>
      </c>
      <c r="E1283" s="557"/>
      <c r="F1283" s="1338"/>
      <c r="G1283" s="1335"/>
      <c r="H1283" s="1343"/>
      <c r="I1283" s="1344"/>
      <c r="J1283" s="1334"/>
      <c r="K1283" s="1334"/>
      <c r="L1283" s="1336"/>
      <c r="M1283" s="1190"/>
      <c r="N1283" s="1345"/>
      <c r="O1283" s="1346"/>
      <c r="P1283" s="1332"/>
      <c r="Q1283" s="1334"/>
      <c r="R1283" s="1334"/>
      <c r="S1283" s="1334"/>
      <c r="T1283" s="1334"/>
      <c r="U1283" s="1334"/>
      <c r="V1283" s="1334"/>
      <c r="W1283" s="1334"/>
      <c r="X1283" s="1334"/>
      <c r="Y1283" s="1334"/>
      <c r="AA1283" s="773"/>
      <c r="AB1283" s="774"/>
      <c r="AC1283" s="220"/>
      <c r="AD1283" s="774"/>
      <c r="AE1283" s="220"/>
      <c r="AF1283" s="1342"/>
      <c r="AG1283" s="1336"/>
      <c r="AH1283" s="1336"/>
      <c r="AI1283" s="1342"/>
      <c r="AJ1283" s="1336"/>
      <c r="AK1283" s="1336"/>
      <c r="AL1283" s="772"/>
    </row>
    <row r="1284" spans="1:38" ht="0.75" customHeight="1">
      <c r="A1284" s="1030" t="s">
        <v>1019</v>
      </c>
      <c r="E1284" s="557"/>
      <c r="F1284" s="1338"/>
      <c r="G1284" s="1335"/>
      <c r="H1284" s="1343"/>
      <c r="I1284" s="1344"/>
      <c r="J1284" s="1334"/>
      <c r="K1284" s="1334"/>
      <c r="L1284" s="1336"/>
      <c r="M1284" s="1190"/>
      <c r="N1284" s="1345"/>
      <c r="O1284" s="1346"/>
      <c r="P1284" s="1333"/>
      <c r="Q1284" s="1334"/>
      <c r="R1284" s="1334"/>
      <c r="S1284" s="1334"/>
      <c r="T1284" s="1334"/>
      <c r="U1284" s="1334"/>
      <c r="V1284" s="1334"/>
      <c r="W1284" s="1334"/>
      <c r="X1284" s="1334"/>
      <c r="Y1284" s="1334"/>
      <c r="Z1284" s="216"/>
      <c r="AA1284" s="217"/>
      <c r="AB1284" s="221"/>
      <c r="AC1284" s="218"/>
      <c r="AD1284" s="218"/>
      <c r="AE1284" s="222"/>
      <c r="AF1284" s="1342"/>
      <c r="AG1284" s="1336"/>
      <c r="AH1284" s="1336"/>
      <c r="AI1284" s="1342"/>
      <c r="AJ1284" s="1336"/>
      <c r="AK1284" s="1336"/>
      <c r="AL1284" s="772"/>
    </row>
    <row r="1285" spans="1:38" ht="0.75" customHeight="1">
      <c r="A1285" s="1030" t="s">
        <v>1019</v>
      </c>
      <c r="E1285" s="557"/>
      <c r="F1285" s="1338"/>
      <c r="G1285" s="1335"/>
      <c r="H1285" s="1343"/>
      <c r="I1285" s="1344"/>
      <c r="J1285" s="1334"/>
      <c r="K1285" s="1334"/>
      <c r="L1285" s="1336"/>
      <c r="M1285" s="1190"/>
      <c r="N1285" s="217"/>
      <c r="O1285" s="217"/>
      <c r="P1285" s="221"/>
      <c r="Q1285" s="217"/>
      <c r="R1285" s="217"/>
      <c r="S1285" s="217"/>
      <c r="T1285" s="217"/>
      <c r="U1285" s="217"/>
      <c r="V1285" s="217"/>
      <c r="W1285" s="217"/>
      <c r="X1285" s="217"/>
      <c r="Y1285" s="217"/>
      <c r="Z1285" s="217"/>
      <c r="AA1285" s="217"/>
      <c r="AB1285" s="217"/>
      <c r="AC1285" s="217"/>
      <c r="AD1285" s="217"/>
      <c r="AE1285" s="223"/>
      <c r="AF1285" s="1342"/>
      <c r="AG1285" s="1336"/>
      <c r="AH1285" s="1336"/>
      <c r="AI1285" s="1342"/>
      <c r="AJ1285" s="1336"/>
      <c r="AK1285" s="1336"/>
      <c r="AL1285" s="772"/>
    </row>
    <row r="1286" spans="1:38" ht="11.25" customHeight="1">
      <c r="A1286" t="s">
        <v>1019</v>
      </c>
      <c r="B1286" t="s">
        <v>1051</v>
      </c>
      <c r="E1286" s="557"/>
      <c r="F1286" s="1339"/>
      <c r="G1286" s="1325" t="s">
        <v>103</v>
      </c>
      <c r="H1286" s="1335" t="s">
        <v>114</v>
      </c>
      <c r="I1286" s="1347" t="s">
        <v>1052</v>
      </c>
      <c r="J1286" s="1363" t="s">
        <v>1093</v>
      </c>
      <c r="K1286" s="1349" t="s">
        <v>1100</v>
      </c>
      <c r="L1286" s="1079" t="s">
        <v>19</v>
      </c>
      <c r="M1286" s="1080"/>
      <c r="N1286" s="242"/>
      <c r="O1286" s="243" t="s">
        <v>384</v>
      </c>
      <c r="P1286" s="244"/>
      <c r="Q1286" s="244"/>
      <c r="R1286" s="244"/>
      <c r="S1286" s="244"/>
      <c r="T1286" s="244"/>
      <c r="U1286" s="244"/>
      <c r="V1286" s="244"/>
      <c r="W1286" s="244"/>
      <c r="X1286" s="244"/>
      <c r="Y1286" s="244"/>
      <c r="Z1286" s="244"/>
      <c r="AA1286" s="244"/>
      <c r="AB1286" s="244"/>
      <c r="AC1286" s="244"/>
      <c r="AD1286" s="244"/>
      <c r="AE1286" s="244"/>
      <c r="AF1286" s="1350">
        <v>2</v>
      </c>
      <c r="AG1286" s="1352" t="s">
        <v>1055</v>
      </c>
      <c r="AH1286" s="1352" t="s">
        <v>1101</v>
      </c>
      <c r="AI1286" s="1350">
        <v>2</v>
      </c>
      <c r="AJ1286" s="1352" t="s">
        <v>1055</v>
      </c>
      <c r="AK1286" s="1352" t="s">
        <v>1101</v>
      </c>
      <c r="AL1286" s="772"/>
    </row>
    <row r="1287" spans="1:38" ht="11.25" customHeight="1">
      <c r="A1287" t="s">
        <v>1019</v>
      </c>
      <c r="E1287" s="557"/>
      <c r="F1287" s="1339"/>
      <c r="G1287" s="1340"/>
      <c r="H1287" s="1335" t="s">
        <v>384</v>
      </c>
      <c r="I1287" s="1347"/>
      <c r="J1287" s="1363"/>
      <c r="K1287" s="1349"/>
      <c r="L1287" s="1079"/>
      <c r="M1287" s="1080"/>
      <c r="N1287" s="1355"/>
      <c r="O1287" s="1356">
        <v>1</v>
      </c>
      <c r="P1287" s="1357" t="s">
        <v>19</v>
      </c>
      <c r="Q1287" s="1308" t="s">
        <v>22</v>
      </c>
      <c r="R1287" s="1308" t="s">
        <v>22</v>
      </c>
      <c r="S1287" s="1308" t="s">
        <v>22</v>
      </c>
      <c r="T1287" s="1308" t="s">
        <v>22</v>
      </c>
      <c r="U1287" s="1308" t="s">
        <v>22</v>
      </c>
      <c r="V1287" s="1308" t="s">
        <v>22</v>
      </c>
      <c r="W1287" s="1308" t="s">
        <v>22</v>
      </c>
      <c r="X1287" s="1308" t="s">
        <v>22</v>
      </c>
      <c r="Y1287" s="1308"/>
      <c r="Z1287" s="229"/>
      <c r="AA1287" s="230"/>
      <c r="AB1287" s="230"/>
      <c r="AC1287" s="231"/>
      <c r="AD1287" s="231"/>
      <c r="AE1287" s="245"/>
      <c r="AF1287" s="1350"/>
      <c r="AG1287" s="1352"/>
      <c r="AH1287" s="1352"/>
      <c r="AI1287" s="1350"/>
      <c r="AJ1287" s="1352"/>
      <c r="AK1287" s="1352"/>
      <c r="AL1287" s="772"/>
    </row>
    <row r="1288" spans="1:38" ht="11.25" customHeight="1">
      <c r="A1288" t="s">
        <v>1019</v>
      </c>
      <c r="E1288" s="557"/>
      <c r="F1288" s="1339"/>
      <c r="G1288" s="1340"/>
      <c r="H1288" s="1335" t="s">
        <v>384</v>
      </c>
      <c r="I1288" s="1347"/>
      <c r="J1288" s="1363"/>
      <c r="K1288" s="1349"/>
      <c r="L1288" s="1079"/>
      <c r="M1288" s="1080"/>
      <c r="N1288" s="1355"/>
      <c r="O1288" s="1356"/>
      <c r="P1288" s="1358"/>
      <c r="Q1288" s="1308"/>
      <c r="R1288" s="1308"/>
      <c r="S1288" s="1361"/>
      <c r="T1288" s="1308"/>
      <c r="U1288" s="1308"/>
      <c r="V1288" s="1308"/>
      <c r="W1288" s="1308"/>
      <c r="X1288" s="1308"/>
      <c r="Y1288" s="1308"/>
      <c r="AA1288" s="778">
        <v>1</v>
      </c>
      <c r="AB1288" s="779" t="s">
        <v>1119</v>
      </c>
      <c r="AC1288" s="237">
        <v>86106.854772803097</v>
      </c>
      <c r="AD1288" s="779" t="str">
        <f>AB1288</f>
        <v xml:space="preserve">  Прибыль направляемая на инвестиции</v>
      </c>
      <c r="AE1288" s="237">
        <v>0</v>
      </c>
      <c r="AF1288" s="1350"/>
      <c r="AG1288" s="1352"/>
      <c r="AH1288" s="1352"/>
      <c r="AI1288" s="1350"/>
      <c r="AJ1288" s="1352"/>
      <c r="AK1288" s="1352"/>
      <c r="AL1288" s="772"/>
    </row>
    <row r="1289" spans="1:38" ht="11.25" customHeight="1">
      <c r="A1289" t="s">
        <v>1019</v>
      </c>
      <c r="E1289" s="557"/>
      <c r="F1289" s="1340"/>
      <c r="G1289" s="1340"/>
      <c r="H1289" s="1340"/>
      <c r="I1289" s="1340"/>
      <c r="J1289" s="1340"/>
      <c r="K1289" s="1340"/>
      <c r="L1289" s="1340"/>
      <c r="M1289" s="1340"/>
      <c r="N1289" s="1340"/>
      <c r="O1289" s="1340"/>
      <c r="P1289" s="1340"/>
      <c r="Q1289" s="1340"/>
      <c r="R1289" s="1340"/>
      <c r="S1289" s="1340"/>
      <c r="T1289" s="1340"/>
      <c r="U1289" s="1340"/>
      <c r="V1289" s="1340"/>
      <c r="W1289" s="1340"/>
      <c r="X1289" s="1340"/>
      <c r="Y1289" s="1340"/>
      <c r="Z1289" s="181" t="s">
        <v>103</v>
      </c>
      <c r="AA1289" s="780" t="s">
        <v>102</v>
      </c>
      <c r="AB1289" s="779" t="s">
        <v>1120</v>
      </c>
      <c r="AC1289" s="237">
        <v>18785.997462192499</v>
      </c>
      <c r="AD1289" s="779" t="str">
        <f>AB1289</f>
        <v xml:space="preserve">     Прочие амортизационные отчисления</v>
      </c>
      <c r="AE1289" s="237">
        <v>0</v>
      </c>
      <c r="AF1289" s="1351"/>
      <c r="AG1289" s="1353"/>
      <c r="AH1289" s="1353"/>
      <c r="AI1289" s="1351"/>
      <c r="AJ1289" s="1353"/>
      <c r="AK1289" s="1354"/>
      <c r="AL1289" s="772"/>
    </row>
    <row r="1290" spans="1:38" ht="11.25" customHeight="1">
      <c r="A1290" t="s">
        <v>1019</v>
      </c>
      <c r="E1290" s="557"/>
      <c r="F1290" s="1340"/>
      <c r="G1290" s="1340"/>
      <c r="H1290" s="1340"/>
      <c r="I1290" s="1340"/>
      <c r="J1290" s="1340"/>
      <c r="K1290" s="1340"/>
      <c r="L1290" s="1340"/>
      <c r="M1290" s="1340"/>
      <c r="N1290" s="1340"/>
      <c r="O1290" s="1340"/>
      <c r="P1290" s="1340"/>
      <c r="Q1290" s="1340"/>
      <c r="R1290" s="1340"/>
      <c r="S1290" s="1340"/>
      <c r="T1290" s="1340"/>
      <c r="U1290" s="1340"/>
      <c r="V1290" s="1340"/>
      <c r="W1290" s="1340"/>
      <c r="X1290" s="1340"/>
      <c r="Y1290" s="1340"/>
      <c r="Z1290" s="181" t="s">
        <v>103</v>
      </c>
      <c r="AA1290" s="780" t="s">
        <v>89</v>
      </c>
      <c r="AB1290" s="779" t="s">
        <v>1142</v>
      </c>
      <c r="AC1290" s="237">
        <v>5398.5436321368497</v>
      </c>
      <c r="AD1290" s="779" t="str">
        <f>AB1290</f>
        <v xml:space="preserve">  Доход от взимания платы за негативное воздействие на работу централизованной системы водоотведения</v>
      </c>
      <c r="AE1290" s="237">
        <v>0</v>
      </c>
      <c r="AF1290" s="1351"/>
      <c r="AG1290" s="1353"/>
      <c r="AH1290" s="1353"/>
      <c r="AI1290" s="1351"/>
      <c r="AJ1290" s="1353"/>
      <c r="AK1290" s="1354"/>
      <c r="AL1290" s="772"/>
    </row>
    <row r="1291" spans="1:38" ht="11.25" customHeight="1">
      <c r="A1291" t="s">
        <v>1019</v>
      </c>
      <c r="E1291" s="557"/>
      <c r="F1291" s="1339"/>
      <c r="G1291" s="1340"/>
      <c r="H1291" s="1335" t="s">
        <v>384</v>
      </c>
      <c r="I1291" s="1347"/>
      <c r="J1291" s="1363"/>
      <c r="K1291" s="1349"/>
      <c r="L1291" s="1079"/>
      <c r="M1291" s="1080"/>
      <c r="N1291" s="1355"/>
      <c r="O1291" s="1356"/>
      <c r="P1291" s="1359"/>
      <c r="Q1291" s="1308"/>
      <c r="R1291" s="1308"/>
      <c r="S1291" s="1361"/>
      <c r="T1291" s="1308"/>
      <c r="U1291" s="1308"/>
      <c r="V1291" s="1308"/>
      <c r="W1291" s="1308"/>
      <c r="X1291" s="1308"/>
      <c r="Y1291" s="1308"/>
      <c r="Z1291" s="229"/>
      <c r="AA1291" s="230"/>
      <c r="AB1291" s="44" t="s">
        <v>1059</v>
      </c>
      <c r="AC1291" s="231"/>
      <c r="AD1291" s="231"/>
      <c r="AE1291" s="246"/>
      <c r="AF1291" s="1350"/>
      <c r="AG1291" s="1352"/>
      <c r="AH1291" s="1352"/>
      <c r="AI1291" s="1350"/>
      <c r="AJ1291" s="1352"/>
      <c r="AK1291" s="1352"/>
      <c r="AL1291" s="772"/>
    </row>
    <row r="1292" spans="1:38" ht="11.25" customHeight="1">
      <c r="A1292" t="s">
        <v>1019</v>
      </c>
      <c r="E1292" s="557"/>
      <c r="F1292" s="1339"/>
      <c r="G1292" s="1340"/>
      <c r="H1292" s="1335" t="s">
        <v>384</v>
      </c>
      <c r="I1292" s="1347"/>
      <c r="J1292" s="1363"/>
      <c r="K1292" s="1349"/>
      <c r="L1292" s="1079"/>
      <c r="M1292" s="1080"/>
      <c r="N1292" s="229"/>
      <c r="O1292" s="230"/>
      <c r="P1292" s="44" t="s">
        <v>1060</v>
      </c>
      <c r="Q1292" s="230"/>
      <c r="R1292" s="230"/>
      <c r="S1292" s="230"/>
      <c r="T1292" s="230"/>
      <c r="U1292" s="230"/>
      <c r="V1292" s="230"/>
      <c r="W1292" s="230"/>
      <c r="X1292" s="230"/>
      <c r="Y1292" s="230"/>
      <c r="Z1292" s="230"/>
      <c r="AA1292" s="230"/>
      <c r="AB1292" s="230"/>
      <c r="AC1292" s="230"/>
      <c r="AD1292" s="230"/>
      <c r="AE1292" s="247"/>
      <c r="AF1292" s="1350"/>
      <c r="AG1292" s="1352"/>
      <c r="AH1292" s="1352"/>
      <c r="AI1292" s="1350"/>
      <c r="AJ1292" s="1352"/>
      <c r="AK1292" s="1352"/>
      <c r="AL1292" s="772"/>
    </row>
    <row r="1293" spans="1:38" ht="11.25" customHeight="1">
      <c r="A1293" t="s">
        <v>1019</v>
      </c>
      <c r="B1293" t="s">
        <v>1051</v>
      </c>
      <c r="E1293" s="557"/>
      <c r="F1293" s="1339"/>
      <c r="G1293" s="1325" t="s">
        <v>103</v>
      </c>
      <c r="H1293" s="1335" t="s">
        <v>102</v>
      </c>
      <c r="I1293" s="1347" t="s">
        <v>1052</v>
      </c>
      <c r="J1293" s="1363" t="s">
        <v>1053</v>
      </c>
      <c r="K1293" s="1349" t="s">
        <v>1102</v>
      </c>
      <c r="L1293" s="1079" t="s">
        <v>61</v>
      </c>
      <c r="M1293" s="1364" t="s">
        <v>1018</v>
      </c>
      <c r="N1293" s="242"/>
      <c r="O1293" s="243" t="s">
        <v>384</v>
      </c>
      <c r="P1293" s="244"/>
      <c r="Q1293" s="244"/>
      <c r="R1293" s="244"/>
      <c r="S1293" s="244"/>
      <c r="T1293" s="244"/>
      <c r="U1293" s="244"/>
      <c r="V1293" s="244"/>
      <c r="W1293" s="244"/>
      <c r="X1293" s="244"/>
      <c r="Y1293" s="244"/>
      <c r="Z1293" s="244"/>
      <c r="AA1293" s="244"/>
      <c r="AB1293" s="244"/>
      <c r="AC1293" s="244"/>
      <c r="AD1293" s="244"/>
      <c r="AE1293" s="244"/>
      <c r="AF1293" s="1350">
        <v>1</v>
      </c>
      <c r="AG1293" s="1352" t="s">
        <v>1055</v>
      </c>
      <c r="AH1293" s="1352" t="s">
        <v>1103</v>
      </c>
      <c r="AI1293" s="1350">
        <v>1</v>
      </c>
      <c r="AJ1293" s="1352" t="s">
        <v>1055</v>
      </c>
      <c r="AK1293" s="1352" t="s">
        <v>1103</v>
      </c>
      <c r="AL1293" s="772"/>
    </row>
    <row r="1294" spans="1:38" ht="11.25" customHeight="1">
      <c r="A1294" t="s">
        <v>1019</v>
      </c>
      <c r="E1294" s="557"/>
      <c r="F1294" s="1339"/>
      <c r="G1294" s="1340"/>
      <c r="H1294" s="1335" t="s">
        <v>114</v>
      </c>
      <c r="I1294" s="1347"/>
      <c r="J1294" s="1363"/>
      <c r="K1294" s="1349"/>
      <c r="L1294" s="1079"/>
      <c r="M1294" s="1364"/>
      <c r="N1294" s="1355"/>
      <c r="O1294" s="1356">
        <v>1</v>
      </c>
      <c r="P1294" s="1357" t="s">
        <v>19</v>
      </c>
      <c r="Q1294" s="1308" t="s">
        <v>22</v>
      </c>
      <c r="R1294" s="1308" t="s">
        <v>22</v>
      </c>
      <c r="S1294" s="1308" t="s">
        <v>22</v>
      </c>
      <c r="T1294" s="1308" t="s">
        <v>22</v>
      </c>
      <c r="U1294" s="1308" t="s">
        <v>22</v>
      </c>
      <c r="V1294" s="1308" t="s">
        <v>22</v>
      </c>
      <c r="W1294" s="1308" t="s">
        <v>22</v>
      </c>
      <c r="X1294" s="1308" t="s">
        <v>22</v>
      </c>
      <c r="Y1294" s="1308"/>
      <c r="Z1294" s="229"/>
      <c r="AA1294" s="230"/>
      <c r="AB1294" s="230"/>
      <c r="AC1294" s="231"/>
      <c r="AD1294" s="231"/>
      <c r="AE1294" s="245"/>
      <c r="AF1294" s="1350"/>
      <c r="AG1294" s="1352"/>
      <c r="AH1294" s="1352"/>
      <c r="AI1294" s="1350"/>
      <c r="AJ1294" s="1352"/>
      <c r="AK1294" s="1352"/>
      <c r="AL1294" s="772"/>
    </row>
    <row r="1295" spans="1:38" ht="11.25" customHeight="1">
      <c r="A1295" t="s">
        <v>1019</v>
      </c>
      <c r="E1295" s="557"/>
      <c r="F1295" s="1339"/>
      <c r="G1295" s="1340"/>
      <c r="H1295" s="1335" t="s">
        <v>114</v>
      </c>
      <c r="I1295" s="1347"/>
      <c r="J1295" s="1363"/>
      <c r="K1295" s="1349"/>
      <c r="L1295" s="1079"/>
      <c r="M1295" s="1364"/>
      <c r="N1295" s="1355"/>
      <c r="O1295" s="1356"/>
      <c r="P1295" s="1358"/>
      <c r="Q1295" s="1308"/>
      <c r="R1295" s="1308"/>
      <c r="S1295" s="1361"/>
      <c r="T1295" s="1308"/>
      <c r="U1295" s="1308"/>
      <c r="V1295" s="1308"/>
      <c r="W1295" s="1308"/>
      <c r="X1295" s="1308"/>
      <c r="Y1295" s="1308"/>
      <c r="AA1295" s="778">
        <v>1</v>
      </c>
      <c r="AB1295" s="779" t="s">
        <v>1119</v>
      </c>
      <c r="AC1295" s="237">
        <v>78446.235417821794</v>
      </c>
      <c r="AD1295" s="779" t="str">
        <f>AB1295</f>
        <v xml:space="preserve">  Прибыль направляемая на инвестиции</v>
      </c>
      <c r="AE1295" s="237">
        <v>0</v>
      </c>
      <c r="AF1295" s="1350"/>
      <c r="AG1295" s="1352"/>
      <c r="AH1295" s="1352"/>
      <c r="AI1295" s="1350"/>
      <c r="AJ1295" s="1352"/>
      <c r="AK1295" s="1352"/>
      <c r="AL1295" s="772"/>
    </row>
    <row r="1296" spans="1:38" ht="11.25" customHeight="1">
      <c r="A1296" t="s">
        <v>1019</v>
      </c>
      <c r="E1296" s="557"/>
      <c r="F1296" s="1340"/>
      <c r="G1296" s="1340"/>
      <c r="H1296" s="1340"/>
      <c r="I1296" s="1340"/>
      <c r="J1296" s="1340"/>
      <c r="K1296" s="1340"/>
      <c r="L1296" s="1340"/>
      <c r="M1296" s="1365"/>
      <c r="N1296" s="1340"/>
      <c r="O1296" s="1340"/>
      <c r="P1296" s="1340"/>
      <c r="Q1296" s="1340"/>
      <c r="R1296" s="1340"/>
      <c r="S1296" s="1340"/>
      <c r="T1296" s="1340"/>
      <c r="U1296" s="1340"/>
      <c r="V1296" s="1340"/>
      <c r="W1296" s="1340"/>
      <c r="X1296" s="1340"/>
      <c r="Y1296" s="1340"/>
      <c r="Z1296" s="181" t="s">
        <v>103</v>
      </c>
      <c r="AA1296" s="780" t="s">
        <v>102</v>
      </c>
      <c r="AB1296" s="779" t="s">
        <v>1120</v>
      </c>
      <c r="AC1296" s="237">
        <v>17114.6743585765</v>
      </c>
      <c r="AD1296" s="779" t="str">
        <f>AB1296</f>
        <v xml:space="preserve">     Прочие амортизационные отчисления</v>
      </c>
      <c r="AE1296" s="237">
        <v>0</v>
      </c>
      <c r="AF1296" s="1351"/>
      <c r="AG1296" s="1353"/>
      <c r="AH1296" s="1353"/>
      <c r="AI1296" s="1351"/>
      <c r="AJ1296" s="1353"/>
      <c r="AK1296" s="1354"/>
      <c r="AL1296" s="772"/>
    </row>
    <row r="1297" spans="1:38" ht="11.25" customHeight="1">
      <c r="A1297" t="s">
        <v>1019</v>
      </c>
      <c r="E1297" s="557"/>
      <c r="F1297" s="1340"/>
      <c r="G1297" s="1340"/>
      <c r="H1297" s="1340"/>
      <c r="I1297" s="1340"/>
      <c r="J1297" s="1340"/>
      <c r="K1297" s="1340"/>
      <c r="L1297" s="1340"/>
      <c r="M1297" s="1365"/>
      <c r="N1297" s="1340"/>
      <c r="O1297" s="1340"/>
      <c r="P1297" s="1340"/>
      <c r="Q1297" s="1340"/>
      <c r="R1297" s="1340"/>
      <c r="S1297" s="1340"/>
      <c r="T1297" s="1340"/>
      <c r="U1297" s="1340"/>
      <c r="V1297" s="1340"/>
      <c r="W1297" s="1340"/>
      <c r="X1297" s="1340"/>
      <c r="Y1297" s="1340"/>
      <c r="Z1297" s="181" t="s">
        <v>103</v>
      </c>
      <c r="AA1297" s="780" t="s">
        <v>89</v>
      </c>
      <c r="AB1297" s="779" t="s">
        <v>1142</v>
      </c>
      <c r="AC1297" s="237">
        <v>4918.2544850511904</v>
      </c>
      <c r="AD1297" s="779" t="str">
        <f>AB1297</f>
        <v xml:space="preserve">  Доход от взимания платы за негативное воздействие на работу централизованной системы водоотведения</v>
      </c>
      <c r="AE1297" s="237">
        <v>0</v>
      </c>
      <c r="AF1297" s="1351"/>
      <c r="AG1297" s="1353"/>
      <c r="AH1297" s="1353"/>
      <c r="AI1297" s="1351"/>
      <c r="AJ1297" s="1353"/>
      <c r="AK1297" s="1354"/>
      <c r="AL1297" s="772"/>
    </row>
    <row r="1298" spans="1:38" ht="11.25" customHeight="1">
      <c r="A1298" t="s">
        <v>1019</v>
      </c>
      <c r="E1298" s="557"/>
      <c r="F1298" s="1339"/>
      <c r="G1298" s="1340"/>
      <c r="H1298" s="1335" t="s">
        <v>114</v>
      </c>
      <c r="I1298" s="1347"/>
      <c r="J1298" s="1363"/>
      <c r="K1298" s="1349"/>
      <c r="L1298" s="1079"/>
      <c r="M1298" s="1364"/>
      <c r="N1298" s="1355"/>
      <c r="O1298" s="1356"/>
      <c r="P1298" s="1359"/>
      <c r="Q1298" s="1308"/>
      <c r="R1298" s="1308"/>
      <c r="S1298" s="1361"/>
      <c r="T1298" s="1308"/>
      <c r="U1298" s="1308"/>
      <c r="V1298" s="1308"/>
      <c r="W1298" s="1308"/>
      <c r="X1298" s="1308"/>
      <c r="Y1298" s="1308"/>
      <c r="Z1298" s="229"/>
      <c r="AA1298" s="230"/>
      <c r="AB1298" s="44" t="s">
        <v>1059</v>
      </c>
      <c r="AC1298" s="231"/>
      <c r="AD1298" s="231"/>
      <c r="AE1298" s="246"/>
      <c r="AF1298" s="1350"/>
      <c r="AG1298" s="1352"/>
      <c r="AH1298" s="1352"/>
      <c r="AI1298" s="1350"/>
      <c r="AJ1298" s="1352"/>
      <c r="AK1298" s="1352"/>
      <c r="AL1298" s="772"/>
    </row>
    <row r="1299" spans="1:38" ht="11.25" customHeight="1">
      <c r="A1299" t="s">
        <v>1019</v>
      </c>
      <c r="E1299" s="557"/>
      <c r="F1299" s="1339"/>
      <c r="G1299" s="1340"/>
      <c r="H1299" s="1335" t="s">
        <v>114</v>
      </c>
      <c r="I1299" s="1347"/>
      <c r="J1299" s="1363"/>
      <c r="K1299" s="1349"/>
      <c r="L1299" s="1079"/>
      <c r="M1299" s="1364"/>
      <c r="N1299" s="229"/>
      <c r="O1299" s="230"/>
      <c r="P1299" s="44" t="s">
        <v>1060</v>
      </c>
      <c r="Q1299" s="230"/>
      <c r="R1299" s="230"/>
      <c r="S1299" s="230"/>
      <c r="T1299" s="230"/>
      <c r="U1299" s="230"/>
      <c r="V1299" s="230"/>
      <c r="W1299" s="230"/>
      <c r="X1299" s="230"/>
      <c r="Y1299" s="230"/>
      <c r="Z1299" s="230"/>
      <c r="AA1299" s="230"/>
      <c r="AB1299" s="230"/>
      <c r="AC1299" s="230"/>
      <c r="AD1299" s="230"/>
      <c r="AE1299" s="247"/>
      <c r="AF1299" s="1350"/>
      <c r="AG1299" s="1352"/>
      <c r="AH1299" s="1352"/>
      <c r="AI1299" s="1350"/>
      <c r="AJ1299" s="1352"/>
      <c r="AK1299" s="1352"/>
      <c r="AL1299" s="772"/>
    </row>
    <row r="1300" spans="1:38" ht="11.25" customHeight="1">
      <c r="A1300" t="s">
        <v>1019</v>
      </c>
      <c r="B1300" t="s">
        <v>1051</v>
      </c>
      <c r="E1300" s="557"/>
      <c r="F1300" s="1339"/>
      <c r="G1300" s="1325" t="s">
        <v>103</v>
      </c>
      <c r="H1300" s="1335" t="s">
        <v>89</v>
      </c>
      <c r="I1300" s="1347" t="s">
        <v>1052</v>
      </c>
      <c r="J1300" s="1363" t="s">
        <v>1053</v>
      </c>
      <c r="K1300" s="1349" t="s">
        <v>1202</v>
      </c>
      <c r="L1300" s="1079" t="s">
        <v>19</v>
      </c>
      <c r="M1300" s="1080"/>
      <c r="N1300" s="242"/>
      <c r="O1300" s="243" t="s">
        <v>384</v>
      </c>
      <c r="P1300" s="244"/>
      <c r="Q1300" s="244"/>
      <c r="R1300" s="244"/>
      <c r="S1300" s="244"/>
      <c r="T1300" s="244"/>
      <c r="U1300" s="244"/>
      <c r="V1300" s="244"/>
      <c r="W1300" s="244"/>
      <c r="X1300" s="244"/>
      <c r="Y1300" s="244"/>
      <c r="Z1300" s="244"/>
      <c r="AA1300" s="244"/>
      <c r="AB1300" s="244"/>
      <c r="AC1300" s="244"/>
      <c r="AD1300" s="244"/>
      <c r="AE1300" s="244"/>
      <c r="AF1300" s="1350">
        <v>3</v>
      </c>
      <c r="AG1300" s="1352" t="s">
        <v>1055</v>
      </c>
      <c r="AH1300" s="1352" t="s">
        <v>1203</v>
      </c>
      <c r="AI1300" s="1350">
        <v>3</v>
      </c>
      <c r="AJ1300" s="1352" t="s">
        <v>1055</v>
      </c>
      <c r="AK1300" s="1352" t="s">
        <v>1203</v>
      </c>
      <c r="AL1300" s="772"/>
    </row>
    <row r="1301" spans="1:38" ht="11.25" customHeight="1">
      <c r="A1301" t="s">
        <v>1019</v>
      </c>
      <c r="E1301" s="557"/>
      <c r="F1301" s="1339"/>
      <c r="G1301" s="1340"/>
      <c r="H1301" s="1335" t="s">
        <v>102</v>
      </c>
      <c r="I1301" s="1347"/>
      <c r="J1301" s="1363"/>
      <c r="K1301" s="1349"/>
      <c r="L1301" s="1079"/>
      <c r="M1301" s="1080"/>
      <c r="N1301" s="1355"/>
      <c r="O1301" s="1356">
        <v>1</v>
      </c>
      <c r="P1301" s="1357" t="s">
        <v>19</v>
      </c>
      <c r="Q1301" s="1308" t="s">
        <v>22</v>
      </c>
      <c r="R1301" s="1308" t="s">
        <v>22</v>
      </c>
      <c r="S1301" s="1308" t="s">
        <v>22</v>
      </c>
      <c r="T1301" s="1308" t="s">
        <v>22</v>
      </c>
      <c r="U1301" s="1308" t="s">
        <v>22</v>
      </c>
      <c r="V1301" s="1308" t="s">
        <v>22</v>
      </c>
      <c r="W1301" s="1308" t="s">
        <v>22</v>
      </c>
      <c r="X1301" s="1308" t="s">
        <v>22</v>
      </c>
      <c r="Y1301" s="1308"/>
      <c r="Z1301" s="229"/>
      <c r="AA1301" s="230"/>
      <c r="AB1301" s="230"/>
      <c r="AC1301" s="231"/>
      <c r="AD1301" s="231"/>
      <c r="AE1301" s="245"/>
      <c r="AF1301" s="1350"/>
      <c r="AG1301" s="1352"/>
      <c r="AH1301" s="1352"/>
      <c r="AI1301" s="1350"/>
      <c r="AJ1301" s="1352"/>
      <c r="AK1301" s="1352"/>
      <c r="AL1301" s="772"/>
    </row>
    <row r="1302" spans="1:38" ht="11.25" customHeight="1">
      <c r="A1302" t="s">
        <v>1019</v>
      </c>
      <c r="E1302" s="557"/>
      <c r="F1302" s="1339"/>
      <c r="G1302" s="1340"/>
      <c r="H1302" s="1335" t="s">
        <v>102</v>
      </c>
      <c r="I1302" s="1347"/>
      <c r="J1302" s="1363"/>
      <c r="K1302" s="1349"/>
      <c r="L1302" s="1079"/>
      <c r="M1302" s="1080"/>
      <c r="N1302" s="1355"/>
      <c r="O1302" s="1356"/>
      <c r="P1302" s="1358"/>
      <c r="Q1302" s="1308"/>
      <c r="R1302" s="1308"/>
      <c r="S1302" s="1361"/>
      <c r="T1302" s="1308"/>
      <c r="U1302" s="1308"/>
      <c r="V1302" s="1308"/>
      <c r="W1302" s="1308"/>
      <c r="X1302" s="1308"/>
      <c r="Y1302" s="1308"/>
      <c r="AA1302" s="778">
        <v>1</v>
      </c>
      <c r="AB1302" s="779" t="s">
        <v>1119</v>
      </c>
      <c r="AC1302" s="237">
        <v>84425.958814342201</v>
      </c>
      <c r="AD1302" s="779" t="str">
        <f>AB1302</f>
        <v xml:space="preserve">  Прибыль направляемая на инвестиции</v>
      </c>
      <c r="AE1302" s="237">
        <v>0</v>
      </c>
      <c r="AF1302" s="1350"/>
      <c r="AG1302" s="1352"/>
      <c r="AH1302" s="1352"/>
      <c r="AI1302" s="1350"/>
      <c r="AJ1302" s="1352"/>
      <c r="AK1302" s="1352"/>
      <c r="AL1302" s="772"/>
    </row>
    <row r="1303" spans="1:38" ht="11.25" customHeight="1">
      <c r="A1303" t="s">
        <v>1019</v>
      </c>
      <c r="E1303" s="557"/>
      <c r="F1303" s="1340"/>
      <c r="G1303" s="1340"/>
      <c r="H1303" s="1340"/>
      <c r="I1303" s="1340"/>
      <c r="J1303" s="1340"/>
      <c r="K1303" s="1340"/>
      <c r="L1303" s="1340"/>
      <c r="M1303" s="1340"/>
      <c r="N1303" s="1340"/>
      <c r="O1303" s="1340"/>
      <c r="P1303" s="1340"/>
      <c r="Q1303" s="1340"/>
      <c r="R1303" s="1340"/>
      <c r="S1303" s="1340"/>
      <c r="T1303" s="1340"/>
      <c r="U1303" s="1340"/>
      <c r="V1303" s="1340"/>
      <c r="W1303" s="1340"/>
      <c r="X1303" s="1340"/>
      <c r="Y1303" s="1340"/>
      <c r="Z1303" s="181" t="s">
        <v>103</v>
      </c>
      <c r="AA1303" s="780" t="s">
        <v>102</v>
      </c>
      <c r="AB1303" s="779" t="s">
        <v>1120</v>
      </c>
      <c r="AC1303" s="237">
        <v>18419.275122917999</v>
      </c>
      <c r="AD1303" s="779" t="str">
        <f>AB1303</f>
        <v xml:space="preserve">     Прочие амортизационные отчисления</v>
      </c>
      <c r="AE1303" s="237">
        <v>0</v>
      </c>
      <c r="AF1303" s="1351"/>
      <c r="AG1303" s="1353"/>
      <c r="AH1303" s="1353"/>
      <c r="AI1303" s="1351"/>
      <c r="AJ1303" s="1353"/>
      <c r="AK1303" s="1354"/>
      <c r="AL1303" s="772"/>
    </row>
    <row r="1304" spans="1:38" ht="11.25" customHeight="1">
      <c r="A1304" t="s">
        <v>1019</v>
      </c>
      <c r="E1304" s="557"/>
      <c r="F1304" s="1340"/>
      <c r="G1304" s="1340"/>
      <c r="H1304" s="1340"/>
      <c r="I1304" s="1340"/>
      <c r="J1304" s="1340"/>
      <c r="K1304" s="1340"/>
      <c r="L1304" s="1340"/>
      <c r="M1304" s="1340"/>
      <c r="N1304" s="1340"/>
      <c r="O1304" s="1340"/>
      <c r="P1304" s="1340"/>
      <c r="Q1304" s="1340"/>
      <c r="R1304" s="1340"/>
      <c r="S1304" s="1340"/>
      <c r="T1304" s="1340"/>
      <c r="U1304" s="1340"/>
      <c r="V1304" s="1340"/>
      <c r="W1304" s="1340"/>
      <c r="X1304" s="1340"/>
      <c r="Y1304" s="1340"/>
      <c r="Z1304" s="181" t="s">
        <v>103</v>
      </c>
      <c r="AA1304" s="780" t="s">
        <v>89</v>
      </c>
      <c r="AB1304" s="779" t="s">
        <v>1142</v>
      </c>
      <c r="AC1304" s="237">
        <v>5293.1584081988003</v>
      </c>
      <c r="AD1304" s="779" t="str">
        <f>AB1304</f>
        <v xml:space="preserve">  Доход от взимания платы за негативное воздействие на работу централизованной системы водоотведения</v>
      </c>
      <c r="AE1304" s="237">
        <v>0</v>
      </c>
      <c r="AF1304" s="1351"/>
      <c r="AG1304" s="1353"/>
      <c r="AH1304" s="1353"/>
      <c r="AI1304" s="1351"/>
      <c r="AJ1304" s="1353"/>
      <c r="AK1304" s="1354"/>
      <c r="AL1304" s="772"/>
    </row>
    <row r="1305" spans="1:38" ht="11.25" customHeight="1">
      <c r="A1305" t="s">
        <v>1019</v>
      </c>
      <c r="E1305" s="557"/>
      <c r="F1305" s="1339"/>
      <c r="G1305" s="1340"/>
      <c r="H1305" s="1335" t="s">
        <v>102</v>
      </c>
      <c r="I1305" s="1347"/>
      <c r="J1305" s="1363"/>
      <c r="K1305" s="1349"/>
      <c r="L1305" s="1079"/>
      <c r="M1305" s="1080"/>
      <c r="N1305" s="1355"/>
      <c r="O1305" s="1356"/>
      <c r="P1305" s="1359"/>
      <c r="Q1305" s="1308"/>
      <c r="R1305" s="1308"/>
      <c r="S1305" s="1361"/>
      <c r="T1305" s="1308"/>
      <c r="U1305" s="1308"/>
      <c r="V1305" s="1308"/>
      <c r="W1305" s="1308"/>
      <c r="X1305" s="1308"/>
      <c r="Y1305" s="1308"/>
      <c r="Z1305" s="229"/>
      <c r="AA1305" s="230"/>
      <c r="AB1305" s="44" t="s">
        <v>1059</v>
      </c>
      <c r="AC1305" s="231"/>
      <c r="AD1305" s="231"/>
      <c r="AE1305" s="246"/>
      <c r="AF1305" s="1350"/>
      <c r="AG1305" s="1352"/>
      <c r="AH1305" s="1352"/>
      <c r="AI1305" s="1350"/>
      <c r="AJ1305" s="1352"/>
      <c r="AK1305" s="1352"/>
      <c r="AL1305" s="772"/>
    </row>
    <row r="1306" spans="1:38" ht="11.25" customHeight="1">
      <c r="A1306" t="s">
        <v>1019</v>
      </c>
      <c r="E1306" s="557"/>
      <c r="F1306" s="1339"/>
      <c r="G1306" s="1340"/>
      <c r="H1306" s="1335" t="s">
        <v>102</v>
      </c>
      <c r="I1306" s="1347"/>
      <c r="J1306" s="1363"/>
      <c r="K1306" s="1349"/>
      <c r="L1306" s="1079"/>
      <c r="M1306" s="1080"/>
      <c r="N1306" s="229"/>
      <c r="O1306" s="230"/>
      <c r="P1306" s="44" t="s">
        <v>1060</v>
      </c>
      <c r="Q1306" s="230"/>
      <c r="R1306" s="230"/>
      <c r="S1306" s="230"/>
      <c r="T1306" s="230"/>
      <c r="U1306" s="230"/>
      <c r="V1306" s="230"/>
      <c r="W1306" s="230"/>
      <c r="X1306" s="230"/>
      <c r="Y1306" s="230"/>
      <c r="Z1306" s="230"/>
      <c r="AA1306" s="230"/>
      <c r="AB1306" s="230"/>
      <c r="AC1306" s="230"/>
      <c r="AD1306" s="230"/>
      <c r="AE1306" s="247"/>
      <c r="AF1306" s="1350"/>
      <c r="AG1306" s="1352"/>
      <c r="AH1306" s="1352"/>
      <c r="AI1306" s="1350"/>
      <c r="AJ1306" s="1352"/>
      <c r="AK1306" s="1352"/>
      <c r="AL1306" s="772"/>
    </row>
    <row r="1307" spans="1:38" ht="11.25" customHeight="1">
      <c r="A1307" t="s">
        <v>1019</v>
      </c>
      <c r="B1307" t="s">
        <v>1051</v>
      </c>
      <c r="E1307" s="557"/>
      <c r="F1307" s="1339"/>
      <c r="G1307" s="1325" t="s">
        <v>103</v>
      </c>
      <c r="H1307" s="1335" t="s">
        <v>90</v>
      </c>
      <c r="I1307" s="1347" t="s">
        <v>1052</v>
      </c>
      <c r="J1307" s="1363" t="s">
        <v>1093</v>
      </c>
      <c r="K1307" s="1349" t="s">
        <v>1195</v>
      </c>
      <c r="L1307" s="1079" t="s">
        <v>19</v>
      </c>
      <c r="M1307" s="1080"/>
      <c r="N1307" s="242"/>
      <c r="O1307" s="243" t="s">
        <v>384</v>
      </c>
      <c r="P1307" s="244"/>
      <c r="Q1307" s="244"/>
      <c r="R1307" s="244"/>
      <c r="S1307" s="244"/>
      <c r="T1307" s="244"/>
      <c r="U1307" s="244"/>
      <c r="V1307" s="244"/>
      <c r="W1307" s="244"/>
      <c r="X1307" s="244"/>
      <c r="Y1307" s="244"/>
      <c r="Z1307" s="244"/>
      <c r="AA1307" s="244"/>
      <c r="AB1307" s="244"/>
      <c r="AC1307" s="244"/>
      <c r="AD1307" s="244"/>
      <c r="AE1307" s="244"/>
      <c r="AF1307" s="1350">
        <v>1</v>
      </c>
      <c r="AG1307" s="1352" t="s">
        <v>1055</v>
      </c>
      <c r="AH1307" s="1352" t="s">
        <v>1103</v>
      </c>
      <c r="AI1307" s="1350">
        <v>1</v>
      </c>
      <c r="AJ1307" s="1352" t="s">
        <v>1055</v>
      </c>
      <c r="AK1307" s="1352" t="s">
        <v>1103</v>
      </c>
      <c r="AL1307" s="772"/>
    </row>
    <row r="1308" spans="1:38" ht="11.25" customHeight="1">
      <c r="A1308" t="s">
        <v>1019</v>
      </c>
      <c r="E1308" s="557"/>
      <c r="F1308" s="1339"/>
      <c r="G1308" s="1340"/>
      <c r="H1308" s="1335" t="s">
        <v>89</v>
      </c>
      <c r="I1308" s="1347"/>
      <c r="J1308" s="1363"/>
      <c r="K1308" s="1349"/>
      <c r="L1308" s="1079"/>
      <c r="M1308" s="1080"/>
      <c r="N1308" s="1355"/>
      <c r="O1308" s="1356">
        <v>1</v>
      </c>
      <c r="P1308" s="1357" t="s">
        <v>19</v>
      </c>
      <c r="Q1308" s="1308" t="s">
        <v>22</v>
      </c>
      <c r="R1308" s="1308" t="s">
        <v>22</v>
      </c>
      <c r="S1308" s="1308" t="s">
        <v>22</v>
      </c>
      <c r="T1308" s="1308" t="s">
        <v>22</v>
      </c>
      <c r="U1308" s="1308" t="s">
        <v>22</v>
      </c>
      <c r="V1308" s="1308" t="s">
        <v>22</v>
      </c>
      <c r="W1308" s="1308" t="s">
        <v>22</v>
      </c>
      <c r="X1308" s="1308" t="s">
        <v>22</v>
      </c>
      <c r="Y1308" s="1308"/>
      <c r="Z1308" s="229"/>
      <c r="AA1308" s="230"/>
      <c r="AB1308" s="230"/>
      <c r="AC1308" s="231"/>
      <c r="AD1308" s="231"/>
      <c r="AE1308" s="245"/>
      <c r="AF1308" s="1350"/>
      <c r="AG1308" s="1352"/>
      <c r="AH1308" s="1352"/>
      <c r="AI1308" s="1350"/>
      <c r="AJ1308" s="1352"/>
      <c r="AK1308" s="1352"/>
      <c r="AL1308" s="772"/>
    </row>
    <row r="1309" spans="1:38" ht="11.25" customHeight="1">
      <c r="A1309" t="s">
        <v>1019</v>
      </c>
      <c r="E1309" s="557"/>
      <c r="F1309" s="1339"/>
      <c r="G1309" s="1340"/>
      <c r="H1309" s="1335" t="s">
        <v>89</v>
      </c>
      <c r="I1309" s="1347"/>
      <c r="J1309" s="1363"/>
      <c r="K1309" s="1349"/>
      <c r="L1309" s="1079"/>
      <c r="M1309" s="1080"/>
      <c r="N1309" s="1355"/>
      <c r="O1309" s="1356"/>
      <c r="P1309" s="1358"/>
      <c r="Q1309" s="1308"/>
      <c r="R1309" s="1308"/>
      <c r="S1309" s="1361"/>
      <c r="T1309" s="1308"/>
      <c r="U1309" s="1308"/>
      <c r="V1309" s="1308"/>
      <c r="W1309" s="1308"/>
      <c r="X1309" s="1308"/>
      <c r="Y1309" s="1308"/>
      <c r="AA1309" s="778">
        <v>1</v>
      </c>
      <c r="AB1309" s="779" t="s">
        <v>1119</v>
      </c>
      <c r="AC1309" s="237">
        <v>15413.427442843</v>
      </c>
      <c r="AD1309" s="779" t="str">
        <f>AB1309</f>
        <v xml:space="preserve">  Прибыль направляемая на инвестиции</v>
      </c>
      <c r="AE1309" s="237">
        <v>0</v>
      </c>
      <c r="AF1309" s="1350"/>
      <c r="AG1309" s="1352"/>
      <c r="AH1309" s="1352"/>
      <c r="AI1309" s="1350"/>
      <c r="AJ1309" s="1352"/>
      <c r="AK1309" s="1352"/>
      <c r="AL1309" s="772"/>
    </row>
    <row r="1310" spans="1:38" ht="11.25" customHeight="1">
      <c r="A1310" t="s">
        <v>1019</v>
      </c>
      <c r="E1310" s="557"/>
      <c r="F1310" s="1340"/>
      <c r="G1310" s="1340"/>
      <c r="H1310" s="1340"/>
      <c r="I1310" s="1340"/>
      <c r="J1310" s="1340"/>
      <c r="K1310" s="1340"/>
      <c r="L1310" s="1340"/>
      <c r="M1310" s="1340"/>
      <c r="N1310" s="1340"/>
      <c r="O1310" s="1340"/>
      <c r="P1310" s="1340"/>
      <c r="Q1310" s="1340"/>
      <c r="R1310" s="1340"/>
      <c r="S1310" s="1340"/>
      <c r="T1310" s="1340"/>
      <c r="U1310" s="1340"/>
      <c r="V1310" s="1340"/>
      <c r="W1310" s="1340"/>
      <c r="X1310" s="1340"/>
      <c r="Y1310" s="1340"/>
      <c r="Z1310" s="181" t="s">
        <v>103</v>
      </c>
      <c r="AA1310" s="780" t="s">
        <v>102</v>
      </c>
      <c r="AB1310" s="779" t="s">
        <v>1120</v>
      </c>
      <c r="AC1310" s="237">
        <v>3362.75909262911</v>
      </c>
      <c r="AD1310" s="779" t="str">
        <f>AB1310</f>
        <v xml:space="preserve">     Прочие амортизационные отчисления</v>
      </c>
      <c r="AE1310" s="237">
        <v>0</v>
      </c>
      <c r="AF1310" s="1351"/>
      <c r="AG1310" s="1353"/>
      <c r="AH1310" s="1353"/>
      <c r="AI1310" s="1351"/>
      <c r="AJ1310" s="1353"/>
      <c r="AK1310" s="1354"/>
      <c r="AL1310" s="772"/>
    </row>
    <row r="1311" spans="1:38" ht="11.25" customHeight="1">
      <c r="A1311" t="s">
        <v>1019</v>
      </c>
      <c r="E1311" s="557"/>
      <c r="F1311" s="1340"/>
      <c r="G1311" s="1340"/>
      <c r="H1311" s="1340"/>
      <c r="I1311" s="1340"/>
      <c r="J1311" s="1340"/>
      <c r="K1311" s="1340"/>
      <c r="L1311" s="1340"/>
      <c r="M1311" s="1340"/>
      <c r="N1311" s="1340"/>
      <c r="O1311" s="1340"/>
      <c r="P1311" s="1340"/>
      <c r="Q1311" s="1340"/>
      <c r="R1311" s="1340"/>
      <c r="S1311" s="1340"/>
      <c r="T1311" s="1340"/>
      <c r="U1311" s="1340"/>
      <c r="V1311" s="1340"/>
      <c r="W1311" s="1340"/>
      <c r="X1311" s="1340"/>
      <c r="Y1311" s="1340"/>
      <c r="Z1311" s="181" t="s">
        <v>103</v>
      </c>
      <c r="AA1311" s="780" t="s">
        <v>89</v>
      </c>
      <c r="AB1311" s="779" t="s">
        <v>1142</v>
      </c>
      <c r="AC1311" s="237">
        <v>966.35814640445506</v>
      </c>
      <c r="AD1311" s="779" t="str">
        <f>AB1311</f>
        <v xml:space="preserve">  Доход от взимания платы за негативное воздействие на работу централизованной системы водоотведения</v>
      </c>
      <c r="AE1311" s="237">
        <v>0</v>
      </c>
      <c r="AF1311" s="1351"/>
      <c r="AG1311" s="1353"/>
      <c r="AH1311" s="1353"/>
      <c r="AI1311" s="1351"/>
      <c r="AJ1311" s="1353"/>
      <c r="AK1311" s="1354"/>
      <c r="AL1311" s="772"/>
    </row>
    <row r="1312" spans="1:38" ht="11.25" customHeight="1">
      <c r="A1312" t="s">
        <v>1019</v>
      </c>
      <c r="E1312" s="557"/>
      <c r="F1312" s="1339"/>
      <c r="G1312" s="1340"/>
      <c r="H1312" s="1335" t="s">
        <v>89</v>
      </c>
      <c r="I1312" s="1347"/>
      <c r="J1312" s="1363"/>
      <c r="K1312" s="1349"/>
      <c r="L1312" s="1079"/>
      <c r="M1312" s="1080"/>
      <c r="N1312" s="1355"/>
      <c r="O1312" s="1356"/>
      <c r="P1312" s="1359"/>
      <c r="Q1312" s="1308"/>
      <c r="R1312" s="1308"/>
      <c r="S1312" s="1361"/>
      <c r="T1312" s="1308"/>
      <c r="U1312" s="1308"/>
      <c r="V1312" s="1308"/>
      <c r="W1312" s="1308"/>
      <c r="X1312" s="1308"/>
      <c r="Y1312" s="1308"/>
      <c r="Z1312" s="229"/>
      <c r="AA1312" s="230"/>
      <c r="AB1312" s="44" t="s">
        <v>1059</v>
      </c>
      <c r="AC1312" s="231"/>
      <c r="AD1312" s="231"/>
      <c r="AE1312" s="246"/>
      <c r="AF1312" s="1350"/>
      <c r="AG1312" s="1352"/>
      <c r="AH1312" s="1352"/>
      <c r="AI1312" s="1350"/>
      <c r="AJ1312" s="1352"/>
      <c r="AK1312" s="1352"/>
      <c r="AL1312" s="772"/>
    </row>
    <row r="1313" spans="1:38" ht="11.25" customHeight="1">
      <c r="A1313" t="s">
        <v>1019</v>
      </c>
      <c r="E1313" s="557"/>
      <c r="F1313" s="1339"/>
      <c r="G1313" s="1340"/>
      <c r="H1313" s="1335" t="s">
        <v>89</v>
      </c>
      <c r="I1313" s="1347"/>
      <c r="J1313" s="1363"/>
      <c r="K1313" s="1349"/>
      <c r="L1313" s="1079"/>
      <c r="M1313" s="1080"/>
      <c r="N1313" s="229"/>
      <c r="O1313" s="230"/>
      <c r="P1313" s="44" t="s">
        <v>1060</v>
      </c>
      <c r="Q1313" s="230"/>
      <c r="R1313" s="230"/>
      <c r="S1313" s="230"/>
      <c r="T1313" s="230"/>
      <c r="U1313" s="230"/>
      <c r="V1313" s="230"/>
      <c r="W1313" s="230"/>
      <c r="X1313" s="230"/>
      <c r="Y1313" s="230"/>
      <c r="Z1313" s="230"/>
      <c r="AA1313" s="230"/>
      <c r="AB1313" s="230"/>
      <c r="AC1313" s="230"/>
      <c r="AD1313" s="230"/>
      <c r="AE1313" s="247"/>
      <c r="AF1313" s="1350"/>
      <c r="AG1313" s="1352"/>
      <c r="AH1313" s="1352"/>
      <c r="AI1313" s="1350"/>
      <c r="AJ1313" s="1352"/>
      <c r="AK1313" s="1352"/>
      <c r="AL1313" s="772"/>
    </row>
    <row r="1314" spans="1:38" ht="11.25" customHeight="1">
      <c r="A1314" t="s">
        <v>1019</v>
      </c>
      <c r="B1314" t="s">
        <v>1051</v>
      </c>
      <c r="E1314" s="557"/>
      <c r="F1314" s="1339"/>
      <c r="G1314" s="1325" t="s">
        <v>103</v>
      </c>
      <c r="H1314" s="1335" t="s">
        <v>115</v>
      </c>
      <c r="I1314" s="1347" t="s">
        <v>1052</v>
      </c>
      <c r="J1314" s="1363" t="s">
        <v>1053</v>
      </c>
      <c r="K1314" s="1349" t="s">
        <v>1196</v>
      </c>
      <c r="L1314" s="1079" t="s">
        <v>19</v>
      </c>
      <c r="M1314" s="1080"/>
      <c r="N1314" s="242"/>
      <c r="O1314" s="243" t="s">
        <v>384</v>
      </c>
      <c r="P1314" s="244"/>
      <c r="Q1314" s="244"/>
      <c r="R1314" s="244"/>
      <c r="S1314" s="244"/>
      <c r="T1314" s="244"/>
      <c r="U1314" s="244"/>
      <c r="V1314" s="244"/>
      <c r="W1314" s="244"/>
      <c r="X1314" s="244"/>
      <c r="Y1314" s="244"/>
      <c r="Z1314" s="244"/>
      <c r="AA1314" s="244"/>
      <c r="AB1314" s="244"/>
      <c r="AC1314" s="244"/>
      <c r="AD1314" s="244"/>
      <c r="AE1314" s="244"/>
      <c r="AF1314" s="1350">
        <v>1</v>
      </c>
      <c r="AG1314" s="1352" t="s">
        <v>1055</v>
      </c>
      <c r="AH1314" s="1352" t="s">
        <v>1103</v>
      </c>
      <c r="AI1314" s="1350">
        <v>1</v>
      </c>
      <c r="AJ1314" s="1352" t="s">
        <v>1055</v>
      </c>
      <c r="AK1314" s="1352" t="s">
        <v>1103</v>
      </c>
      <c r="AL1314" s="772"/>
    </row>
    <row r="1315" spans="1:38" ht="11.25" customHeight="1">
      <c r="A1315" t="s">
        <v>1019</v>
      </c>
      <c r="E1315" s="557"/>
      <c r="F1315" s="1339"/>
      <c r="G1315" s="1340"/>
      <c r="H1315" s="1335" t="s">
        <v>90</v>
      </c>
      <c r="I1315" s="1347"/>
      <c r="J1315" s="1363"/>
      <c r="K1315" s="1349"/>
      <c r="L1315" s="1079"/>
      <c r="M1315" s="1080"/>
      <c r="N1315" s="1355"/>
      <c r="O1315" s="1356">
        <v>1</v>
      </c>
      <c r="P1315" s="1357" t="s">
        <v>19</v>
      </c>
      <c r="Q1315" s="1308" t="s">
        <v>22</v>
      </c>
      <c r="R1315" s="1308" t="s">
        <v>22</v>
      </c>
      <c r="S1315" s="1308" t="s">
        <v>22</v>
      </c>
      <c r="T1315" s="1308" t="s">
        <v>22</v>
      </c>
      <c r="U1315" s="1308" t="s">
        <v>22</v>
      </c>
      <c r="V1315" s="1308" t="s">
        <v>22</v>
      </c>
      <c r="W1315" s="1308" t="s">
        <v>22</v>
      </c>
      <c r="X1315" s="1308" t="s">
        <v>22</v>
      </c>
      <c r="Y1315" s="1308"/>
      <c r="Z1315" s="229"/>
      <c r="AA1315" s="230"/>
      <c r="AB1315" s="230"/>
      <c r="AC1315" s="231"/>
      <c r="AD1315" s="231"/>
      <c r="AE1315" s="245"/>
      <c r="AF1315" s="1350"/>
      <c r="AG1315" s="1352"/>
      <c r="AH1315" s="1352"/>
      <c r="AI1315" s="1350"/>
      <c r="AJ1315" s="1352"/>
      <c r="AK1315" s="1352"/>
      <c r="AL1315" s="772"/>
    </row>
    <row r="1316" spans="1:38" ht="11.25" customHeight="1">
      <c r="A1316" t="s">
        <v>1019</v>
      </c>
      <c r="E1316" s="557"/>
      <c r="F1316" s="1339"/>
      <c r="G1316" s="1340"/>
      <c r="H1316" s="1335" t="s">
        <v>90</v>
      </c>
      <c r="I1316" s="1347"/>
      <c r="J1316" s="1363"/>
      <c r="K1316" s="1349"/>
      <c r="L1316" s="1079"/>
      <c r="M1316" s="1080"/>
      <c r="N1316" s="1355"/>
      <c r="O1316" s="1356"/>
      <c r="P1316" s="1358"/>
      <c r="Q1316" s="1308"/>
      <c r="R1316" s="1308"/>
      <c r="S1316" s="1361"/>
      <c r="T1316" s="1308"/>
      <c r="U1316" s="1308"/>
      <c r="V1316" s="1308"/>
      <c r="W1316" s="1308"/>
      <c r="X1316" s="1308"/>
      <c r="Y1316" s="1308"/>
      <c r="AA1316" s="778">
        <v>1</v>
      </c>
      <c r="AB1316" s="779" t="s">
        <v>1119</v>
      </c>
      <c r="AC1316" s="237">
        <v>6582.2090905839495</v>
      </c>
      <c r="AD1316" s="779" t="str">
        <f>AB1316</f>
        <v xml:space="preserve">  Прибыль направляемая на инвестиции</v>
      </c>
      <c r="AE1316" s="237">
        <v>0</v>
      </c>
      <c r="AF1316" s="1350"/>
      <c r="AG1316" s="1352"/>
      <c r="AH1316" s="1352"/>
      <c r="AI1316" s="1350"/>
      <c r="AJ1316" s="1352"/>
      <c r="AK1316" s="1352"/>
      <c r="AL1316" s="772"/>
    </row>
    <row r="1317" spans="1:38" ht="11.25" customHeight="1">
      <c r="A1317" t="s">
        <v>1019</v>
      </c>
      <c r="E1317" s="557"/>
      <c r="F1317" s="1340"/>
      <c r="G1317" s="1340"/>
      <c r="H1317" s="1340"/>
      <c r="I1317" s="1340"/>
      <c r="J1317" s="1340"/>
      <c r="K1317" s="1340"/>
      <c r="L1317" s="1340"/>
      <c r="M1317" s="1340"/>
      <c r="N1317" s="1340"/>
      <c r="O1317" s="1340"/>
      <c r="P1317" s="1340"/>
      <c r="Q1317" s="1340"/>
      <c r="R1317" s="1340"/>
      <c r="S1317" s="1340"/>
      <c r="T1317" s="1340"/>
      <c r="U1317" s="1340"/>
      <c r="V1317" s="1340"/>
      <c r="W1317" s="1340"/>
      <c r="X1317" s="1340"/>
      <c r="Y1317" s="1340"/>
      <c r="Z1317" s="181" t="s">
        <v>103</v>
      </c>
      <c r="AA1317" s="780" t="s">
        <v>102</v>
      </c>
      <c r="AB1317" s="779" t="s">
        <v>1120</v>
      </c>
      <c r="AC1317" s="237">
        <v>1436.0455227124</v>
      </c>
      <c r="AD1317" s="779" t="str">
        <f>AB1317</f>
        <v xml:space="preserve">     Прочие амортизационные отчисления</v>
      </c>
      <c r="AE1317" s="237">
        <v>0</v>
      </c>
      <c r="AF1317" s="1351"/>
      <c r="AG1317" s="1353"/>
      <c r="AH1317" s="1353"/>
      <c r="AI1317" s="1351"/>
      <c r="AJ1317" s="1353"/>
      <c r="AK1317" s="1354"/>
      <c r="AL1317" s="772"/>
    </row>
    <row r="1318" spans="1:38" ht="11.25" customHeight="1">
      <c r="A1318" t="s">
        <v>1019</v>
      </c>
      <c r="E1318" s="557"/>
      <c r="F1318" s="1340"/>
      <c r="G1318" s="1340"/>
      <c r="H1318" s="1340"/>
      <c r="I1318" s="1340"/>
      <c r="J1318" s="1340"/>
      <c r="K1318" s="1340"/>
      <c r="L1318" s="1340"/>
      <c r="M1318" s="1340"/>
      <c r="N1318" s="1340"/>
      <c r="O1318" s="1340"/>
      <c r="P1318" s="1340"/>
      <c r="Q1318" s="1340"/>
      <c r="R1318" s="1340"/>
      <c r="S1318" s="1340"/>
      <c r="T1318" s="1340"/>
      <c r="U1318" s="1340"/>
      <c r="V1318" s="1340"/>
      <c r="W1318" s="1340"/>
      <c r="X1318" s="1340"/>
      <c r="Y1318" s="1340"/>
      <c r="Z1318" s="181" t="s">
        <v>103</v>
      </c>
      <c r="AA1318" s="780" t="s">
        <v>89</v>
      </c>
      <c r="AB1318" s="779" t="s">
        <v>1142</v>
      </c>
      <c r="AC1318" s="237">
        <v>412.67728411546699</v>
      </c>
      <c r="AD1318" s="779" t="str">
        <f>AB1318</f>
        <v xml:space="preserve">  Доход от взимания платы за негативное воздействие на работу централизованной системы водоотведения</v>
      </c>
      <c r="AE1318" s="237">
        <v>0</v>
      </c>
      <c r="AF1318" s="1351"/>
      <c r="AG1318" s="1353"/>
      <c r="AH1318" s="1353"/>
      <c r="AI1318" s="1351"/>
      <c r="AJ1318" s="1353"/>
      <c r="AK1318" s="1354"/>
      <c r="AL1318" s="772"/>
    </row>
    <row r="1319" spans="1:38" ht="11.25" customHeight="1">
      <c r="A1319" t="s">
        <v>1019</v>
      </c>
      <c r="E1319" s="557"/>
      <c r="F1319" s="1339"/>
      <c r="G1319" s="1340"/>
      <c r="H1319" s="1335" t="s">
        <v>90</v>
      </c>
      <c r="I1319" s="1347"/>
      <c r="J1319" s="1363"/>
      <c r="K1319" s="1349"/>
      <c r="L1319" s="1079"/>
      <c r="M1319" s="1080"/>
      <c r="N1319" s="1355"/>
      <c r="O1319" s="1356"/>
      <c r="P1319" s="1359"/>
      <c r="Q1319" s="1308"/>
      <c r="R1319" s="1308"/>
      <c r="S1319" s="1361"/>
      <c r="T1319" s="1308"/>
      <c r="U1319" s="1308"/>
      <c r="V1319" s="1308"/>
      <c r="W1319" s="1308"/>
      <c r="X1319" s="1308"/>
      <c r="Y1319" s="1308"/>
      <c r="Z1319" s="229"/>
      <c r="AA1319" s="230"/>
      <c r="AB1319" s="44" t="s">
        <v>1059</v>
      </c>
      <c r="AC1319" s="231"/>
      <c r="AD1319" s="231"/>
      <c r="AE1319" s="246"/>
      <c r="AF1319" s="1350"/>
      <c r="AG1319" s="1352"/>
      <c r="AH1319" s="1352"/>
      <c r="AI1319" s="1350"/>
      <c r="AJ1319" s="1352"/>
      <c r="AK1319" s="1352"/>
      <c r="AL1319" s="772"/>
    </row>
    <row r="1320" spans="1:38" ht="11.25" customHeight="1">
      <c r="A1320" t="s">
        <v>1019</v>
      </c>
      <c r="E1320" s="557"/>
      <c r="F1320" s="1339"/>
      <c r="G1320" s="1340"/>
      <c r="H1320" s="1335" t="s">
        <v>90</v>
      </c>
      <c r="I1320" s="1347"/>
      <c r="J1320" s="1363"/>
      <c r="K1320" s="1349"/>
      <c r="L1320" s="1079"/>
      <c r="M1320" s="1080"/>
      <c r="N1320" s="229"/>
      <c r="O1320" s="230"/>
      <c r="P1320" s="44" t="s">
        <v>1060</v>
      </c>
      <c r="Q1320" s="230"/>
      <c r="R1320" s="230"/>
      <c r="S1320" s="230"/>
      <c r="T1320" s="230"/>
      <c r="U1320" s="230"/>
      <c r="V1320" s="230"/>
      <c r="W1320" s="230"/>
      <c r="X1320" s="230"/>
      <c r="Y1320" s="230"/>
      <c r="Z1320" s="230"/>
      <c r="AA1320" s="230"/>
      <c r="AB1320" s="230"/>
      <c r="AC1320" s="230"/>
      <c r="AD1320" s="230"/>
      <c r="AE1320" s="247"/>
      <c r="AF1320" s="1350"/>
      <c r="AG1320" s="1352"/>
      <c r="AH1320" s="1352"/>
      <c r="AI1320" s="1350"/>
      <c r="AJ1320" s="1352"/>
      <c r="AK1320" s="1352"/>
      <c r="AL1320" s="772"/>
    </row>
    <row r="1321" spans="1:38" ht="11.25" customHeight="1">
      <c r="A1321" t="s">
        <v>1019</v>
      </c>
      <c r="B1321" t="s">
        <v>1051</v>
      </c>
      <c r="E1321" s="557"/>
      <c r="F1321" s="1339"/>
      <c r="G1321" s="1325" t="s">
        <v>103</v>
      </c>
      <c r="H1321" s="1335" t="s">
        <v>91</v>
      </c>
      <c r="I1321" s="1347" t="s">
        <v>1052</v>
      </c>
      <c r="J1321" s="1363" t="s">
        <v>1053</v>
      </c>
      <c r="K1321" s="1349" t="s">
        <v>1197</v>
      </c>
      <c r="L1321" s="1079" t="s">
        <v>19</v>
      </c>
      <c r="M1321" s="1080"/>
      <c r="N1321" s="242"/>
      <c r="O1321" s="243" t="s">
        <v>384</v>
      </c>
      <c r="P1321" s="244"/>
      <c r="Q1321" s="244"/>
      <c r="R1321" s="244"/>
      <c r="S1321" s="244"/>
      <c r="T1321" s="244"/>
      <c r="U1321" s="244"/>
      <c r="V1321" s="244"/>
      <c r="W1321" s="244"/>
      <c r="X1321" s="244"/>
      <c r="Y1321" s="244"/>
      <c r="Z1321" s="244"/>
      <c r="AA1321" s="244"/>
      <c r="AB1321" s="244"/>
      <c r="AC1321" s="244"/>
      <c r="AD1321" s="244"/>
      <c r="AE1321" s="244"/>
      <c r="AF1321" s="1350">
        <v>1</v>
      </c>
      <c r="AG1321" s="1352" t="s">
        <v>1055</v>
      </c>
      <c r="AH1321" s="1352" t="s">
        <v>1103</v>
      </c>
      <c r="AI1321" s="1350">
        <v>1</v>
      </c>
      <c r="AJ1321" s="1352" t="s">
        <v>1055</v>
      </c>
      <c r="AK1321" s="1352" t="s">
        <v>1103</v>
      </c>
      <c r="AL1321" s="772"/>
    </row>
    <row r="1322" spans="1:38" ht="11.25" customHeight="1">
      <c r="A1322" t="s">
        <v>1019</v>
      </c>
      <c r="E1322" s="557"/>
      <c r="F1322" s="1339"/>
      <c r="G1322" s="1340"/>
      <c r="H1322" s="1335" t="s">
        <v>115</v>
      </c>
      <c r="I1322" s="1347"/>
      <c r="J1322" s="1363"/>
      <c r="K1322" s="1349"/>
      <c r="L1322" s="1079"/>
      <c r="M1322" s="1080"/>
      <c r="N1322" s="1355"/>
      <c r="O1322" s="1356">
        <v>1</v>
      </c>
      <c r="P1322" s="1357" t="s">
        <v>19</v>
      </c>
      <c r="Q1322" s="1308" t="s">
        <v>22</v>
      </c>
      <c r="R1322" s="1308" t="s">
        <v>22</v>
      </c>
      <c r="S1322" s="1308" t="s">
        <v>22</v>
      </c>
      <c r="T1322" s="1308" t="s">
        <v>22</v>
      </c>
      <c r="U1322" s="1308" t="s">
        <v>22</v>
      </c>
      <c r="V1322" s="1308" t="s">
        <v>22</v>
      </c>
      <c r="W1322" s="1308" t="s">
        <v>22</v>
      </c>
      <c r="X1322" s="1308" t="s">
        <v>22</v>
      </c>
      <c r="Y1322" s="1308"/>
      <c r="Z1322" s="229"/>
      <c r="AA1322" s="230"/>
      <c r="AB1322" s="230"/>
      <c r="AC1322" s="231"/>
      <c r="AD1322" s="231"/>
      <c r="AE1322" s="245"/>
      <c r="AF1322" s="1350"/>
      <c r="AG1322" s="1352"/>
      <c r="AH1322" s="1352"/>
      <c r="AI1322" s="1350"/>
      <c r="AJ1322" s="1352"/>
      <c r="AK1322" s="1352"/>
      <c r="AL1322" s="772"/>
    </row>
    <row r="1323" spans="1:38" ht="11.25" customHeight="1">
      <c r="A1323" t="s">
        <v>1019</v>
      </c>
      <c r="E1323" s="557"/>
      <c r="F1323" s="1339"/>
      <c r="G1323" s="1340"/>
      <c r="H1323" s="1335" t="s">
        <v>115</v>
      </c>
      <c r="I1323" s="1347"/>
      <c r="J1323" s="1363"/>
      <c r="K1323" s="1349"/>
      <c r="L1323" s="1079"/>
      <c r="M1323" s="1080"/>
      <c r="N1323" s="1355"/>
      <c r="O1323" s="1356"/>
      <c r="P1323" s="1358"/>
      <c r="Q1323" s="1308"/>
      <c r="R1323" s="1308"/>
      <c r="S1323" s="1361"/>
      <c r="T1323" s="1308"/>
      <c r="U1323" s="1308"/>
      <c r="V1323" s="1308"/>
      <c r="W1323" s="1308"/>
      <c r="X1323" s="1308"/>
      <c r="Y1323" s="1308"/>
      <c r="AA1323" s="778">
        <v>1</v>
      </c>
      <c r="AB1323" s="779" t="s">
        <v>1119</v>
      </c>
      <c r="AC1323" s="237">
        <v>14987.541195363799</v>
      </c>
      <c r="AD1323" s="779" t="str">
        <f>AB1323</f>
        <v xml:space="preserve">  Прибыль направляемая на инвестиции</v>
      </c>
      <c r="AE1323" s="237">
        <v>0</v>
      </c>
      <c r="AF1323" s="1350"/>
      <c r="AG1323" s="1352"/>
      <c r="AH1323" s="1352"/>
      <c r="AI1323" s="1350"/>
      <c r="AJ1323" s="1352"/>
      <c r="AK1323" s="1352"/>
      <c r="AL1323" s="772"/>
    </row>
    <row r="1324" spans="1:38" ht="11.25" customHeight="1">
      <c r="A1324" t="s">
        <v>1019</v>
      </c>
      <c r="E1324" s="557"/>
      <c r="F1324" s="1340"/>
      <c r="G1324" s="1340"/>
      <c r="H1324" s="1340"/>
      <c r="I1324" s="1340"/>
      <c r="J1324" s="1340"/>
      <c r="K1324" s="1340"/>
      <c r="L1324" s="1340"/>
      <c r="M1324" s="1340"/>
      <c r="N1324" s="1340"/>
      <c r="O1324" s="1340"/>
      <c r="P1324" s="1340"/>
      <c r="Q1324" s="1340"/>
      <c r="R1324" s="1340"/>
      <c r="S1324" s="1340"/>
      <c r="T1324" s="1340"/>
      <c r="U1324" s="1340"/>
      <c r="V1324" s="1340"/>
      <c r="W1324" s="1340"/>
      <c r="X1324" s="1340"/>
      <c r="Y1324" s="1340"/>
      <c r="Z1324" s="181" t="s">
        <v>103</v>
      </c>
      <c r="AA1324" s="780" t="s">
        <v>102</v>
      </c>
      <c r="AB1324" s="779" t="s">
        <v>1120</v>
      </c>
      <c r="AC1324" s="237">
        <v>3269.8431687408502</v>
      </c>
      <c r="AD1324" s="779" t="str">
        <f>AB1324</f>
        <v xml:space="preserve">     Прочие амортизационные отчисления</v>
      </c>
      <c r="AE1324" s="237">
        <v>0</v>
      </c>
      <c r="AF1324" s="1351"/>
      <c r="AG1324" s="1353"/>
      <c r="AH1324" s="1353"/>
      <c r="AI1324" s="1351"/>
      <c r="AJ1324" s="1353"/>
      <c r="AK1324" s="1354"/>
      <c r="AL1324" s="772"/>
    </row>
    <row r="1325" spans="1:38" ht="11.25" customHeight="1">
      <c r="A1325" t="s">
        <v>1019</v>
      </c>
      <c r="E1325" s="557"/>
      <c r="F1325" s="1340"/>
      <c r="G1325" s="1340"/>
      <c r="H1325" s="1340"/>
      <c r="I1325" s="1340"/>
      <c r="J1325" s="1340"/>
      <c r="K1325" s="1340"/>
      <c r="L1325" s="1340"/>
      <c r="M1325" s="1340"/>
      <c r="N1325" s="1340"/>
      <c r="O1325" s="1340"/>
      <c r="P1325" s="1340"/>
      <c r="Q1325" s="1340"/>
      <c r="R1325" s="1340"/>
      <c r="S1325" s="1340"/>
      <c r="T1325" s="1340"/>
      <c r="U1325" s="1340"/>
      <c r="V1325" s="1340"/>
      <c r="W1325" s="1340"/>
      <c r="X1325" s="1340"/>
      <c r="Y1325" s="1340"/>
      <c r="Z1325" s="181" t="s">
        <v>103</v>
      </c>
      <c r="AA1325" s="780" t="s">
        <v>89</v>
      </c>
      <c r="AB1325" s="779" t="s">
        <v>1142</v>
      </c>
      <c r="AC1325" s="237">
        <v>939.65684027255395</v>
      </c>
      <c r="AD1325" s="779" t="str">
        <f>AB1325</f>
        <v xml:space="preserve">  Доход от взимания платы за негативное воздействие на работу централизованной системы водоотведения</v>
      </c>
      <c r="AE1325" s="237">
        <v>0</v>
      </c>
      <c r="AF1325" s="1351"/>
      <c r="AG1325" s="1353"/>
      <c r="AH1325" s="1353"/>
      <c r="AI1325" s="1351"/>
      <c r="AJ1325" s="1353"/>
      <c r="AK1325" s="1354"/>
      <c r="AL1325" s="772"/>
    </row>
    <row r="1326" spans="1:38" ht="11.25" customHeight="1">
      <c r="A1326" t="s">
        <v>1019</v>
      </c>
      <c r="E1326" s="557"/>
      <c r="F1326" s="1339"/>
      <c r="G1326" s="1340"/>
      <c r="H1326" s="1335" t="s">
        <v>115</v>
      </c>
      <c r="I1326" s="1347"/>
      <c r="J1326" s="1363"/>
      <c r="K1326" s="1349"/>
      <c r="L1326" s="1079"/>
      <c r="M1326" s="1080"/>
      <c r="N1326" s="1355"/>
      <c r="O1326" s="1356"/>
      <c r="P1326" s="1359"/>
      <c r="Q1326" s="1308"/>
      <c r="R1326" s="1308"/>
      <c r="S1326" s="1361"/>
      <c r="T1326" s="1308"/>
      <c r="U1326" s="1308"/>
      <c r="V1326" s="1308"/>
      <c r="W1326" s="1308"/>
      <c r="X1326" s="1308"/>
      <c r="Y1326" s="1308"/>
      <c r="Z1326" s="229"/>
      <c r="AA1326" s="230"/>
      <c r="AB1326" s="44" t="s">
        <v>1059</v>
      </c>
      <c r="AC1326" s="231"/>
      <c r="AD1326" s="231"/>
      <c r="AE1326" s="246"/>
      <c r="AF1326" s="1350"/>
      <c r="AG1326" s="1352"/>
      <c r="AH1326" s="1352"/>
      <c r="AI1326" s="1350"/>
      <c r="AJ1326" s="1352"/>
      <c r="AK1326" s="1352"/>
      <c r="AL1326" s="772"/>
    </row>
    <row r="1327" spans="1:38" ht="11.25" customHeight="1">
      <c r="A1327" t="s">
        <v>1019</v>
      </c>
      <c r="E1327" s="557"/>
      <c r="F1327" s="1339"/>
      <c r="G1327" s="1340"/>
      <c r="H1327" s="1335" t="s">
        <v>115</v>
      </c>
      <c r="I1327" s="1347"/>
      <c r="J1327" s="1363"/>
      <c r="K1327" s="1349"/>
      <c r="L1327" s="1079"/>
      <c r="M1327" s="1080"/>
      <c r="N1327" s="229"/>
      <c r="O1327" s="230"/>
      <c r="P1327" s="44" t="s">
        <v>1060</v>
      </c>
      <c r="Q1327" s="230"/>
      <c r="R1327" s="230"/>
      <c r="S1327" s="230"/>
      <c r="T1327" s="230"/>
      <c r="U1327" s="230"/>
      <c r="V1327" s="230"/>
      <c r="W1327" s="230"/>
      <c r="X1327" s="230"/>
      <c r="Y1327" s="230"/>
      <c r="Z1327" s="230"/>
      <c r="AA1327" s="230"/>
      <c r="AB1327" s="230"/>
      <c r="AC1327" s="230"/>
      <c r="AD1327" s="230"/>
      <c r="AE1327" s="247"/>
      <c r="AF1327" s="1350"/>
      <c r="AG1327" s="1352"/>
      <c r="AH1327" s="1352"/>
      <c r="AI1327" s="1350"/>
      <c r="AJ1327" s="1352"/>
      <c r="AK1327" s="1352"/>
      <c r="AL1327" s="772"/>
    </row>
    <row r="1328" spans="1:38" ht="11.25" customHeight="1">
      <c r="A1328" t="s">
        <v>1019</v>
      </c>
      <c r="B1328" t="s">
        <v>1051</v>
      </c>
      <c r="E1328" s="557"/>
      <c r="F1328" s="1339"/>
      <c r="G1328" s="1325" t="s">
        <v>103</v>
      </c>
      <c r="H1328" s="1335" t="s">
        <v>92</v>
      </c>
      <c r="I1328" s="1347" t="s">
        <v>1052</v>
      </c>
      <c r="J1328" s="1363" t="s">
        <v>1053</v>
      </c>
      <c r="K1328" s="1349" t="s">
        <v>1198</v>
      </c>
      <c r="L1328" s="1079" t="s">
        <v>19</v>
      </c>
      <c r="M1328" s="1080"/>
      <c r="N1328" s="242"/>
      <c r="O1328" s="243" t="s">
        <v>384</v>
      </c>
      <c r="P1328" s="244"/>
      <c r="Q1328" s="244"/>
      <c r="R1328" s="244"/>
      <c r="S1328" s="244"/>
      <c r="T1328" s="244"/>
      <c r="U1328" s="244"/>
      <c r="V1328" s="244"/>
      <c r="W1328" s="244"/>
      <c r="X1328" s="244"/>
      <c r="Y1328" s="244"/>
      <c r="Z1328" s="244"/>
      <c r="AA1328" s="244"/>
      <c r="AB1328" s="244"/>
      <c r="AC1328" s="244"/>
      <c r="AD1328" s="244"/>
      <c r="AE1328" s="244"/>
      <c r="AF1328" s="1350">
        <v>1</v>
      </c>
      <c r="AG1328" s="1352" t="s">
        <v>1055</v>
      </c>
      <c r="AH1328" s="1352" t="s">
        <v>1103</v>
      </c>
      <c r="AI1328" s="1350">
        <v>1</v>
      </c>
      <c r="AJ1328" s="1352" t="s">
        <v>1055</v>
      </c>
      <c r="AK1328" s="1352" t="s">
        <v>1103</v>
      </c>
      <c r="AL1328" s="772"/>
    </row>
    <row r="1329" spans="1:38" ht="11.25" customHeight="1">
      <c r="A1329" t="s">
        <v>1019</v>
      </c>
      <c r="E1329" s="557"/>
      <c r="F1329" s="1339"/>
      <c r="G1329" s="1340"/>
      <c r="H1329" s="1335" t="s">
        <v>91</v>
      </c>
      <c r="I1329" s="1347"/>
      <c r="J1329" s="1363"/>
      <c r="K1329" s="1349"/>
      <c r="L1329" s="1079"/>
      <c r="M1329" s="1080"/>
      <c r="N1329" s="1355"/>
      <c r="O1329" s="1356">
        <v>1</v>
      </c>
      <c r="P1329" s="1357" t="s">
        <v>19</v>
      </c>
      <c r="Q1329" s="1308" t="s">
        <v>22</v>
      </c>
      <c r="R1329" s="1308" t="s">
        <v>22</v>
      </c>
      <c r="S1329" s="1308" t="s">
        <v>22</v>
      </c>
      <c r="T1329" s="1308" t="s">
        <v>22</v>
      </c>
      <c r="U1329" s="1308" t="s">
        <v>22</v>
      </c>
      <c r="V1329" s="1308" t="s">
        <v>22</v>
      </c>
      <c r="W1329" s="1308" t="s">
        <v>22</v>
      </c>
      <c r="X1329" s="1308" t="s">
        <v>22</v>
      </c>
      <c r="Y1329" s="1308"/>
      <c r="Z1329" s="229"/>
      <c r="AA1329" s="230"/>
      <c r="AB1329" s="230"/>
      <c r="AC1329" s="231"/>
      <c r="AD1329" s="231"/>
      <c r="AE1329" s="245"/>
      <c r="AF1329" s="1350"/>
      <c r="AG1329" s="1352"/>
      <c r="AH1329" s="1352"/>
      <c r="AI1329" s="1350"/>
      <c r="AJ1329" s="1352"/>
      <c r="AK1329" s="1352"/>
      <c r="AL1329" s="772"/>
    </row>
    <row r="1330" spans="1:38" ht="11.25" customHeight="1">
      <c r="A1330" t="s">
        <v>1019</v>
      </c>
      <c r="E1330" s="557"/>
      <c r="F1330" s="1339"/>
      <c r="G1330" s="1340"/>
      <c r="H1330" s="1335" t="s">
        <v>91</v>
      </c>
      <c r="I1330" s="1347"/>
      <c r="J1330" s="1363"/>
      <c r="K1330" s="1349"/>
      <c r="L1330" s="1079"/>
      <c r="M1330" s="1080"/>
      <c r="N1330" s="1355"/>
      <c r="O1330" s="1356"/>
      <c r="P1330" s="1358"/>
      <c r="Q1330" s="1308"/>
      <c r="R1330" s="1308"/>
      <c r="S1330" s="1361"/>
      <c r="T1330" s="1308"/>
      <c r="U1330" s="1308"/>
      <c r="V1330" s="1308"/>
      <c r="W1330" s="1308"/>
      <c r="X1330" s="1308"/>
      <c r="Y1330" s="1308"/>
      <c r="AA1330" s="778">
        <v>1</v>
      </c>
      <c r="AB1330" s="779" t="s">
        <v>1119</v>
      </c>
      <c r="AC1330" s="237">
        <v>9199.6311169695491</v>
      </c>
      <c r="AD1330" s="779" t="str">
        <f>AB1330</f>
        <v xml:space="preserve">  Прибыль направляемая на инвестиции</v>
      </c>
      <c r="AE1330" s="237">
        <v>0</v>
      </c>
      <c r="AF1330" s="1350"/>
      <c r="AG1330" s="1352"/>
      <c r="AH1330" s="1352"/>
      <c r="AI1330" s="1350"/>
      <c r="AJ1330" s="1352"/>
      <c r="AK1330" s="1352"/>
      <c r="AL1330" s="772"/>
    </row>
    <row r="1331" spans="1:38" ht="11.25" customHeight="1">
      <c r="A1331" t="s">
        <v>1019</v>
      </c>
      <c r="E1331" s="557"/>
      <c r="F1331" s="1340"/>
      <c r="G1331" s="1340"/>
      <c r="H1331" s="1340"/>
      <c r="I1331" s="1340"/>
      <c r="J1331" s="1340"/>
      <c r="K1331" s="1340"/>
      <c r="L1331" s="1340"/>
      <c r="M1331" s="1340"/>
      <c r="N1331" s="1340"/>
      <c r="O1331" s="1340"/>
      <c r="P1331" s="1340"/>
      <c r="Q1331" s="1340"/>
      <c r="R1331" s="1340"/>
      <c r="S1331" s="1340"/>
      <c r="T1331" s="1340"/>
      <c r="U1331" s="1340"/>
      <c r="V1331" s="1340"/>
      <c r="W1331" s="1340"/>
      <c r="X1331" s="1340"/>
      <c r="Y1331" s="1340"/>
      <c r="Z1331" s="181" t="s">
        <v>103</v>
      </c>
      <c r="AA1331" s="780" t="s">
        <v>102</v>
      </c>
      <c r="AB1331" s="779" t="s">
        <v>1120</v>
      </c>
      <c r="AC1331" s="237">
        <v>2007.0904607130601</v>
      </c>
      <c r="AD1331" s="779" t="str">
        <f>AB1331</f>
        <v xml:space="preserve">     Прочие амортизационные отчисления</v>
      </c>
      <c r="AE1331" s="237">
        <v>0</v>
      </c>
      <c r="AF1331" s="1351"/>
      <c r="AG1331" s="1353"/>
      <c r="AH1331" s="1353"/>
      <c r="AI1331" s="1351"/>
      <c r="AJ1331" s="1353"/>
      <c r="AK1331" s="1354"/>
      <c r="AL1331" s="772"/>
    </row>
    <row r="1332" spans="1:38" ht="11.25" customHeight="1">
      <c r="A1332" t="s">
        <v>1019</v>
      </c>
      <c r="E1332" s="557"/>
      <c r="F1332" s="1340"/>
      <c r="G1332" s="1340"/>
      <c r="H1332" s="1340"/>
      <c r="I1332" s="1340"/>
      <c r="J1332" s="1340"/>
      <c r="K1332" s="1340"/>
      <c r="L1332" s="1340"/>
      <c r="M1332" s="1340"/>
      <c r="N1332" s="1340"/>
      <c r="O1332" s="1340"/>
      <c r="P1332" s="1340"/>
      <c r="Q1332" s="1340"/>
      <c r="R1332" s="1340"/>
      <c r="S1332" s="1340"/>
      <c r="T1332" s="1340"/>
      <c r="U1332" s="1340"/>
      <c r="V1332" s="1340"/>
      <c r="W1332" s="1340"/>
      <c r="X1332" s="1340"/>
      <c r="Y1332" s="1340"/>
      <c r="Z1332" s="181" t="s">
        <v>103</v>
      </c>
      <c r="AA1332" s="780" t="s">
        <v>89</v>
      </c>
      <c r="AB1332" s="779" t="s">
        <v>1142</v>
      </c>
      <c r="AC1332" s="237">
        <v>576.77881877774303</v>
      </c>
      <c r="AD1332" s="779" t="str">
        <f>AB1332</f>
        <v xml:space="preserve">  Доход от взимания платы за негативное воздействие на работу централизованной системы водоотведения</v>
      </c>
      <c r="AE1332" s="237">
        <v>0</v>
      </c>
      <c r="AF1332" s="1351"/>
      <c r="AG1332" s="1353"/>
      <c r="AH1332" s="1353"/>
      <c r="AI1332" s="1351"/>
      <c r="AJ1332" s="1353"/>
      <c r="AK1332" s="1354"/>
      <c r="AL1332" s="772"/>
    </row>
    <row r="1333" spans="1:38" ht="11.25" customHeight="1">
      <c r="A1333" t="s">
        <v>1019</v>
      </c>
      <c r="E1333" s="557"/>
      <c r="F1333" s="1339"/>
      <c r="G1333" s="1340"/>
      <c r="H1333" s="1335" t="s">
        <v>91</v>
      </c>
      <c r="I1333" s="1347"/>
      <c r="J1333" s="1363"/>
      <c r="K1333" s="1349"/>
      <c r="L1333" s="1079"/>
      <c r="M1333" s="1080"/>
      <c r="N1333" s="1355"/>
      <c r="O1333" s="1356"/>
      <c r="P1333" s="1359"/>
      <c r="Q1333" s="1308"/>
      <c r="R1333" s="1308"/>
      <c r="S1333" s="1361"/>
      <c r="T1333" s="1308"/>
      <c r="U1333" s="1308"/>
      <c r="V1333" s="1308"/>
      <c r="W1333" s="1308"/>
      <c r="X1333" s="1308"/>
      <c r="Y1333" s="1308"/>
      <c r="Z1333" s="229"/>
      <c r="AA1333" s="230"/>
      <c r="AB1333" s="44" t="s">
        <v>1059</v>
      </c>
      <c r="AC1333" s="231"/>
      <c r="AD1333" s="231"/>
      <c r="AE1333" s="246"/>
      <c r="AF1333" s="1350"/>
      <c r="AG1333" s="1352"/>
      <c r="AH1333" s="1352"/>
      <c r="AI1333" s="1350"/>
      <c r="AJ1333" s="1352"/>
      <c r="AK1333" s="1352"/>
      <c r="AL1333" s="772"/>
    </row>
    <row r="1334" spans="1:38" ht="11.25" customHeight="1">
      <c r="A1334" t="s">
        <v>1019</v>
      </c>
      <c r="E1334" s="557"/>
      <c r="F1334" s="1339"/>
      <c r="G1334" s="1340"/>
      <c r="H1334" s="1335" t="s">
        <v>91</v>
      </c>
      <c r="I1334" s="1347"/>
      <c r="J1334" s="1363"/>
      <c r="K1334" s="1349"/>
      <c r="L1334" s="1079"/>
      <c r="M1334" s="1080"/>
      <c r="N1334" s="229"/>
      <c r="O1334" s="230"/>
      <c r="P1334" s="44" t="s">
        <v>1060</v>
      </c>
      <c r="Q1334" s="230"/>
      <c r="R1334" s="230"/>
      <c r="S1334" s="230"/>
      <c r="T1334" s="230"/>
      <c r="U1334" s="230"/>
      <c r="V1334" s="230"/>
      <c r="W1334" s="230"/>
      <c r="X1334" s="230"/>
      <c r="Y1334" s="230"/>
      <c r="Z1334" s="230"/>
      <c r="AA1334" s="230"/>
      <c r="AB1334" s="230"/>
      <c r="AC1334" s="230"/>
      <c r="AD1334" s="230"/>
      <c r="AE1334" s="247"/>
      <c r="AF1334" s="1350"/>
      <c r="AG1334" s="1352"/>
      <c r="AH1334" s="1352"/>
      <c r="AI1334" s="1350"/>
      <c r="AJ1334" s="1352"/>
      <c r="AK1334" s="1352"/>
      <c r="AL1334" s="772"/>
    </row>
    <row r="1335" spans="1:38" ht="11.25" customHeight="1">
      <c r="A1335" t="s">
        <v>1019</v>
      </c>
      <c r="B1335" t="s">
        <v>1051</v>
      </c>
      <c r="E1335" s="557"/>
      <c r="F1335" s="1339"/>
      <c r="G1335" s="1325" t="s">
        <v>103</v>
      </c>
      <c r="H1335" s="1335" t="s">
        <v>116</v>
      </c>
      <c r="I1335" s="1347" t="s">
        <v>1052</v>
      </c>
      <c r="J1335" s="1363" t="s">
        <v>1053</v>
      </c>
      <c r="K1335" s="1349" t="s">
        <v>1199</v>
      </c>
      <c r="L1335" s="1079" t="s">
        <v>19</v>
      </c>
      <c r="M1335" s="1080"/>
      <c r="N1335" s="242"/>
      <c r="O1335" s="243" t="s">
        <v>384</v>
      </c>
      <c r="P1335" s="244"/>
      <c r="Q1335" s="244"/>
      <c r="R1335" s="244"/>
      <c r="S1335" s="244"/>
      <c r="T1335" s="244"/>
      <c r="U1335" s="244"/>
      <c r="V1335" s="244"/>
      <c r="W1335" s="244"/>
      <c r="X1335" s="244"/>
      <c r="Y1335" s="244"/>
      <c r="Z1335" s="244"/>
      <c r="AA1335" s="244"/>
      <c r="AB1335" s="244"/>
      <c r="AC1335" s="244"/>
      <c r="AD1335" s="244"/>
      <c r="AE1335" s="244"/>
      <c r="AF1335" s="1350">
        <v>1</v>
      </c>
      <c r="AG1335" s="1352" t="s">
        <v>1055</v>
      </c>
      <c r="AH1335" s="1352" t="s">
        <v>1103</v>
      </c>
      <c r="AI1335" s="1350">
        <v>1</v>
      </c>
      <c r="AJ1335" s="1352" t="s">
        <v>1055</v>
      </c>
      <c r="AK1335" s="1352" t="s">
        <v>1103</v>
      </c>
      <c r="AL1335" s="772"/>
    </row>
    <row r="1336" spans="1:38" ht="11.25" customHeight="1">
      <c r="A1336" t="s">
        <v>1019</v>
      </c>
      <c r="E1336" s="557"/>
      <c r="F1336" s="1339"/>
      <c r="G1336" s="1340"/>
      <c r="H1336" s="1335" t="s">
        <v>92</v>
      </c>
      <c r="I1336" s="1347"/>
      <c r="J1336" s="1363"/>
      <c r="K1336" s="1349"/>
      <c r="L1336" s="1079"/>
      <c r="M1336" s="1080"/>
      <c r="N1336" s="1355"/>
      <c r="O1336" s="1356">
        <v>1</v>
      </c>
      <c r="P1336" s="1357" t="s">
        <v>19</v>
      </c>
      <c r="Q1336" s="1308" t="s">
        <v>22</v>
      </c>
      <c r="R1336" s="1308" t="s">
        <v>22</v>
      </c>
      <c r="S1336" s="1308" t="s">
        <v>22</v>
      </c>
      <c r="T1336" s="1308" t="s">
        <v>22</v>
      </c>
      <c r="U1336" s="1308" t="s">
        <v>22</v>
      </c>
      <c r="V1336" s="1308" t="s">
        <v>22</v>
      </c>
      <c r="W1336" s="1308" t="s">
        <v>22</v>
      </c>
      <c r="X1336" s="1308" t="s">
        <v>22</v>
      </c>
      <c r="Y1336" s="1308"/>
      <c r="Z1336" s="229"/>
      <c r="AA1336" s="230"/>
      <c r="AB1336" s="230"/>
      <c r="AC1336" s="231"/>
      <c r="AD1336" s="231"/>
      <c r="AE1336" s="245"/>
      <c r="AF1336" s="1350"/>
      <c r="AG1336" s="1352"/>
      <c r="AH1336" s="1352"/>
      <c r="AI1336" s="1350"/>
      <c r="AJ1336" s="1352"/>
      <c r="AK1336" s="1352"/>
      <c r="AL1336" s="772"/>
    </row>
    <row r="1337" spans="1:38" ht="11.25" customHeight="1">
      <c r="A1337" t="s">
        <v>1019</v>
      </c>
      <c r="E1337" s="557"/>
      <c r="F1337" s="1339"/>
      <c r="G1337" s="1340"/>
      <c r="H1337" s="1335" t="s">
        <v>92</v>
      </c>
      <c r="I1337" s="1347"/>
      <c r="J1337" s="1363"/>
      <c r="K1337" s="1349"/>
      <c r="L1337" s="1079"/>
      <c r="M1337" s="1080"/>
      <c r="N1337" s="1355"/>
      <c r="O1337" s="1356"/>
      <c r="P1337" s="1358"/>
      <c r="Q1337" s="1308"/>
      <c r="R1337" s="1308"/>
      <c r="S1337" s="1361"/>
      <c r="T1337" s="1308"/>
      <c r="U1337" s="1308"/>
      <c r="V1337" s="1308"/>
      <c r="W1337" s="1308"/>
      <c r="X1337" s="1308"/>
      <c r="Y1337" s="1308"/>
      <c r="AA1337" s="778">
        <v>1</v>
      </c>
      <c r="AB1337" s="779" t="s">
        <v>1119</v>
      </c>
      <c r="AC1337" s="237">
        <v>10423.4438310352</v>
      </c>
      <c r="AD1337" s="779" t="str">
        <f>AB1337</f>
        <v xml:space="preserve">  Прибыль направляемая на инвестиции</v>
      </c>
      <c r="AE1337" s="237">
        <v>0</v>
      </c>
      <c r="AF1337" s="1350"/>
      <c r="AG1337" s="1352"/>
      <c r="AH1337" s="1352"/>
      <c r="AI1337" s="1350"/>
      <c r="AJ1337" s="1352"/>
      <c r="AK1337" s="1352"/>
      <c r="AL1337" s="772"/>
    </row>
    <row r="1338" spans="1:38" ht="11.25" customHeight="1">
      <c r="A1338" t="s">
        <v>1019</v>
      </c>
      <c r="E1338" s="557"/>
      <c r="F1338" s="1340"/>
      <c r="G1338" s="1340"/>
      <c r="H1338" s="1340"/>
      <c r="I1338" s="1340"/>
      <c r="J1338" s="1340"/>
      <c r="K1338" s="1340"/>
      <c r="L1338" s="1340"/>
      <c r="M1338" s="1340"/>
      <c r="N1338" s="1340"/>
      <c r="O1338" s="1340"/>
      <c r="P1338" s="1340"/>
      <c r="Q1338" s="1340"/>
      <c r="R1338" s="1340"/>
      <c r="S1338" s="1340"/>
      <c r="T1338" s="1340"/>
      <c r="U1338" s="1340"/>
      <c r="V1338" s="1340"/>
      <c r="W1338" s="1340"/>
      <c r="X1338" s="1340"/>
      <c r="Y1338" s="1340"/>
      <c r="Z1338" s="181" t="s">
        <v>103</v>
      </c>
      <c r="AA1338" s="780" t="s">
        <v>102</v>
      </c>
      <c r="AB1338" s="779" t="s">
        <v>1120</v>
      </c>
      <c r="AC1338" s="237">
        <v>2274.0906037481</v>
      </c>
      <c r="AD1338" s="779" t="str">
        <f>AB1338</f>
        <v xml:space="preserve">     Прочие амортизационные отчисления</v>
      </c>
      <c r="AE1338" s="237">
        <v>0</v>
      </c>
      <c r="AF1338" s="1351"/>
      <c r="AG1338" s="1353"/>
      <c r="AH1338" s="1353"/>
      <c r="AI1338" s="1351"/>
      <c r="AJ1338" s="1353"/>
      <c r="AK1338" s="1354"/>
      <c r="AL1338" s="772"/>
    </row>
    <row r="1339" spans="1:38" ht="11.25" customHeight="1">
      <c r="A1339" t="s">
        <v>1019</v>
      </c>
      <c r="E1339" s="557"/>
      <c r="F1339" s="1340"/>
      <c r="G1339" s="1340"/>
      <c r="H1339" s="1340"/>
      <c r="I1339" s="1340"/>
      <c r="J1339" s="1340"/>
      <c r="K1339" s="1340"/>
      <c r="L1339" s="1340"/>
      <c r="M1339" s="1340"/>
      <c r="N1339" s="1340"/>
      <c r="O1339" s="1340"/>
      <c r="P1339" s="1340"/>
      <c r="Q1339" s="1340"/>
      <c r="R1339" s="1340"/>
      <c r="S1339" s="1340"/>
      <c r="T1339" s="1340"/>
      <c r="U1339" s="1340"/>
      <c r="V1339" s="1340"/>
      <c r="W1339" s="1340"/>
      <c r="X1339" s="1340"/>
      <c r="Y1339" s="1340"/>
      <c r="Z1339" s="181" t="s">
        <v>103</v>
      </c>
      <c r="AA1339" s="780" t="s">
        <v>89</v>
      </c>
      <c r="AB1339" s="779" t="s">
        <v>1142</v>
      </c>
      <c r="AC1339" s="237">
        <v>653.50681391680098</v>
      </c>
      <c r="AD1339" s="779" t="str">
        <f>AB1339</f>
        <v xml:space="preserve">  Доход от взимания платы за негативное воздействие на работу централизованной системы водоотведения</v>
      </c>
      <c r="AE1339" s="237">
        <v>0</v>
      </c>
      <c r="AF1339" s="1351"/>
      <c r="AG1339" s="1353"/>
      <c r="AH1339" s="1353"/>
      <c r="AI1339" s="1351"/>
      <c r="AJ1339" s="1353"/>
      <c r="AK1339" s="1354"/>
      <c r="AL1339" s="772"/>
    </row>
    <row r="1340" spans="1:38" ht="11.25" customHeight="1">
      <c r="A1340" t="s">
        <v>1019</v>
      </c>
      <c r="E1340" s="557"/>
      <c r="F1340" s="1339"/>
      <c r="G1340" s="1340"/>
      <c r="H1340" s="1335" t="s">
        <v>92</v>
      </c>
      <c r="I1340" s="1347"/>
      <c r="J1340" s="1363"/>
      <c r="K1340" s="1349"/>
      <c r="L1340" s="1079"/>
      <c r="M1340" s="1080"/>
      <c r="N1340" s="1355"/>
      <c r="O1340" s="1356"/>
      <c r="P1340" s="1359"/>
      <c r="Q1340" s="1308"/>
      <c r="R1340" s="1308"/>
      <c r="S1340" s="1361"/>
      <c r="T1340" s="1308"/>
      <c r="U1340" s="1308"/>
      <c r="V1340" s="1308"/>
      <c r="W1340" s="1308"/>
      <c r="X1340" s="1308"/>
      <c r="Y1340" s="1308"/>
      <c r="Z1340" s="229"/>
      <c r="AA1340" s="230"/>
      <c r="AB1340" s="44" t="s">
        <v>1059</v>
      </c>
      <c r="AC1340" s="231"/>
      <c r="AD1340" s="231"/>
      <c r="AE1340" s="246"/>
      <c r="AF1340" s="1350"/>
      <c r="AG1340" s="1352"/>
      <c r="AH1340" s="1352"/>
      <c r="AI1340" s="1350"/>
      <c r="AJ1340" s="1352"/>
      <c r="AK1340" s="1352"/>
      <c r="AL1340" s="772"/>
    </row>
    <row r="1341" spans="1:38" ht="11.25" customHeight="1">
      <c r="A1341" t="s">
        <v>1019</v>
      </c>
      <c r="E1341" s="557"/>
      <c r="F1341" s="1339"/>
      <c r="G1341" s="1340"/>
      <c r="H1341" s="1335" t="s">
        <v>92</v>
      </c>
      <c r="I1341" s="1347"/>
      <c r="J1341" s="1363"/>
      <c r="K1341" s="1349"/>
      <c r="L1341" s="1079"/>
      <c r="M1341" s="1080"/>
      <c r="N1341" s="229"/>
      <c r="O1341" s="230"/>
      <c r="P1341" s="44" t="s">
        <v>1060</v>
      </c>
      <c r="Q1341" s="230"/>
      <c r="R1341" s="230"/>
      <c r="S1341" s="230"/>
      <c r="T1341" s="230"/>
      <c r="U1341" s="230"/>
      <c r="V1341" s="230"/>
      <c r="W1341" s="230"/>
      <c r="X1341" s="230"/>
      <c r="Y1341" s="230"/>
      <c r="Z1341" s="230"/>
      <c r="AA1341" s="230"/>
      <c r="AB1341" s="230"/>
      <c r="AC1341" s="230"/>
      <c r="AD1341" s="230"/>
      <c r="AE1341" s="247"/>
      <c r="AF1341" s="1350"/>
      <c r="AG1341" s="1352"/>
      <c r="AH1341" s="1352"/>
      <c r="AI1341" s="1350"/>
      <c r="AJ1341" s="1352"/>
      <c r="AK1341" s="1352"/>
      <c r="AL1341" s="772"/>
    </row>
    <row r="1342" spans="1:38" ht="11.25" customHeight="1">
      <c r="A1342" t="s">
        <v>1019</v>
      </c>
      <c r="B1342" t="s">
        <v>1051</v>
      </c>
      <c r="E1342" s="557"/>
      <c r="F1342" s="1339"/>
      <c r="G1342" s="1325" t="s">
        <v>103</v>
      </c>
      <c r="H1342" s="1335" t="s">
        <v>158</v>
      </c>
      <c r="I1342" s="1347" t="s">
        <v>1052</v>
      </c>
      <c r="J1342" s="1363" t="s">
        <v>1053</v>
      </c>
      <c r="K1342" s="1349" t="s">
        <v>1200</v>
      </c>
      <c r="L1342" s="1079" t="s">
        <v>19</v>
      </c>
      <c r="M1342" s="1080"/>
      <c r="N1342" s="242"/>
      <c r="O1342" s="243" t="s">
        <v>384</v>
      </c>
      <c r="P1342" s="244"/>
      <c r="Q1342" s="244"/>
      <c r="R1342" s="244"/>
      <c r="S1342" s="244"/>
      <c r="T1342" s="244"/>
      <c r="U1342" s="244"/>
      <c r="V1342" s="244"/>
      <c r="W1342" s="244"/>
      <c r="X1342" s="244"/>
      <c r="Y1342" s="244"/>
      <c r="Z1342" s="244"/>
      <c r="AA1342" s="244"/>
      <c r="AB1342" s="244"/>
      <c r="AC1342" s="244"/>
      <c r="AD1342" s="244"/>
      <c r="AE1342" s="244"/>
      <c r="AF1342" s="1350">
        <v>1</v>
      </c>
      <c r="AG1342" s="1352" t="s">
        <v>1055</v>
      </c>
      <c r="AH1342" s="1352" t="s">
        <v>1103</v>
      </c>
      <c r="AI1342" s="1350">
        <v>1</v>
      </c>
      <c r="AJ1342" s="1352" t="s">
        <v>1055</v>
      </c>
      <c r="AK1342" s="1352" t="s">
        <v>1103</v>
      </c>
      <c r="AL1342" s="772"/>
    </row>
    <row r="1343" spans="1:38" ht="11.25" customHeight="1">
      <c r="A1343" t="s">
        <v>1019</v>
      </c>
      <c r="E1343" s="557"/>
      <c r="F1343" s="1339"/>
      <c r="G1343" s="1340"/>
      <c r="H1343" s="1335" t="s">
        <v>116</v>
      </c>
      <c r="I1343" s="1347"/>
      <c r="J1343" s="1363"/>
      <c r="K1343" s="1349"/>
      <c r="L1343" s="1079"/>
      <c r="M1343" s="1080"/>
      <c r="N1343" s="1355"/>
      <c r="O1343" s="1356">
        <v>1</v>
      </c>
      <c r="P1343" s="1357" t="s">
        <v>19</v>
      </c>
      <c r="Q1343" s="1308" t="s">
        <v>22</v>
      </c>
      <c r="R1343" s="1308" t="s">
        <v>22</v>
      </c>
      <c r="S1343" s="1308" t="s">
        <v>22</v>
      </c>
      <c r="T1343" s="1308" t="s">
        <v>22</v>
      </c>
      <c r="U1343" s="1308" t="s">
        <v>22</v>
      </c>
      <c r="V1343" s="1308" t="s">
        <v>22</v>
      </c>
      <c r="W1343" s="1308" t="s">
        <v>22</v>
      </c>
      <c r="X1343" s="1308" t="s">
        <v>22</v>
      </c>
      <c r="Y1343" s="1308"/>
      <c r="Z1343" s="229"/>
      <c r="AA1343" s="230"/>
      <c r="AB1343" s="230"/>
      <c r="AC1343" s="231"/>
      <c r="AD1343" s="231"/>
      <c r="AE1343" s="245"/>
      <c r="AF1343" s="1350"/>
      <c r="AG1343" s="1352"/>
      <c r="AH1343" s="1352"/>
      <c r="AI1343" s="1350"/>
      <c r="AJ1343" s="1352"/>
      <c r="AK1343" s="1352"/>
      <c r="AL1343" s="772"/>
    </row>
    <row r="1344" spans="1:38" ht="11.25" customHeight="1">
      <c r="A1344" t="s">
        <v>1019</v>
      </c>
      <c r="E1344" s="557"/>
      <c r="F1344" s="1339"/>
      <c r="G1344" s="1340"/>
      <c r="H1344" s="1335" t="s">
        <v>116</v>
      </c>
      <c r="I1344" s="1347"/>
      <c r="J1344" s="1363"/>
      <c r="K1344" s="1349"/>
      <c r="L1344" s="1079"/>
      <c r="M1344" s="1080"/>
      <c r="N1344" s="1355"/>
      <c r="O1344" s="1356"/>
      <c r="P1344" s="1358"/>
      <c r="Q1344" s="1308"/>
      <c r="R1344" s="1308"/>
      <c r="S1344" s="1361"/>
      <c r="T1344" s="1308"/>
      <c r="U1344" s="1308"/>
      <c r="V1344" s="1308"/>
      <c r="W1344" s="1308"/>
      <c r="X1344" s="1308"/>
      <c r="Y1344" s="1308"/>
      <c r="AA1344" s="778">
        <v>1</v>
      </c>
      <c r="AB1344" s="779" t="s">
        <v>1119</v>
      </c>
      <c r="AC1344" s="237">
        <v>94357.152531714397</v>
      </c>
      <c r="AD1344" s="779" t="str">
        <f>AB1344</f>
        <v xml:space="preserve">  Прибыль направляемая на инвестиции</v>
      </c>
      <c r="AE1344" s="237">
        <v>0</v>
      </c>
      <c r="AF1344" s="1350"/>
      <c r="AG1344" s="1352"/>
      <c r="AH1344" s="1352"/>
      <c r="AI1344" s="1350"/>
      <c r="AJ1344" s="1352"/>
      <c r="AK1344" s="1352"/>
      <c r="AL1344" s="772"/>
    </row>
    <row r="1345" spans="1:38" ht="11.25" customHeight="1">
      <c r="A1345" t="s">
        <v>1019</v>
      </c>
      <c r="E1345" s="557"/>
      <c r="F1345" s="1340"/>
      <c r="G1345" s="1340"/>
      <c r="H1345" s="1340"/>
      <c r="I1345" s="1340"/>
      <c r="J1345" s="1340"/>
      <c r="K1345" s="1340"/>
      <c r="L1345" s="1340"/>
      <c r="M1345" s="1340"/>
      <c r="N1345" s="1340"/>
      <c r="O1345" s="1340"/>
      <c r="P1345" s="1340"/>
      <c r="Q1345" s="1340"/>
      <c r="R1345" s="1340"/>
      <c r="S1345" s="1340"/>
      <c r="T1345" s="1340"/>
      <c r="U1345" s="1340"/>
      <c r="V1345" s="1340"/>
      <c r="W1345" s="1340"/>
      <c r="X1345" s="1340"/>
      <c r="Y1345" s="1340"/>
      <c r="Z1345" s="181" t="s">
        <v>103</v>
      </c>
      <c r="AA1345" s="780" t="s">
        <v>102</v>
      </c>
      <c r="AB1345" s="779" t="s">
        <v>1120</v>
      </c>
      <c r="AC1345" s="237">
        <v>20585.971148029599</v>
      </c>
      <c r="AD1345" s="779" t="str">
        <f>AB1345</f>
        <v xml:space="preserve">     Прочие амортизационные отчисления</v>
      </c>
      <c r="AE1345" s="237">
        <v>0</v>
      </c>
      <c r="AF1345" s="1351"/>
      <c r="AG1345" s="1353"/>
      <c r="AH1345" s="1353"/>
      <c r="AI1345" s="1351"/>
      <c r="AJ1345" s="1353"/>
      <c r="AK1345" s="1354"/>
      <c r="AL1345" s="772"/>
    </row>
    <row r="1346" spans="1:38" ht="11.25" customHeight="1">
      <c r="A1346" t="s">
        <v>1019</v>
      </c>
      <c r="E1346" s="557"/>
      <c r="F1346" s="1340"/>
      <c r="G1346" s="1340"/>
      <c r="H1346" s="1340"/>
      <c r="I1346" s="1340"/>
      <c r="J1346" s="1340"/>
      <c r="K1346" s="1340"/>
      <c r="L1346" s="1340"/>
      <c r="M1346" s="1340"/>
      <c r="N1346" s="1340"/>
      <c r="O1346" s="1340"/>
      <c r="P1346" s="1340"/>
      <c r="Q1346" s="1340"/>
      <c r="R1346" s="1340"/>
      <c r="S1346" s="1340"/>
      <c r="T1346" s="1340"/>
      <c r="U1346" s="1340"/>
      <c r="V1346" s="1340"/>
      <c r="W1346" s="1340"/>
      <c r="X1346" s="1340"/>
      <c r="Y1346" s="1340"/>
      <c r="Z1346" s="181" t="s">
        <v>103</v>
      </c>
      <c r="AA1346" s="780" t="s">
        <v>89</v>
      </c>
      <c r="AB1346" s="779" t="s">
        <v>1142</v>
      </c>
      <c r="AC1346" s="237">
        <v>5915.8031760735403</v>
      </c>
      <c r="AD1346" s="779" t="str">
        <f>AB1346</f>
        <v xml:space="preserve">  Доход от взимания платы за негативное воздействие на работу централизованной системы водоотведения</v>
      </c>
      <c r="AE1346" s="237">
        <v>0</v>
      </c>
      <c r="AF1346" s="1351"/>
      <c r="AG1346" s="1353"/>
      <c r="AH1346" s="1353"/>
      <c r="AI1346" s="1351"/>
      <c r="AJ1346" s="1353"/>
      <c r="AK1346" s="1354"/>
      <c r="AL1346" s="772"/>
    </row>
    <row r="1347" spans="1:38" ht="11.25" customHeight="1">
      <c r="A1347" t="s">
        <v>1019</v>
      </c>
      <c r="E1347" s="557"/>
      <c r="F1347" s="1339"/>
      <c r="G1347" s="1340"/>
      <c r="H1347" s="1335" t="s">
        <v>116</v>
      </c>
      <c r="I1347" s="1347"/>
      <c r="J1347" s="1363"/>
      <c r="K1347" s="1349"/>
      <c r="L1347" s="1079"/>
      <c r="M1347" s="1080"/>
      <c r="N1347" s="1355"/>
      <c r="O1347" s="1356"/>
      <c r="P1347" s="1359"/>
      <c r="Q1347" s="1308"/>
      <c r="R1347" s="1308"/>
      <c r="S1347" s="1361"/>
      <c r="T1347" s="1308"/>
      <c r="U1347" s="1308"/>
      <c r="V1347" s="1308"/>
      <c r="W1347" s="1308"/>
      <c r="X1347" s="1308"/>
      <c r="Y1347" s="1308"/>
      <c r="Z1347" s="229"/>
      <c r="AA1347" s="230"/>
      <c r="AB1347" s="44" t="s">
        <v>1059</v>
      </c>
      <c r="AC1347" s="231"/>
      <c r="AD1347" s="231"/>
      <c r="AE1347" s="246"/>
      <c r="AF1347" s="1350"/>
      <c r="AG1347" s="1352"/>
      <c r="AH1347" s="1352"/>
      <c r="AI1347" s="1350"/>
      <c r="AJ1347" s="1352"/>
      <c r="AK1347" s="1352"/>
      <c r="AL1347" s="772"/>
    </row>
    <row r="1348" spans="1:38" ht="11.25" customHeight="1">
      <c r="A1348" t="s">
        <v>1019</v>
      </c>
      <c r="E1348" s="557"/>
      <c r="F1348" s="1339"/>
      <c r="G1348" s="1340"/>
      <c r="H1348" s="1335" t="s">
        <v>116</v>
      </c>
      <c r="I1348" s="1347"/>
      <c r="J1348" s="1363"/>
      <c r="K1348" s="1349"/>
      <c r="L1348" s="1079"/>
      <c r="M1348" s="1080"/>
      <c r="N1348" s="229"/>
      <c r="O1348" s="230"/>
      <c r="P1348" s="44" t="s">
        <v>1060</v>
      </c>
      <c r="Q1348" s="230"/>
      <c r="R1348" s="230"/>
      <c r="S1348" s="230"/>
      <c r="T1348" s="230"/>
      <c r="U1348" s="230"/>
      <c r="V1348" s="230"/>
      <c r="W1348" s="230"/>
      <c r="X1348" s="230"/>
      <c r="Y1348" s="230"/>
      <c r="Z1348" s="230"/>
      <c r="AA1348" s="230"/>
      <c r="AB1348" s="230"/>
      <c r="AC1348" s="230"/>
      <c r="AD1348" s="230"/>
      <c r="AE1348" s="247"/>
      <c r="AF1348" s="1350"/>
      <c r="AG1348" s="1352"/>
      <c r="AH1348" s="1352"/>
      <c r="AI1348" s="1350"/>
      <c r="AJ1348" s="1352"/>
      <c r="AK1348" s="1352"/>
      <c r="AL1348" s="772"/>
    </row>
    <row r="1349" spans="1:38" ht="11.25" customHeight="1">
      <c r="A1349" t="s">
        <v>1019</v>
      </c>
      <c r="B1349" t="s">
        <v>1051</v>
      </c>
      <c r="E1349" s="557"/>
      <c r="F1349" s="1339"/>
      <c r="G1349" s="1325" t="s">
        <v>103</v>
      </c>
      <c r="H1349" s="1335" t="s">
        <v>159</v>
      </c>
      <c r="I1349" s="1347" t="s">
        <v>1052</v>
      </c>
      <c r="J1349" s="1363" t="s">
        <v>1053</v>
      </c>
      <c r="K1349" s="1349" t="s">
        <v>1201</v>
      </c>
      <c r="L1349" s="1079" t="s">
        <v>19</v>
      </c>
      <c r="M1349" s="1080"/>
      <c r="N1349" s="242"/>
      <c r="O1349" s="243" t="s">
        <v>384</v>
      </c>
      <c r="P1349" s="244"/>
      <c r="Q1349" s="244"/>
      <c r="R1349" s="244"/>
      <c r="S1349" s="244"/>
      <c r="T1349" s="244"/>
      <c r="U1349" s="244"/>
      <c r="V1349" s="244"/>
      <c r="W1349" s="244"/>
      <c r="X1349" s="244"/>
      <c r="Y1349" s="244"/>
      <c r="Z1349" s="244"/>
      <c r="AA1349" s="244"/>
      <c r="AB1349" s="244"/>
      <c r="AC1349" s="244"/>
      <c r="AD1349" s="244"/>
      <c r="AE1349" s="244"/>
      <c r="AF1349" s="1350">
        <v>1</v>
      </c>
      <c r="AG1349" s="1352" t="s">
        <v>1055</v>
      </c>
      <c r="AH1349" s="1352" t="s">
        <v>1103</v>
      </c>
      <c r="AI1349" s="1350">
        <v>1</v>
      </c>
      <c r="AJ1349" s="1352" t="s">
        <v>1055</v>
      </c>
      <c r="AK1349" s="1352" t="s">
        <v>1103</v>
      </c>
      <c r="AL1349" s="772"/>
    </row>
    <row r="1350" spans="1:38" ht="11.25" customHeight="1">
      <c r="A1350" t="s">
        <v>1019</v>
      </c>
      <c r="E1350" s="557"/>
      <c r="F1350" s="1339"/>
      <c r="G1350" s="1340"/>
      <c r="H1350" s="1335" t="s">
        <v>158</v>
      </c>
      <c r="I1350" s="1347"/>
      <c r="J1350" s="1363"/>
      <c r="K1350" s="1349"/>
      <c r="L1350" s="1079"/>
      <c r="M1350" s="1080"/>
      <c r="N1350" s="1355"/>
      <c r="O1350" s="1356">
        <v>1</v>
      </c>
      <c r="P1350" s="1357" t="s">
        <v>19</v>
      </c>
      <c r="Q1350" s="1308" t="s">
        <v>22</v>
      </c>
      <c r="R1350" s="1308" t="s">
        <v>22</v>
      </c>
      <c r="S1350" s="1308" t="s">
        <v>22</v>
      </c>
      <c r="T1350" s="1308" t="s">
        <v>22</v>
      </c>
      <c r="U1350" s="1308" t="s">
        <v>22</v>
      </c>
      <c r="V1350" s="1308" t="s">
        <v>22</v>
      </c>
      <c r="W1350" s="1308" t="s">
        <v>22</v>
      </c>
      <c r="X1350" s="1308" t="s">
        <v>22</v>
      </c>
      <c r="Y1350" s="1308"/>
      <c r="Z1350" s="229"/>
      <c r="AA1350" s="230"/>
      <c r="AB1350" s="230"/>
      <c r="AC1350" s="231"/>
      <c r="AD1350" s="231"/>
      <c r="AE1350" s="245"/>
      <c r="AF1350" s="1350"/>
      <c r="AG1350" s="1352"/>
      <c r="AH1350" s="1352"/>
      <c r="AI1350" s="1350"/>
      <c r="AJ1350" s="1352"/>
      <c r="AK1350" s="1352"/>
      <c r="AL1350" s="772"/>
    </row>
    <row r="1351" spans="1:38" ht="11.25" customHeight="1">
      <c r="A1351" t="s">
        <v>1019</v>
      </c>
      <c r="E1351" s="557"/>
      <c r="F1351" s="1339"/>
      <c r="G1351" s="1340"/>
      <c r="H1351" s="1335" t="s">
        <v>158</v>
      </c>
      <c r="I1351" s="1347"/>
      <c r="J1351" s="1363"/>
      <c r="K1351" s="1349"/>
      <c r="L1351" s="1079"/>
      <c r="M1351" s="1080"/>
      <c r="N1351" s="1355"/>
      <c r="O1351" s="1356"/>
      <c r="P1351" s="1358"/>
      <c r="Q1351" s="1308"/>
      <c r="R1351" s="1308"/>
      <c r="S1351" s="1361"/>
      <c r="T1351" s="1308"/>
      <c r="U1351" s="1308"/>
      <c r="V1351" s="1308"/>
      <c r="W1351" s="1308"/>
      <c r="X1351" s="1308"/>
      <c r="Y1351" s="1308"/>
      <c r="AA1351" s="778">
        <v>1</v>
      </c>
      <c r="AB1351" s="779" t="s">
        <v>1119</v>
      </c>
      <c r="AC1351" s="237">
        <v>68469.805789903199</v>
      </c>
      <c r="AD1351" s="779" t="str">
        <f>AB1351</f>
        <v xml:space="preserve">  Прибыль направляемая на инвестиции</v>
      </c>
      <c r="AE1351" s="237">
        <v>0</v>
      </c>
      <c r="AF1351" s="1350"/>
      <c r="AG1351" s="1352"/>
      <c r="AH1351" s="1352"/>
      <c r="AI1351" s="1350"/>
      <c r="AJ1351" s="1352"/>
      <c r="AK1351" s="1352"/>
      <c r="AL1351" s="772"/>
    </row>
    <row r="1352" spans="1:38" ht="11.25" customHeight="1">
      <c r="A1352" t="s">
        <v>1019</v>
      </c>
      <c r="E1352" s="557"/>
      <c r="F1352" s="1340"/>
      <c r="G1352" s="1340"/>
      <c r="H1352" s="1340"/>
      <c r="I1352" s="1340"/>
      <c r="J1352" s="1340"/>
      <c r="K1352" s="1340"/>
      <c r="L1352" s="1340"/>
      <c r="M1352" s="1340"/>
      <c r="N1352" s="1340"/>
      <c r="O1352" s="1340"/>
      <c r="P1352" s="1340"/>
      <c r="Q1352" s="1340"/>
      <c r="R1352" s="1340"/>
      <c r="S1352" s="1340"/>
      <c r="T1352" s="1340"/>
      <c r="U1352" s="1340"/>
      <c r="V1352" s="1340"/>
      <c r="W1352" s="1340"/>
      <c r="X1352" s="1340"/>
      <c r="Y1352" s="1340"/>
      <c r="Z1352" s="181" t="s">
        <v>103</v>
      </c>
      <c r="AA1352" s="780" t="s">
        <v>102</v>
      </c>
      <c r="AB1352" s="779" t="s">
        <v>1120</v>
      </c>
      <c r="AC1352" s="237">
        <v>14938.109180736299</v>
      </c>
      <c r="AD1352" s="779" t="str">
        <f>AB1352</f>
        <v xml:space="preserve">     Прочие амортизационные отчисления</v>
      </c>
      <c r="AE1352" s="237">
        <v>0</v>
      </c>
      <c r="AF1352" s="1351"/>
      <c r="AG1352" s="1353"/>
      <c r="AH1352" s="1353"/>
      <c r="AI1352" s="1351"/>
      <c r="AJ1352" s="1353"/>
      <c r="AK1352" s="1354"/>
      <c r="AL1352" s="772"/>
    </row>
    <row r="1353" spans="1:38" ht="11.25" customHeight="1">
      <c r="A1353" t="s">
        <v>1019</v>
      </c>
      <c r="E1353" s="557"/>
      <c r="F1353" s="1340"/>
      <c r="G1353" s="1340"/>
      <c r="H1353" s="1340"/>
      <c r="I1353" s="1340"/>
      <c r="J1353" s="1340"/>
      <c r="K1353" s="1340"/>
      <c r="L1353" s="1340"/>
      <c r="M1353" s="1340"/>
      <c r="N1353" s="1340"/>
      <c r="O1353" s="1340"/>
      <c r="P1353" s="1340"/>
      <c r="Q1353" s="1340"/>
      <c r="R1353" s="1340"/>
      <c r="S1353" s="1340"/>
      <c r="T1353" s="1340"/>
      <c r="U1353" s="1340"/>
      <c r="V1353" s="1340"/>
      <c r="W1353" s="1340"/>
      <c r="X1353" s="1340"/>
      <c r="Y1353" s="1340"/>
      <c r="Z1353" s="181" t="s">
        <v>103</v>
      </c>
      <c r="AA1353" s="780" t="s">
        <v>89</v>
      </c>
      <c r="AB1353" s="779" t="s">
        <v>1142</v>
      </c>
      <c r="AC1353" s="237">
        <v>4292.7736126935997</v>
      </c>
      <c r="AD1353" s="779" t="str">
        <f>AB1353</f>
        <v xml:space="preserve">  Доход от взимания платы за негативное воздействие на работу централизованной системы водоотведения</v>
      </c>
      <c r="AE1353" s="237">
        <v>0</v>
      </c>
      <c r="AF1353" s="1351"/>
      <c r="AG1353" s="1353"/>
      <c r="AH1353" s="1353"/>
      <c r="AI1353" s="1351"/>
      <c r="AJ1353" s="1353"/>
      <c r="AK1353" s="1354"/>
      <c r="AL1353" s="772"/>
    </row>
    <row r="1354" spans="1:38" ht="11.25" customHeight="1">
      <c r="A1354" t="s">
        <v>1019</v>
      </c>
      <c r="E1354" s="557"/>
      <c r="F1354" s="1339"/>
      <c r="G1354" s="1340"/>
      <c r="H1354" s="1335" t="s">
        <v>158</v>
      </c>
      <c r="I1354" s="1347"/>
      <c r="J1354" s="1363"/>
      <c r="K1354" s="1349"/>
      <c r="L1354" s="1079"/>
      <c r="M1354" s="1080"/>
      <c r="N1354" s="1355"/>
      <c r="O1354" s="1356"/>
      <c r="P1354" s="1359"/>
      <c r="Q1354" s="1308"/>
      <c r="R1354" s="1308"/>
      <c r="S1354" s="1361"/>
      <c r="T1354" s="1308"/>
      <c r="U1354" s="1308"/>
      <c r="V1354" s="1308"/>
      <c r="W1354" s="1308"/>
      <c r="X1354" s="1308"/>
      <c r="Y1354" s="1308"/>
      <c r="Z1354" s="229"/>
      <c r="AA1354" s="230"/>
      <c r="AB1354" s="44" t="s">
        <v>1059</v>
      </c>
      <c r="AC1354" s="231"/>
      <c r="AD1354" s="231"/>
      <c r="AE1354" s="246"/>
      <c r="AF1354" s="1350"/>
      <c r="AG1354" s="1352"/>
      <c r="AH1354" s="1352"/>
      <c r="AI1354" s="1350"/>
      <c r="AJ1354" s="1352"/>
      <c r="AK1354" s="1352"/>
      <c r="AL1354" s="772"/>
    </row>
    <row r="1355" spans="1:38" ht="11.25" customHeight="1">
      <c r="A1355" t="s">
        <v>1019</v>
      </c>
      <c r="E1355" s="557"/>
      <c r="F1355" s="1339"/>
      <c r="G1355" s="1340"/>
      <c r="H1355" s="1335" t="s">
        <v>158</v>
      </c>
      <c r="I1355" s="1347"/>
      <c r="J1355" s="1363"/>
      <c r="K1355" s="1349"/>
      <c r="L1355" s="1079"/>
      <c r="M1355" s="1080"/>
      <c r="N1355" s="229"/>
      <c r="O1355" s="230"/>
      <c r="P1355" s="44" t="s">
        <v>1060</v>
      </c>
      <c r="Q1355" s="230"/>
      <c r="R1355" s="230"/>
      <c r="S1355" s="230"/>
      <c r="T1355" s="230"/>
      <c r="U1355" s="230"/>
      <c r="V1355" s="230"/>
      <c r="W1355" s="230"/>
      <c r="X1355" s="230"/>
      <c r="Y1355" s="230"/>
      <c r="Z1355" s="230"/>
      <c r="AA1355" s="230"/>
      <c r="AB1355" s="230"/>
      <c r="AC1355" s="230"/>
      <c r="AD1355" s="230"/>
      <c r="AE1355" s="247"/>
      <c r="AF1355" s="1350"/>
      <c r="AG1355" s="1352"/>
      <c r="AH1355" s="1352"/>
      <c r="AI1355" s="1350"/>
      <c r="AJ1355" s="1352"/>
      <c r="AK1355" s="1352"/>
      <c r="AL1355" s="772"/>
    </row>
    <row r="1356" spans="1:38" ht="11.25" customHeight="1">
      <c r="A1356" t="s">
        <v>1019</v>
      </c>
      <c r="B1356" t="s">
        <v>1051</v>
      </c>
      <c r="E1356" s="557"/>
      <c r="F1356" s="1339"/>
      <c r="G1356" s="1325" t="s">
        <v>103</v>
      </c>
      <c r="H1356" s="1335" t="s">
        <v>160</v>
      </c>
      <c r="I1356" s="1347" t="s">
        <v>1052</v>
      </c>
      <c r="J1356" s="1363" t="s">
        <v>1093</v>
      </c>
      <c r="K1356" s="1349" t="s">
        <v>1094</v>
      </c>
      <c r="L1356" s="1079" t="s">
        <v>61</v>
      </c>
      <c r="M1356" s="1364" t="s">
        <v>1018</v>
      </c>
      <c r="N1356" s="242"/>
      <c r="O1356" s="243" t="s">
        <v>384</v>
      </c>
      <c r="P1356" s="244"/>
      <c r="Q1356" s="244"/>
      <c r="R1356" s="244"/>
      <c r="S1356" s="244"/>
      <c r="T1356" s="244"/>
      <c r="U1356" s="244"/>
      <c r="V1356" s="244"/>
      <c r="W1356" s="244"/>
      <c r="X1356" s="244"/>
      <c r="Y1356" s="244"/>
      <c r="Z1356" s="244"/>
      <c r="AA1356" s="244"/>
      <c r="AB1356" s="244"/>
      <c r="AC1356" s="244"/>
      <c r="AD1356" s="244"/>
      <c r="AE1356" s="244"/>
      <c r="AF1356" s="1350">
        <v>4</v>
      </c>
      <c r="AG1356" s="1352" t="s">
        <v>1055</v>
      </c>
      <c r="AH1356" s="1352" t="s">
        <v>1095</v>
      </c>
      <c r="AI1356" s="1350">
        <v>4</v>
      </c>
      <c r="AJ1356" s="1352" t="s">
        <v>1055</v>
      </c>
      <c r="AK1356" s="1352" t="s">
        <v>1095</v>
      </c>
      <c r="AL1356" s="772"/>
    </row>
    <row r="1357" spans="1:38" ht="11.25" customHeight="1">
      <c r="A1357" t="s">
        <v>1019</v>
      </c>
      <c r="E1357" s="557"/>
      <c r="F1357" s="1339"/>
      <c r="G1357" s="1340"/>
      <c r="H1357" s="1335" t="s">
        <v>159</v>
      </c>
      <c r="I1357" s="1347"/>
      <c r="J1357" s="1363"/>
      <c r="K1357" s="1349"/>
      <c r="L1357" s="1079"/>
      <c r="M1357" s="1364"/>
      <c r="N1357" s="1355"/>
      <c r="O1357" s="1356">
        <v>1</v>
      </c>
      <c r="P1357" s="1357" t="s">
        <v>19</v>
      </c>
      <c r="Q1357" s="1308" t="s">
        <v>22</v>
      </c>
      <c r="R1357" s="1308" t="s">
        <v>22</v>
      </c>
      <c r="S1357" s="1308" t="s">
        <v>22</v>
      </c>
      <c r="T1357" s="1308" t="s">
        <v>22</v>
      </c>
      <c r="U1357" s="1308" t="s">
        <v>22</v>
      </c>
      <c r="V1357" s="1308" t="s">
        <v>22</v>
      </c>
      <c r="W1357" s="1308" t="s">
        <v>22</v>
      </c>
      <c r="X1357" s="1308" t="s">
        <v>22</v>
      </c>
      <c r="Y1357" s="1308"/>
      <c r="Z1357" s="229"/>
      <c r="AA1357" s="230"/>
      <c r="AB1357" s="230"/>
      <c r="AC1357" s="231"/>
      <c r="AD1357" s="231"/>
      <c r="AE1357" s="245"/>
      <c r="AF1357" s="1350"/>
      <c r="AG1357" s="1352"/>
      <c r="AH1357" s="1352"/>
      <c r="AI1357" s="1350"/>
      <c r="AJ1357" s="1352"/>
      <c r="AK1357" s="1352"/>
      <c r="AL1357" s="772"/>
    </row>
    <row r="1358" spans="1:38" ht="11.25" customHeight="1">
      <c r="A1358" t="s">
        <v>1019</v>
      </c>
      <c r="E1358" s="557"/>
      <c r="F1358" s="1339"/>
      <c r="G1358" s="1340"/>
      <c r="H1358" s="1335" t="s">
        <v>159</v>
      </c>
      <c r="I1358" s="1347"/>
      <c r="J1358" s="1363"/>
      <c r="K1358" s="1349"/>
      <c r="L1358" s="1079"/>
      <c r="M1358" s="1364"/>
      <c r="N1358" s="1355"/>
      <c r="O1358" s="1356"/>
      <c r="P1358" s="1358"/>
      <c r="Q1358" s="1308"/>
      <c r="R1358" s="1308"/>
      <c r="S1358" s="1361"/>
      <c r="T1358" s="1308"/>
      <c r="U1358" s="1308"/>
      <c r="V1358" s="1308"/>
      <c r="W1358" s="1308"/>
      <c r="X1358" s="1308"/>
      <c r="Y1358" s="1308"/>
      <c r="AA1358" s="778">
        <v>1</v>
      </c>
      <c r="AB1358" s="779" t="s">
        <v>1119</v>
      </c>
      <c r="AC1358" s="237">
        <v>80469.739996619901</v>
      </c>
      <c r="AD1358" s="779" t="str">
        <f>AB1358</f>
        <v xml:space="preserve">  Прибыль направляемая на инвестиции</v>
      </c>
      <c r="AE1358" s="237">
        <v>0</v>
      </c>
      <c r="AF1358" s="1350"/>
      <c r="AG1358" s="1352"/>
      <c r="AH1358" s="1352"/>
      <c r="AI1358" s="1350"/>
      <c r="AJ1358" s="1352"/>
      <c r="AK1358" s="1352"/>
      <c r="AL1358" s="772"/>
    </row>
    <row r="1359" spans="1:38" ht="11.25" customHeight="1">
      <c r="A1359" t="s">
        <v>1019</v>
      </c>
      <c r="E1359" s="557"/>
      <c r="F1359" s="1340"/>
      <c r="G1359" s="1340"/>
      <c r="H1359" s="1340"/>
      <c r="I1359" s="1340"/>
      <c r="J1359" s="1340"/>
      <c r="K1359" s="1340"/>
      <c r="L1359" s="1340"/>
      <c r="M1359" s="1365"/>
      <c r="N1359" s="1340"/>
      <c r="O1359" s="1340"/>
      <c r="P1359" s="1340"/>
      <c r="Q1359" s="1340"/>
      <c r="R1359" s="1340"/>
      <c r="S1359" s="1340"/>
      <c r="T1359" s="1340"/>
      <c r="U1359" s="1340"/>
      <c r="V1359" s="1340"/>
      <c r="W1359" s="1340"/>
      <c r="X1359" s="1340"/>
      <c r="Y1359" s="1340"/>
      <c r="Z1359" s="181" t="s">
        <v>103</v>
      </c>
      <c r="AA1359" s="780" t="s">
        <v>102</v>
      </c>
      <c r="AB1359" s="779" t="s">
        <v>1120</v>
      </c>
      <c r="AC1359" s="237">
        <v>17556.143879003601</v>
      </c>
      <c r="AD1359" s="779" t="str">
        <f>AB1359</f>
        <v xml:space="preserve">     Прочие амортизационные отчисления</v>
      </c>
      <c r="AE1359" s="237">
        <v>0</v>
      </c>
      <c r="AF1359" s="1351"/>
      <c r="AG1359" s="1353"/>
      <c r="AH1359" s="1353"/>
      <c r="AI1359" s="1351"/>
      <c r="AJ1359" s="1353"/>
      <c r="AK1359" s="1354"/>
      <c r="AL1359" s="772"/>
    </row>
    <row r="1360" spans="1:38" ht="11.25" customHeight="1">
      <c r="A1360" t="s">
        <v>1019</v>
      </c>
      <c r="E1360" s="557"/>
      <c r="F1360" s="1340"/>
      <c r="G1360" s="1340"/>
      <c r="H1360" s="1340"/>
      <c r="I1360" s="1340"/>
      <c r="J1360" s="1340"/>
      <c r="K1360" s="1340"/>
      <c r="L1360" s="1340"/>
      <c r="M1360" s="1365"/>
      <c r="N1360" s="1340"/>
      <c r="O1360" s="1340"/>
      <c r="P1360" s="1340"/>
      <c r="Q1360" s="1340"/>
      <c r="R1360" s="1340"/>
      <c r="S1360" s="1340"/>
      <c r="T1360" s="1340"/>
      <c r="U1360" s="1340"/>
      <c r="V1360" s="1340"/>
      <c r="W1360" s="1340"/>
      <c r="X1360" s="1340"/>
      <c r="Y1360" s="1340"/>
      <c r="Z1360" s="181" t="s">
        <v>103</v>
      </c>
      <c r="AA1360" s="780" t="s">
        <v>89</v>
      </c>
      <c r="AB1360" s="779" t="s">
        <v>1142</v>
      </c>
      <c r="AC1360" s="237">
        <v>5045.1198523589801</v>
      </c>
      <c r="AD1360" s="779" t="str">
        <f>AB1360</f>
        <v xml:space="preserve">  Доход от взимания платы за негативное воздействие на работу централизованной системы водоотведения</v>
      </c>
      <c r="AE1360" s="237">
        <v>0</v>
      </c>
      <c r="AF1360" s="1351"/>
      <c r="AG1360" s="1353"/>
      <c r="AH1360" s="1353"/>
      <c r="AI1360" s="1351"/>
      <c r="AJ1360" s="1353"/>
      <c r="AK1360" s="1354"/>
      <c r="AL1360" s="772"/>
    </row>
    <row r="1361" spans="1:38" ht="11.25" customHeight="1">
      <c r="A1361" t="s">
        <v>1019</v>
      </c>
      <c r="E1361" s="557"/>
      <c r="F1361" s="1339"/>
      <c r="G1361" s="1340"/>
      <c r="H1361" s="1335" t="s">
        <v>159</v>
      </c>
      <c r="I1361" s="1347"/>
      <c r="J1361" s="1363"/>
      <c r="K1361" s="1349"/>
      <c r="L1361" s="1079"/>
      <c r="M1361" s="1364"/>
      <c r="N1361" s="1355"/>
      <c r="O1361" s="1356"/>
      <c r="P1361" s="1359"/>
      <c r="Q1361" s="1308"/>
      <c r="R1361" s="1308"/>
      <c r="S1361" s="1361"/>
      <c r="T1361" s="1308"/>
      <c r="U1361" s="1308"/>
      <c r="V1361" s="1308"/>
      <c r="W1361" s="1308"/>
      <c r="X1361" s="1308"/>
      <c r="Y1361" s="1308"/>
      <c r="Z1361" s="229"/>
      <c r="AA1361" s="230"/>
      <c r="AB1361" s="44" t="s">
        <v>1059</v>
      </c>
      <c r="AC1361" s="231"/>
      <c r="AD1361" s="231"/>
      <c r="AE1361" s="246"/>
      <c r="AF1361" s="1350"/>
      <c r="AG1361" s="1352"/>
      <c r="AH1361" s="1352"/>
      <c r="AI1361" s="1350"/>
      <c r="AJ1361" s="1352"/>
      <c r="AK1361" s="1352"/>
      <c r="AL1361" s="772"/>
    </row>
    <row r="1362" spans="1:38" ht="11.25" customHeight="1">
      <c r="A1362" t="s">
        <v>1019</v>
      </c>
      <c r="E1362" s="557"/>
      <c r="F1362" s="1339"/>
      <c r="G1362" s="1340"/>
      <c r="H1362" s="1335" t="s">
        <v>159</v>
      </c>
      <c r="I1362" s="1347"/>
      <c r="J1362" s="1363"/>
      <c r="K1362" s="1349"/>
      <c r="L1362" s="1079"/>
      <c r="M1362" s="1364"/>
      <c r="N1362" s="229"/>
      <c r="O1362" s="230"/>
      <c r="P1362" s="44" t="s">
        <v>1060</v>
      </c>
      <c r="Q1362" s="230"/>
      <c r="R1362" s="230"/>
      <c r="S1362" s="230"/>
      <c r="T1362" s="230"/>
      <c r="U1362" s="230"/>
      <c r="V1362" s="230"/>
      <c r="W1362" s="230"/>
      <c r="X1362" s="230"/>
      <c r="Y1362" s="230"/>
      <c r="Z1362" s="230"/>
      <c r="AA1362" s="230"/>
      <c r="AB1362" s="230"/>
      <c r="AC1362" s="230"/>
      <c r="AD1362" s="230"/>
      <c r="AE1362" s="247"/>
      <c r="AF1362" s="1350"/>
      <c r="AG1362" s="1352"/>
      <c r="AH1362" s="1352"/>
      <c r="AI1362" s="1350"/>
      <c r="AJ1362" s="1352"/>
      <c r="AK1362" s="1352"/>
      <c r="AL1362" s="772"/>
    </row>
    <row r="1363" spans="1:38" ht="12" customHeight="1">
      <c r="A1363" s="1030" t="s">
        <v>1019</v>
      </c>
      <c r="E1363" s="557"/>
      <c r="F1363" s="1341"/>
      <c r="G1363" s="775"/>
      <c r="H1363" s="775"/>
      <c r="I1363" s="1337" t="s">
        <v>1070</v>
      </c>
      <c r="J1363" s="1337"/>
      <c r="K1363" s="1337"/>
      <c r="L1363" s="776"/>
      <c r="M1363" s="776"/>
      <c r="N1363" s="777"/>
      <c r="O1363" s="777"/>
      <c r="P1363" s="777"/>
      <c r="Q1363" s="777"/>
      <c r="R1363" s="777"/>
      <c r="S1363" s="777"/>
      <c r="T1363" s="777"/>
      <c r="U1363" s="777"/>
      <c r="V1363" s="777"/>
      <c r="W1363" s="777"/>
      <c r="X1363" s="777"/>
      <c r="Y1363" s="777"/>
      <c r="Z1363" s="777"/>
      <c r="AA1363" s="777"/>
      <c r="AB1363" s="777"/>
      <c r="AC1363" s="777"/>
      <c r="AD1363" s="777"/>
      <c r="AE1363" s="777"/>
      <c r="AF1363" s="777"/>
      <c r="AG1363" s="776"/>
      <c r="AH1363" s="776"/>
      <c r="AI1363" s="777"/>
      <c r="AJ1363" s="776"/>
      <c r="AK1363" s="777"/>
      <c r="AL1363" s="772"/>
    </row>
    <row r="1364" spans="1:38" ht="0.75" customHeight="1">
      <c r="A1364" s="1030" t="s">
        <v>1019</v>
      </c>
      <c r="E1364" s="557"/>
      <c r="F1364" s="1338">
        <v>2028</v>
      </c>
      <c r="G1364" s="1335"/>
      <c r="H1364" s="1343" t="s">
        <v>384</v>
      </c>
      <c r="I1364" s="1344"/>
      <c r="J1364" s="1334"/>
      <c r="K1364" s="1334"/>
      <c r="L1364" s="1336"/>
      <c r="M1364" s="1190"/>
      <c r="N1364" s="214"/>
      <c r="O1364" s="215"/>
      <c r="P1364" s="214"/>
      <c r="Q1364" s="214"/>
      <c r="R1364" s="214"/>
      <c r="S1364" s="214"/>
      <c r="T1364" s="214"/>
      <c r="U1364" s="214"/>
      <c r="V1364" s="214"/>
      <c r="W1364" s="214"/>
      <c r="X1364" s="214"/>
      <c r="Y1364" s="214"/>
      <c r="Z1364" s="214"/>
      <c r="AA1364" s="214"/>
      <c r="AB1364" s="214"/>
      <c r="AC1364" s="214"/>
      <c r="AD1364" s="214"/>
      <c r="AE1364" s="214"/>
      <c r="AF1364" s="1342"/>
      <c r="AG1364" s="1336"/>
      <c r="AH1364" s="1336"/>
      <c r="AI1364" s="1342"/>
      <c r="AJ1364" s="1336"/>
      <c r="AK1364" s="1336"/>
      <c r="AL1364" s="772"/>
    </row>
    <row r="1365" spans="1:38" ht="0.75" customHeight="1">
      <c r="A1365" s="1030" t="s">
        <v>1019</v>
      </c>
      <c r="E1365" s="557"/>
      <c r="F1365" s="1338"/>
      <c r="G1365" s="1335"/>
      <c r="H1365" s="1343"/>
      <c r="I1365" s="1344"/>
      <c r="J1365" s="1334"/>
      <c r="K1365" s="1334"/>
      <c r="L1365" s="1336"/>
      <c r="M1365" s="1190"/>
      <c r="N1365" s="1345"/>
      <c r="O1365" s="1346"/>
      <c r="P1365" s="1331"/>
      <c r="Q1365" s="1334"/>
      <c r="R1365" s="1334"/>
      <c r="S1365" s="1334"/>
      <c r="T1365" s="1334"/>
      <c r="U1365" s="1334"/>
      <c r="V1365" s="1334"/>
      <c r="W1365" s="1334"/>
      <c r="X1365" s="1334"/>
      <c r="Y1365" s="1334"/>
      <c r="Z1365" s="216"/>
      <c r="AA1365" s="217"/>
      <c r="AB1365" s="217"/>
      <c r="AC1365" s="218"/>
      <c r="AD1365" s="218"/>
      <c r="AE1365" s="219"/>
      <c r="AF1365" s="1342"/>
      <c r="AG1365" s="1336"/>
      <c r="AH1365" s="1336"/>
      <c r="AI1365" s="1342"/>
      <c r="AJ1365" s="1336"/>
      <c r="AK1365" s="1336"/>
      <c r="AL1365" s="772"/>
    </row>
    <row r="1366" spans="1:38" ht="0.75" customHeight="1">
      <c r="A1366" s="1030" t="s">
        <v>1019</v>
      </c>
      <c r="E1366" s="557"/>
      <c r="F1366" s="1338"/>
      <c r="G1366" s="1335"/>
      <c r="H1366" s="1343"/>
      <c r="I1366" s="1344"/>
      <c r="J1366" s="1334"/>
      <c r="K1366" s="1334"/>
      <c r="L1366" s="1336"/>
      <c r="M1366" s="1190"/>
      <c r="N1366" s="1345"/>
      <c r="O1366" s="1346"/>
      <c r="P1366" s="1332"/>
      <c r="Q1366" s="1334"/>
      <c r="R1366" s="1334"/>
      <c r="S1366" s="1334"/>
      <c r="T1366" s="1334"/>
      <c r="U1366" s="1334"/>
      <c r="V1366" s="1334"/>
      <c r="W1366" s="1334"/>
      <c r="X1366" s="1334"/>
      <c r="Y1366" s="1334"/>
      <c r="AA1366" s="773"/>
      <c r="AB1366" s="774"/>
      <c r="AC1366" s="220"/>
      <c r="AD1366" s="774"/>
      <c r="AE1366" s="220"/>
      <c r="AF1366" s="1342"/>
      <c r="AG1366" s="1336"/>
      <c r="AH1366" s="1336"/>
      <c r="AI1366" s="1342"/>
      <c r="AJ1366" s="1336"/>
      <c r="AK1366" s="1336"/>
      <c r="AL1366" s="772"/>
    </row>
    <row r="1367" spans="1:38" ht="0.75" customHeight="1">
      <c r="A1367" s="1030" t="s">
        <v>1019</v>
      </c>
      <c r="E1367" s="557"/>
      <c r="F1367" s="1338"/>
      <c r="G1367" s="1335"/>
      <c r="H1367" s="1343"/>
      <c r="I1367" s="1344"/>
      <c r="J1367" s="1334"/>
      <c r="K1367" s="1334"/>
      <c r="L1367" s="1336"/>
      <c r="M1367" s="1190"/>
      <c r="N1367" s="1345"/>
      <c r="O1367" s="1346"/>
      <c r="P1367" s="1333"/>
      <c r="Q1367" s="1334"/>
      <c r="R1367" s="1334"/>
      <c r="S1367" s="1334"/>
      <c r="T1367" s="1334"/>
      <c r="U1367" s="1334"/>
      <c r="V1367" s="1334"/>
      <c r="W1367" s="1334"/>
      <c r="X1367" s="1334"/>
      <c r="Y1367" s="1334"/>
      <c r="Z1367" s="216"/>
      <c r="AA1367" s="217"/>
      <c r="AB1367" s="221"/>
      <c r="AC1367" s="218"/>
      <c r="AD1367" s="218"/>
      <c r="AE1367" s="222"/>
      <c r="AF1367" s="1342"/>
      <c r="AG1367" s="1336"/>
      <c r="AH1367" s="1336"/>
      <c r="AI1367" s="1342"/>
      <c r="AJ1367" s="1336"/>
      <c r="AK1367" s="1336"/>
      <c r="AL1367" s="772"/>
    </row>
    <row r="1368" spans="1:38" ht="0.75" customHeight="1">
      <c r="A1368" s="1030" t="s">
        <v>1019</v>
      </c>
      <c r="E1368" s="557"/>
      <c r="F1368" s="1338"/>
      <c r="G1368" s="1335"/>
      <c r="H1368" s="1343"/>
      <c r="I1368" s="1344"/>
      <c r="J1368" s="1334"/>
      <c r="K1368" s="1334"/>
      <c r="L1368" s="1336"/>
      <c r="M1368" s="1190"/>
      <c r="N1368" s="217"/>
      <c r="O1368" s="217"/>
      <c r="P1368" s="221"/>
      <c r="Q1368" s="217"/>
      <c r="R1368" s="217"/>
      <c r="S1368" s="217"/>
      <c r="T1368" s="217"/>
      <c r="U1368" s="217"/>
      <c r="V1368" s="217"/>
      <c r="W1368" s="217"/>
      <c r="X1368" s="217"/>
      <c r="Y1368" s="217"/>
      <c r="Z1368" s="217"/>
      <c r="AA1368" s="217"/>
      <c r="AB1368" s="217"/>
      <c r="AC1368" s="217"/>
      <c r="AD1368" s="217"/>
      <c r="AE1368" s="223"/>
      <c r="AF1368" s="1342"/>
      <c r="AG1368" s="1336"/>
      <c r="AH1368" s="1336"/>
      <c r="AI1368" s="1342"/>
      <c r="AJ1368" s="1336"/>
      <c r="AK1368" s="1336"/>
      <c r="AL1368" s="772"/>
    </row>
    <row r="1369" spans="1:38" ht="11.25" customHeight="1">
      <c r="A1369" t="s">
        <v>1019</v>
      </c>
      <c r="B1369" t="s">
        <v>1051</v>
      </c>
      <c r="E1369" s="557"/>
      <c r="F1369" s="1339"/>
      <c r="G1369" s="1325" t="s">
        <v>103</v>
      </c>
      <c r="H1369" s="1335" t="s">
        <v>114</v>
      </c>
      <c r="I1369" s="1347" t="s">
        <v>1052</v>
      </c>
      <c r="J1369" s="1363" t="s">
        <v>1093</v>
      </c>
      <c r="K1369" s="1349" t="s">
        <v>1100</v>
      </c>
      <c r="L1369" s="1079" t="s">
        <v>19</v>
      </c>
      <c r="M1369" s="1080"/>
      <c r="N1369" s="242"/>
      <c r="O1369" s="243" t="s">
        <v>384</v>
      </c>
      <c r="P1369" s="244"/>
      <c r="Q1369" s="244"/>
      <c r="R1369" s="244"/>
      <c r="S1369" s="244"/>
      <c r="T1369" s="244"/>
      <c r="U1369" s="244"/>
      <c r="V1369" s="244"/>
      <c r="W1369" s="244"/>
      <c r="X1369" s="244"/>
      <c r="Y1369" s="244"/>
      <c r="Z1369" s="244"/>
      <c r="AA1369" s="244"/>
      <c r="AB1369" s="244"/>
      <c r="AC1369" s="244"/>
      <c r="AD1369" s="244"/>
      <c r="AE1369" s="244"/>
      <c r="AF1369" s="1350">
        <v>1</v>
      </c>
      <c r="AG1369" s="1352" t="s">
        <v>1055</v>
      </c>
      <c r="AH1369" s="1352" t="s">
        <v>1101</v>
      </c>
      <c r="AI1369" s="1350">
        <v>1</v>
      </c>
      <c r="AJ1369" s="1352" t="s">
        <v>1055</v>
      </c>
      <c r="AK1369" s="1352" t="s">
        <v>1101</v>
      </c>
      <c r="AL1369" s="772"/>
    </row>
    <row r="1370" spans="1:38" ht="11.25" customHeight="1">
      <c r="A1370" t="s">
        <v>1019</v>
      </c>
      <c r="E1370" s="557"/>
      <c r="F1370" s="1339"/>
      <c r="G1370" s="1340"/>
      <c r="H1370" s="1335" t="s">
        <v>384</v>
      </c>
      <c r="I1370" s="1347"/>
      <c r="J1370" s="1363"/>
      <c r="K1370" s="1349"/>
      <c r="L1370" s="1079"/>
      <c r="M1370" s="1080"/>
      <c r="N1370" s="1355"/>
      <c r="O1370" s="1356">
        <v>1</v>
      </c>
      <c r="P1370" s="1357" t="s">
        <v>19</v>
      </c>
      <c r="Q1370" s="1308" t="s">
        <v>22</v>
      </c>
      <c r="R1370" s="1308" t="s">
        <v>22</v>
      </c>
      <c r="S1370" s="1308" t="s">
        <v>22</v>
      </c>
      <c r="T1370" s="1308" t="s">
        <v>22</v>
      </c>
      <c r="U1370" s="1308" t="s">
        <v>22</v>
      </c>
      <c r="V1370" s="1308" t="s">
        <v>22</v>
      </c>
      <c r="W1370" s="1308" t="s">
        <v>22</v>
      </c>
      <c r="X1370" s="1308" t="s">
        <v>22</v>
      </c>
      <c r="Y1370" s="1308"/>
      <c r="Z1370" s="229"/>
      <c r="AA1370" s="230"/>
      <c r="AB1370" s="230"/>
      <c r="AC1370" s="231"/>
      <c r="AD1370" s="231"/>
      <c r="AE1370" s="245"/>
      <c r="AF1370" s="1350"/>
      <c r="AG1370" s="1352"/>
      <c r="AH1370" s="1352"/>
      <c r="AI1370" s="1350"/>
      <c r="AJ1370" s="1352"/>
      <c r="AK1370" s="1352"/>
      <c r="AL1370" s="772"/>
    </row>
    <row r="1371" spans="1:38" ht="11.25" customHeight="1">
      <c r="A1371" t="s">
        <v>1019</v>
      </c>
      <c r="E1371" s="557"/>
      <c r="F1371" s="1339"/>
      <c r="G1371" s="1340"/>
      <c r="H1371" s="1335" t="s">
        <v>384</v>
      </c>
      <c r="I1371" s="1347"/>
      <c r="J1371" s="1363"/>
      <c r="K1371" s="1349"/>
      <c r="L1371" s="1079"/>
      <c r="M1371" s="1080"/>
      <c r="N1371" s="1355"/>
      <c r="O1371" s="1356"/>
      <c r="P1371" s="1358"/>
      <c r="Q1371" s="1308"/>
      <c r="R1371" s="1308"/>
      <c r="S1371" s="1361"/>
      <c r="T1371" s="1308"/>
      <c r="U1371" s="1308"/>
      <c r="V1371" s="1308"/>
      <c r="W1371" s="1308"/>
      <c r="X1371" s="1308"/>
      <c r="Y1371" s="1308"/>
      <c r="AA1371" s="778">
        <v>1</v>
      </c>
      <c r="AB1371" s="779" t="s">
        <v>1120</v>
      </c>
      <c r="AC1371" s="237">
        <v>23086.749379160399</v>
      </c>
      <c r="AD1371" s="779" t="str">
        <f>AB1371</f>
        <v xml:space="preserve">     Прочие амортизационные отчисления</v>
      </c>
      <c r="AE1371" s="237">
        <v>0</v>
      </c>
      <c r="AF1371" s="1350"/>
      <c r="AG1371" s="1352"/>
      <c r="AH1371" s="1352"/>
      <c r="AI1371" s="1350"/>
      <c r="AJ1371" s="1352"/>
      <c r="AK1371" s="1352"/>
      <c r="AL1371" s="772"/>
    </row>
    <row r="1372" spans="1:38" ht="11.25" customHeight="1">
      <c r="A1372" t="s">
        <v>1019</v>
      </c>
      <c r="E1372" s="557"/>
      <c r="F1372" s="1340"/>
      <c r="G1372" s="1340"/>
      <c r="H1372" s="1340"/>
      <c r="I1372" s="1340"/>
      <c r="J1372" s="1340"/>
      <c r="K1372" s="1340"/>
      <c r="L1372" s="1340"/>
      <c r="M1372" s="1340"/>
      <c r="N1372" s="1340"/>
      <c r="O1372" s="1340"/>
      <c r="P1372" s="1340"/>
      <c r="Q1372" s="1340"/>
      <c r="R1372" s="1340"/>
      <c r="S1372" s="1340"/>
      <c r="T1372" s="1340"/>
      <c r="U1372" s="1340"/>
      <c r="V1372" s="1340"/>
      <c r="W1372" s="1340"/>
      <c r="X1372" s="1340"/>
      <c r="Y1372" s="1340"/>
      <c r="Z1372" s="181" t="s">
        <v>103</v>
      </c>
      <c r="AA1372" s="780" t="s">
        <v>102</v>
      </c>
      <c r="AB1372" s="779" t="s">
        <v>1142</v>
      </c>
      <c r="AC1372" s="237">
        <v>3019.9055920482301</v>
      </c>
      <c r="AD1372" s="779" t="str">
        <f>AB1372</f>
        <v xml:space="preserve">  Доход от взимания платы за негативное воздействие на работу централизованной системы водоотведения</v>
      </c>
      <c r="AE1372" s="237">
        <v>0</v>
      </c>
      <c r="AF1372" s="1351"/>
      <c r="AG1372" s="1353"/>
      <c r="AH1372" s="1353"/>
      <c r="AI1372" s="1351"/>
      <c r="AJ1372" s="1353"/>
      <c r="AK1372" s="1354"/>
      <c r="AL1372" s="772"/>
    </row>
    <row r="1373" spans="1:38" ht="11.25" customHeight="1">
      <c r="A1373" t="s">
        <v>1019</v>
      </c>
      <c r="E1373" s="557"/>
      <c r="F1373" s="1339"/>
      <c r="G1373" s="1340"/>
      <c r="H1373" s="1335" t="s">
        <v>384</v>
      </c>
      <c r="I1373" s="1347"/>
      <c r="J1373" s="1363"/>
      <c r="K1373" s="1349"/>
      <c r="L1373" s="1079"/>
      <c r="M1373" s="1080"/>
      <c r="N1373" s="1355"/>
      <c r="O1373" s="1356"/>
      <c r="P1373" s="1359"/>
      <c r="Q1373" s="1308"/>
      <c r="R1373" s="1308"/>
      <c r="S1373" s="1361"/>
      <c r="T1373" s="1308"/>
      <c r="U1373" s="1308"/>
      <c r="V1373" s="1308"/>
      <c r="W1373" s="1308"/>
      <c r="X1373" s="1308"/>
      <c r="Y1373" s="1308"/>
      <c r="Z1373" s="229"/>
      <c r="AA1373" s="230"/>
      <c r="AB1373" s="44" t="s">
        <v>1059</v>
      </c>
      <c r="AC1373" s="231"/>
      <c r="AD1373" s="231"/>
      <c r="AE1373" s="246"/>
      <c r="AF1373" s="1350"/>
      <c r="AG1373" s="1352"/>
      <c r="AH1373" s="1352"/>
      <c r="AI1373" s="1350"/>
      <c r="AJ1373" s="1352"/>
      <c r="AK1373" s="1352"/>
      <c r="AL1373" s="772"/>
    </row>
    <row r="1374" spans="1:38" ht="11.25" customHeight="1">
      <c r="A1374" t="s">
        <v>1019</v>
      </c>
      <c r="E1374" s="557"/>
      <c r="F1374" s="1339"/>
      <c r="G1374" s="1340"/>
      <c r="H1374" s="1335" t="s">
        <v>384</v>
      </c>
      <c r="I1374" s="1347"/>
      <c r="J1374" s="1363"/>
      <c r="K1374" s="1349"/>
      <c r="L1374" s="1079"/>
      <c r="M1374" s="1080"/>
      <c r="N1374" s="229"/>
      <c r="O1374" s="230"/>
      <c r="P1374" s="44" t="s">
        <v>1060</v>
      </c>
      <c r="Q1374" s="230"/>
      <c r="R1374" s="230"/>
      <c r="S1374" s="230"/>
      <c r="T1374" s="230"/>
      <c r="U1374" s="230"/>
      <c r="V1374" s="230"/>
      <c r="W1374" s="230"/>
      <c r="X1374" s="230"/>
      <c r="Y1374" s="230"/>
      <c r="Z1374" s="230"/>
      <c r="AA1374" s="230"/>
      <c r="AB1374" s="230"/>
      <c r="AC1374" s="230"/>
      <c r="AD1374" s="230"/>
      <c r="AE1374" s="247"/>
      <c r="AF1374" s="1350"/>
      <c r="AG1374" s="1352"/>
      <c r="AH1374" s="1352"/>
      <c r="AI1374" s="1350"/>
      <c r="AJ1374" s="1352"/>
      <c r="AK1374" s="1352"/>
      <c r="AL1374" s="772"/>
    </row>
    <row r="1375" spans="1:38" ht="11.25" customHeight="1">
      <c r="A1375" t="s">
        <v>1019</v>
      </c>
      <c r="B1375" t="s">
        <v>1051</v>
      </c>
      <c r="E1375" s="557"/>
      <c r="F1375" s="1339"/>
      <c r="G1375" s="1325" t="s">
        <v>103</v>
      </c>
      <c r="H1375" s="1335" t="s">
        <v>102</v>
      </c>
      <c r="I1375" s="1347" t="s">
        <v>1052</v>
      </c>
      <c r="J1375" s="1363" t="s">
        <v>1053</v>
      </c>
      <c r="K1375" s="1349" t="s">
        <v>1204</v>
      </c>
      <c r="L1375" s="1079" t="s">
        <v>19</v>
      </c>
      <c r="M1375" s="1080"/>
      <c r="N1375" s="242"/>
      <c r="O1375" s="243" t="s">
        <v>384</v>
      </c>
      <c r="P1375" s="244"/>
      <c r="Q1375" s="244"/>
      <c r="R1375" s="244"/>
      <c r="S1375" s="244"/>
      <c r="T1375" s="244"/>
      <c r="U1375" s="244"/>
      <c r="V1375" s="244"/>
      <c r="W1375" s="244"/>
      <c r="X1375" s="244"/>
      <c r="Y1375" s="244"/>
      <c r="Z1375" s="244"/>
      <c r="AA1375" s="244"/>
      <c r="AB1375" s="244"/>
      <c r="AC1375" s="244"/>
      <c r="AD1375" s="244"/>
      <c r="AE1375" s="244"/>
      <c r="AF1375" s="1350">
        <v>3</v>
      </c>
      <c r="AG1375" s="1352" t="s">
        <v>1055</v>
      </c>
      <c r="AH1375" s="1352" t="s">
        <v>1095</v>
      </c>
      <c r="AI1375" s="1350">
        <v>3</v>
      </c>
      <c r="AJ1375" s="1352" t="s">
        <v>1055</v>
      </c>
      <c r="AK1375" s="1352" t="s">
        <v>1095</v>
      </c>
      <c r="AL1375" s="772"/>
    </row>
    <row r="1376" spans="1:38" ht="11.25" customHeight="1">
      <c r="A1376" t="s">
        <v>1019</v>
      </c>
      <c r="E1376" s="557"/>
      <c r="F1376" s="1339"/>
      <c r="G1376" s="1340"/>
      <c r="H1376" s="1335" t="s">
        <v>114</v>
      </c>
      <c r="I1376" s="1347"/>
      <c r="J1376" s="1363"/>
      <c r="K1376" s="1349"/>
      <c r="L1376" s="1079"/>
      <c r="M1376" s="1080"/>
      <c r="N1376" s="1355"/>
      <c r="O1376" s="1356">
        <v>1</v>
      </c>
      <c r="P1376" s="1357" t="s">
        <v>19</v>
      </c>
      <c r="Q1376" s="1308" t="s">
        <v>22</v>
      </c>
      <c r="R1376" s="1308" t="s">
        <v>22</v>
      </c>
      <c r="S1376" s="1308" t="s">
        <v>22</v>
      </c>
      <c r="T1376" s="1308" t="s">
        <v>22</v>
      </c>
      <c r="U1376" s="1308" t="s">
        <v>22</v>
      </c>
      <c r="V1376" s="1308" t="s">
        <v>22</v>
      </c>
      <c r="W1376" s="1308" t="s">
        <v>22</v>
      </c>
      <c r="X1376" s="1308" t="s">
        <v>22</v>
      </c>
      <c r="Y1376" s="1308"/>
      <c r="Z1376" s="229"/>
      <c r="AA1376" s="230"/>
      <c r="AB1376" s="230"/>
      <c r="AC1376" s="231"/>
      <c r="AD1376" s="231"/>
      <c r="AE1376" s="245"/>
      <c r="AF1376" s="1350"/>
      <c r="AG1376" s="1352"/>
      <c r="AH1376" s="1352"/>
      <c r="AI1376" s="1350"/>
      <c r="AJ1376" s="1352"/>
      <c r="AK1376" s="1352"/>
      <c r="AL1376" s="772"/>
    </row>
    <row r="1377" spans="1:38" ht="11.25" customHeight="1">
      <c r="A1377" t="s">
        <v>1019</v>
      </c>
      <c r="E1377" s="557"/>
      <c r="F1377" s="1339"/>
      <c r="G1377" s="1340"/>
      <c r="H1377" s="1335" t="s">
        <v>114</v>
      </c>
      <c r="I1377" s="1347"/>
      <c r="J1377" s="1363"/>
      <c r="K1377" s="1349"/>
      <c r="L1377" s="1079"/>
      <c r="M1377" s="1080"/>
      <c r="N1377" s="1355"/>
      <c r="O1377" s="1356"/>
      <c r="P1377" s="1358"/>
      <c r="Q1377" s="1308"/>
      <c r="R1377" s="1308"/>
      <c r="S1377" s="1361"/>
      <c r="T1377" s="1308"/>
      <c r="U1377" s="1308"/>
      <c r="V1377" s="1308"/>
      <c r="W1377" s="1308"/>
      <c r="X1377" s="1308"/>
      <c r="Y1377" s="1308"/>
      <c r="AA1377" s="778">
        <v>1</v>
      </c>
      <c r="AB1377" s="779" t="s">
        <v>1120</v>
      </c>
      <c r="AC1377" s="237">
        <v>4123.86713964916</v>
      </c>
      <c r="AD1377" s="779" t="str">
        <f>AB1377</f>
        <v xml:space="preserve">     Прочие амортизационные отчисления</v>
      </c>
      <c r="AE1377" s="237">
        <v>0</v>
      </c>
      <c r="AF1377" s="1350"/>
      <c r="AG1377" s="1352"/>
      <c r="AH1377" s="1352"/>
      <c r="AI1377" s="1350"/>
      <c r="AJ1377" s="1352"/>
      <c r="AK1377" s="1352"/>
      <c r="AL1377" s="772"/>
    </row>
    <row r="1378" spans="1:38" ht="11.25" customHeight="1">
      <c r="A1378" t="s">
        <v>1019</v>
      </c>
      <c r="E1378" s="557"/>
      <c r="F1378" s="1340"/>
      <c r="G1378" s="1340"/>
      <c r="H1378" s="1340"/>
      <c r="I1378" s="1340"/>
      <c r="J1378" s="1340"/>
      <c r="K1378" s="1340"/>
      <c r="L1378" s="1340"/>
      <c r="M1378" s="1340"/>
      <c r="N1378" s="1340"/>
      <c r="O1378" s="1340"/>
      <c r="P1378" s="1340"/>
      <c r="Q1378" s="1340"/>
      <c r="R1378" s="1340"/>
      <c r="S1378" s="1340"/>
      <c r="T1378" s="1340"/>
      <c r="U1378" s="1340"/>
      <c r="V1378" s="1340"/>
      <c r="W1378" s="1340"/>
      <c r="X1378" s="1340"/>
      <c r="Y1378" s="1340"/>
      <c r="Z1378" s="181" t="s">
        <v>103</v>
      </c>
      <c r="AA1378" s="780" t="s">
        <v>102</v>
      </c>
      <c r="AB1378" s="779" t="s">
        <v>1142</v>
      </c>
      <c r="AC1378" s="237">
        <v>539.43018271476399</v>
      </c>
      <c r="AD1378" s="779" t="str">
        <f>AB1378</f>
        <v xml:space="preserve">  Доход от взимания платы за негативное воздействие на работу централизованной системы водоотведения</v>
      </c>
      <c r="AE1378" s="237">
        <v>0</v>
      </c>
      <c r="AF1378" s="1351"/>
      <c r="AG1378" s="1353"/>
      <c r="AH1378" s="1353"/>
      <c r="AI1378" s="1351"/>
      <c r="AJ1378" s="1353"/>
      <c r="AK1378" s="1354"/>
      <c r="AL1378" s="772"/>
    </row>
    <row r="1379" spans="1:38" ht="11.25" customHeight="1">
      <c r="A1379" t="s">
        <v>1019</v>
      </c>
      <c r="E1379" s="557"/>
      <c r="F1379" s="1339"/>
      <c r="G1379" s="1340"/>
      <c r="H1379" s="1335" t="s">
        <v>114</v>
      </c>
      <c r="I1379" s="1347"/>
      <c r="J1379" s="1363"/>
      <c r="K1379" s="1349"/>
      <c r="L1379" s="1079"/>
      <c r="M1379" s="1080"/>
      <c r="N1379" s="1355"/>
      <c r="O1379" s="1356"/>
      <c r="P1379" s="1359"/>
      <c r="Q1379" s="1308"/>
      <c r="R1379" s="1308"/>
      <c r="S1379" s="1361"/>
      <c r="T1379" s="1308"/>
      <c r="U1379" s="1308"/>
      <c r="V1379" s="1308"/>
      <c r="W1379" s="1308"/>
      <c r="X1379" s="1308"/>
      <c r="Y1379" s="1308"/>
      <c r="Z1379" s="229"/>
      <c r="AA1379" s="230"/>
      <c r="AB1379" s="44" t="s">
        <v>1059</v>
      </c>
      <c r="AC1379" s="231"/>
      <c r="AD1379" s="231"/>
      <c r="AE1379" s="246"/>
      <c r="AF1379" s="1350"/>
      <c r="AG1379" s="1352"/>
      <c r="AH1379" s="1352"/>
      <c r="AI1379" s="1350"/>
      <c r="AJ1379" s="1352"/>
      <c r="AK1379" s="1352"/>
      <c r="AL1379" s="772"/>
    </row>
    <row r="1380" spans="1:38" ht="11.25" customHeight="1">
      <c r="A1380" t="s">
        <v>1019</v>
      </c>
      <c r="E1380" s="557"/>
      <c r="F1380" s="1339"/>
      <c r="G1380" s="1340"/>
      <c r="H1380" s="1335" t="s">
        <v>114</v>
      </c>
      <c r="I1380" s="1347"/>
      <c r="J1380" s="1363"/>
      <c r="K1380" s="1349"/>
      <c r="L1380" s="1079"/>
      <c r="M1380" s="1080"/>
      <c r="N1380" s="229"/>
      <c r="O1380" s="230"/>
      <c r="P1380" s="44" t="s">
        <v>1060</v>
      </c>
      <c r="Q1380" s="230"/>
      <c r="R1380" s="230"/>
      <c r="S1380" s="230"/>
      <c r="T1380" s="230"/>
      <c r="U1380" s="230"/>
      <c r="V1380" s="230"/>
      <c r="W1380" s="230"/>
      <c r="X1380" s="230"/>
      <c r="Y1380" s="230"/>
      <c r="Z1380" s="230"/>
      <c r="AA1380" s="230"/>
      <c r="AB1380" s="230"/>
      <c r="AC1380" s="230"/>
      <c r="AD1380" s="230"/>
      <c r="AE1380" s="247"/>
      <c r="AF1380" s="1350"/>
      <c r="AG1380" s="1352"/>
      <c r="AH1380" s="1352"/>
      <c r="AI1380" s="1350"/>
      <c r="AJ1380" s="1352"/>
      <c r="AK1380" s="1352"/>
      <c r="AL1380" s="772"/>
    </row>
    <row r="1381" spans="1:38" ht="11.25" customHeight="1">
      <c r="A1381" t="s">
        <v>1019</v>
      </c>
      <c r="B1381" t="s">
        <v>1051</v>
      </c>
      <c r="E1381" s="557"/>
      <c r="F1381" s="1339"/>
      <c r="G1381" s="1325" t="s">
        <v>103</v>
      </c>
      <c r="H1381" s="1335" t="s">
        <v>89</v>
      </c>
      <c r="I1381" s="1347" t="s">
        <v>1052</v>
      </c>
      <c r="J1381" s="1363" t="s">
        <v>1053</v>
      </c>
      <c r="K1381" s="1349" t="s">
        <v>1202</v>
      </c>
      <c r="L1381" s="1079" t="s">
        <v>19</v>
      </c>
      <c r="M1381" s="1080"/>
      <c r="N1381" s="242"/>
      <c r="O1381" s="243" t="s">
        <v>384</v>
      </c>
      <c r="P1381" s="244"/>
      <c r="Q1381" s="244"/>
      <c r="R1381" s="244"/>
      <c r="S1381" s="244"/>
      <c r="T1381" s="244"/>
      <c r="U1381" s="244"/>
      <c r="V1381" s="244"/>
      <c r="W1381" s="244"/>
      <c r="X1381" s="244"/>
      <c r="Y1381" s="244"/>
      <c r="Z1381" s="244"/>
      <c r="AA1381" s="244"/>
      <c r="AB1381" s="244"/>
      <c r="AC1381" s="244"/>
      <c r="AD1381" s="244"/>
      <c r="AE1381" s="244"/>
      <c r="AF1381" s="1350">
        <v>2</v>
      </c>
      <c r="AG1381" s="1352" t="s">
        <v>1055</v>
      </c>
      <c r="AH1381" s="1352" t="s">
        <v>1203</v>
      </c>
      <c r="AI1381" s="1350">
        <v>2</v>
      </c>
      <c r="AJ1381" s="1352" t="s">
        <v>1055</v>
      </c>
      <c r="AK1381" s="1352" t="s">
        <v>1203</v>
      </c>
      <c r="AL1381" s="772"/>
    </row>
    <row r="1382" spans="1:38" ht="11.25" customHeight="1">
      <c r="A1382" t="s">
        <v>1019</v>
      </c>
      <c r="E1382" s="557"/>
      <c r="F1382" s="1339"/>
      <c r="G1382" s="1340"/>
      <c r="H1382" s="1335" t="s">
        <v>102</v>
      </c>
      <c r="I1382" s="1347"/>
      <c r="J1382" s="1363"/>
      <c r="K1382" s="1349"/>
      <c r="L1382" s="1079"/>
      <c r="M1382" s="1080"/>
      <c r="N1382" s="1355"/>
      <c r="O1382" s="1356">
        <v>1</v>
      </c>
      <c r="P1382" s="1357" t="s">
        <v>19</v>
      </c>
      <c r="Q1382" s="1308" t="s">
        <v>22</v>
      </c>
      <c r="R1382" s="1308" t="s">
        <v>22</v>
      </c>
      <c r="S1382" s="1308" t="s">
        <v>22</v>
      </c>
      <c r="T1382" s="1308" t="s">
        <v>22</v>
      </c>
      <c r="U1382" s="1308" t="s">
        <v>22</v>
      </c>
      <c r="V1382" s="1308" t="s">
        <v>22</v>
      </c>
      <c r="W1382" s="1308" t="s">
        <v>22</v>
      </c>
      <c r="X1382" s="1308" t="s">
        <v>22</v>
      </c>
      <c r="Y1382" s="1308"/>
      <c r="Z1382" s="229"/>
      <c r="AA1382" s="230"/>
      <c r="AB1382" s="230"/>
      <c r="AC1382" s="231"/>
      <c r="AD1382" s="231"/>
      <c r="AE1382" s="245"/>
      <c r="AF1382" s="1350"/>
      <c r="AG1382" s="1352"/>
      <c r="AH1382" s="1352"/>
      <c r="AI1382" s="1350"/>
      <c r="AJ1382" s="1352"/>
      <c r="AK1382" s="1352"/>
      <c r="AL1382" s="772"/>
    </row>
    <row r="1383" spans="1:38" ht="11.25" customHeight="1">
      <c r="A1383" t="s">
        <v>1019</v>
      </c>
      <c r="E1383" s="557"/>
      <c r="F1383" s="1339"/>
      <c r="G1383" s="1340"/>
      <c r="H1383" s="1335" t="s">
        <v>102</v>
      </c>
      <c r="I1383" s="1347"/>
      <c r="J1383" s="1363"/>
      <c r="K1383" s="1349"/>
      <c r="L1383" s="1079"/>
      <c r="M1383" s="1080"/>
      <c r="N1383" s="1355"/>
      <c r="O1383" s="1356"/>
      <c r="P1383" s="1358"/>
      <c r="Q1383" s="1308"/>
      <c r="R1383" s="1308"/>
      <c r="S1383" s="1361"/>
      <c r="T1383" s="1308"/>
      <c r="U1383" s="1308"/>
      <c r="V1383" s="1308"/>
      <c r="W1383" s="1308"/>
      <c r="X1383" s="1308"/>
      <c r="Y1383" s="1308"/>
      <c r="AA1383" s="778">
        <v>1</v>
      </c>
      <c r="AB1383" s="779" t="s">
        <v>1120</v>
      </c>
      <c r="AC1383" s="237">
        <v>77857.626948316698</v>
      </c>
      <c r="AD1383" s="779" t="str">
        <f>AB1383</f>
        <v xml:space="preserve">     Прочие амортизационные отчисления</v>
      </c>
      <c r="AE1383" s="237">
        <v>0</v>
      </c>
      <c r="AF1383" s="1350"/>
      <c r="AG1383" s="1352"/>
      <c r="AH1383" s="1352"/>
      <c r="AI1383" s="1350"/>
      <c r="AJ1383" s="1352"/>
      <c r="AK1383" s="1352"/>
      <c r="AL1383" s="772"/>
    </row>
    <row r="1384" spans="1:38" ht="11.25" customHeight="1">
      <c r="A1384" t="s">
        <v>1019</v>
      </c>
      <c r="E1384" s="557"/>
      <c r="F1384" s="1340"/>
      <c r="G1384" s="1340"/>
      <c r="H1384" s="1340"/>
      <c r="I1384" s="1340"/>
      <c r="J1384" s="1340"/>
      <c r="K1384" s="1340"/>
      <c r="L1384" s="1340"/>
      <c r="M1384" s="1340"/>
      <c r="N1384" s="1340"/>
      <c r="O1384" s="1340"/>
      <c r="P1384" s="1340"/>
      <c r="Q1384" s="1340"/>
      <c r="R1384" s="1340"/>
      <c r="S1384" s="1340"/>
      <c r="T1384" s="1340"/>
      <c r="U1384" s="1340"/>
      <c r="V1384" s="1340"/>
      <c r="W1384" s="1340"/>
      <c r="X1384" s="1340"/>
      <c r="Y1384" s="1340"/>
      <c r="Z1384" s="181" t="s">
        <v>103</v>
      </c>
      <c r="AA1384" s="780" t="s">
        <v>102</v>
      </c>
      <c r="AB1384" s="779" t="s">
        <v>1142</v>
      </c>
      <c r="AC1384" s="237">
        <v>10184.3130508907</v>
      </c>
      <c r="AD1384" s="779" t="str">
        <f>AB1384</f>
        <v xml:space="preserve">  Доход от взимания платы за негативное воздействие на работу централизованной системы водоотведения</v>
      </c>
      <c r="AE1384" s="237">
        <v>0</v>
      </c>
      <c r="AF1384" s="1351"/>
      <c r="AG1384" s="1353"/>
      <c r="AH1384" s="1353"/>
      <c r="AI1384" s="1351"/>
      <c r="AJ1384" s="1353"/>
      <c r="AK1384" s="1354"/>
      <c r="AL1384" s="772"/>
    </row>
    <row r="1385" spans="1:38" ht="11.25" customHeight="1">
      <c r="A1385" t="s">
        <v>1019</v>
      </c>
      <c r="E1385" s="557"/>
      <c r="F1385" s="1339"/>
      <c r="G1385" s="1340"/>
      <c r="H1385" s="1335" t="s">
        <v>102</v>
      </c>
      <c r="I1385" s="1347"/>
      <c r="J1385" s="1363"/>
      <c r="K1385" s="1349"/>
      <c r="L1385" s="1079"/>
      <c r="M1385" s="1080"/>
      <c r="N1385" s="1355"/>
      <c r="O1385" s="1356"/>
      <c r="P1385" s="1359"/>
      <c r="Q1385" s="1308"/>
      <c r="R1385" s="1308"/>
      <c r="S1385" s="1361"/>
      <c r="T1385" s="1308"/>
      <c r="U1385" s="1308"/>
      <c r="V1385" s="1308"/>
      <c r="W1385" s="1308"/>
      <c r="X1385" s="1308"/>
      <c r="Y1385" s="1308"/>
      <c r="Z1385" s="229"/>
      <c r="AA1385" s="230"/>
      <c r="AB1385" s="44" t="s">
        <v>1059</v>
      </c>
      <c r="AC1385" s="231"/>
      <c r="AD1385" s="231"/>
      <c r="AE1385" s="246"/>
      <c r="AF1385" s="1350"/>
      <c r="AG1385" s="1352"/>
      <c r="AH1385" s="1352"/>
      <c r="AI1385" s="1350"/>
      <c r="AJ1385" s="1352"/>
      <c r="AK1385" s="1352"/>
      <c r="AL1385" s="772"/>
    </row>
    <row r="1386" spans="1:38" ht="11.25" customHeight="1">
      <c r="A1386" t="s">
        <v>1019</v>
      </c>
      <c r="E1386" s="557"/>
      <c r="F1386" s="1339"/>
      <c r="G1386" s="1340"/>
      <c r="H1386" s="1335" t="s">
        <v>102</v>
      </c>
      <c r="I1386" s="1347"/>
      <c r="J1386" s="1363"/>
      <c r="K1386" s="1349"/>
      <c r="L1386" s="1079"/>
      <c r="M1386" s="1080"/>
      <c r="N1386" s="229"/>
      <c r="O1386" s="230"/>
      <c r="P1386" s="44" t="s">
        <v>1060</v>
      </c>
      <c r="Q1386" s="230"/>
      <c r="R1386" s="230"/>
      <c r="S1386" s="230"/>
      <c r="T1386" s="230"/>
      <c r="U1386" s="230"/>
      <c r="V1386" s="230"/>
      <c r="W1386" s="230"/>
      <c r="X1386" s="230"/>
      <c r="Y1386" s="230"/>
      <c r="Z1386" s="230"/>
      <c r="AA1386" s="230"/>
      <c r="AB1386" s="230"/>
      <c r="AC1386" s="230"/>
      <c r="AD1386" s="230"/>
      <c r="AE1386" s="247"/>
      <c r="AF1386" s="1350"/>
      <c r="AG1386" s="1352"/>
      <c r="AH1386" s="1352"/>
      <c r="AI1386" s="1350"/>
      <c r="AJ1386" s="1352"/>
      <c r="AK1386" s="1352"/>
      <c r="AL1386" s="772"/>
    </row>
    <row r="1387" spans="1:38" ht="11.25" customHeight="1">
      <c r="A1387" t="s">
        <v>1019</v>
      </c>
      <c r="B1387" t="s">
        <v>1051</v>
      </c>
      <c r="E1387" s="557"/>
      <c r="F1387" s="1339"/>
      <c r="G1387" s="1325" t="s">
        <v>103</v>
      </c>
      <c r="H1387" s="1335" t="s">
        <v>90</v>
      </c>
      <c r="I1387" s="1347" t="s">
        <v>1052</v>
      </c>
      <c r="J1387" s="1363" t="s">
        <v>1053</v>
      </c>
      <c r="K1387" s="1349" t="s">
        <v>1140</v>
      </c>
      <c r="L1387" s="1079" t="s">
        <v>19</v>
      </c>
      <c r="M1387" s="1080"/>
      <c r="N1387" s="242"/>
      <c r="O1387" s="243" t="s">
        <v>384</v>
      </c>
      <c r="P1387" s="244"/>
      <c r="Q1387" s="244"/>
      <c r="R1387" s="244"/>
      <c r="S1387" s="244"/>
      <c r="T1387" s="244"/>
      <c r="U1387" s="244"/>
      <c r="V1387" s="244"/>
      <c r="W1387" s="244"/>
      <c r="X1387" s="244"/>
      <c r="Y1387" s="244"/>
      <c r="Z1387" s="244"/>
      <c r="AA1387" s="244"/>
      <c r="AB1387" s="244"/>
      <c r="AC1387" s="244"/>
      <c r="AD1387" s="244"/>
      <c r="AE1387" s="244"/>
      <c r="AF1387" s="1350">
        <v>3</v>
      </c>
      <c r="AG1387" s="1352" t="s">
        <v>1055</v>
      </c>
      <c r="AH1387" s="1352" t="s">
        <v>1095</v>
      </c>
      <c r="AI1387" s="1350">
        <v>3</v>
      </c>
      <c r="AJ1387" s="1352" t="s">
        <v>1055</v>
      </c>
      <c r="AK1387" s="1352" t="s">
        <v>1095</v>
      </c>
      <c r="AL1387" s="772"/>
    </row>
    <row r="1388" spans="1:38" ht="11.25" customHeight="1">
      <c r="A1388" t="s">
        <v>1019</v>
      </c>
      <c r="E1388" s="557"/>
      <c r="F1388" s="1339"/>
      <c r="G1388" s="1340"/>
      <c r="H1388" s="1335" t="s">
        <v>89</v>
      </c>
      <c r="I1388" s="1347"/>
      <c r="J1388" s="1363"/>
      <c r="K1388" s="1349"/>
      <c r="L1388" s="1079"/>
      <c r="M1388" s="1080"/>
      <c r="N1388" s="1355"/>
      <c r="O1388" s="1356">
        <v>1</v>
      </c>
      <c r="P1388" s="1357" t="s">
        <v>19</v>
      </c>
      <c r="Q1388" s="1308" t="s">
        <v>22</v>
      </c>
      <c r="R1388" s="1308" t="s">
        <v>22</v>
      </c>
      <c r="S1388" s="1308" t="s">
        <v>22</v>
      </c>
      <c r="T1388" s="1308" t="s">
        <v>22</v>
      </c>
      <c r="U1388" s="1308" t="s">
        <v>22</v>
      </c>
      <c r="V1388" s="1308" t="s">
        <v>22</v>
      </c>
      <c r="W1388" s="1308" t="s">
        <v>22</v>
      </c>
      <c r="X1388" s="1308" t="s">
        <v>22</v>
      </c>
      <c r="Y1388" s="1308"/>
      <c r="Z1388" s="229"/>
      <c r="AA1388" s="230"/>
      <c r="AB1388" s="230"/>
      <c r="AC1388" s="231"/>
      <c r="AD1388" s="231"/>
      <c r="AE1388" s="245"/>
      <c r="AF1388" s="1350"/>
      <c r="AG1388" s="1352"/>
      <c r="AH1388" s="1352"/>
      <c r="AI1388" s="1350"/>
      <c r="AJ1388" s="1352"/>
      <c r="AK1388" s="1352"/>
      <c r="AL1388" s="772"/>
    </row>
    <row r="1389" spans="1:38" ht="11.25" customHeight="1">
      <c r="A1389" t="s">
        <v>1019</v>
      </c>
      <c r="E1389" s="557"/>
      <c r="F1389" s="1339"/>
      <c r="G1389" s="1340"/>
      <c r="H1389" s="1335" t="s">
        <v>89</v>
      </c>
      <c r="I1389" s="1347"/>
      <c r="J1389" s="1363"/>
      <c r="K1389" s="1349"/>
      <c r="L1389" s="1079"/>
      <c r="M1389" s="1080"/>
      <c r="N1389" s="1355"/>
      <c r="O1389" s="1356"/>
      <c r="P1389" s="1358"/>
      <c r="Q1389" s="1308"/>
      <c r="R1389" s="1308"/>
      <c r="S1389" s="1361"/>
      <c r="T1389" s="1308"/>
      <c r="U1389" s="1308"/>
      <c r="V1389" s="1308"/>
      <c r="W1389" s="1308"/>
      <c r="X1389" s="1308"/>
      <c r="Y1389" s="1308"/>
      <c r="AA1389" s="778">
        <v>1</v>
      </c>
      <c r="AB1389" s="779" t="s">
        <v>1120</v>
      </c>
      <c r="AC1389" s="237">
        <v>1356.6541342023099</v>
      </c>
      <c r="AD1389" s="779" t="str">
        <f>AB1389</f>
        <v xml:space="preserve">     Прочие амортизационные отчисления</v>
      </c>
      <c r="AE1389" s="237">
        <v>0</v>
      </c>
      <c r="AF1389" s="1350"/>
      <c r="AG1389" s="1352"/>
      <c r="AH1389" s="1352"/>
      <c r="AI1389" s="1350"/>
      <c r="AJ1389" s="1352"/>
      <c r="AK1389" s="1352"/>
      <c r="AL1389" s="772"/>
    </row>
    <row r="1390" spans="1:38" ht="11.25" customHeight="1">
      <c r="A1390" t="s">
        <v>1019</v>
      </c>
      <c r="E1390" s="557"/>
      <c r="F1390" s="1340"/>
      <c r="G1390" s="1340"/>
      <c r="H1390" s="1340"/>
      <c r="I1390" s="1340"/>
      <c r="J1390" s="1340"/>
      <c r="K1390" s="1340"/>
      <c r="L1390" s="1340"/>
      <c r="M1390" s="1340"/>
      <c r="N1390" s="1340"/>
      <c r="O1390" s="1340"/>
      <c r="P1390" s="1340"/>
      <c r="Q1390" s="1340"/>
      <c r="R1390" s="1340"/>
      <c r="S1390" s="1340"/>
      <c r="T1390" s="1340"/>
      <c r="U1390" s="1340"/>
      <c r="V1390" s="1340"/>
      <c r="W1390" s="1340"/>
      <c r="X1390" s="1340"/>
      <c r="Y1390" s="1340"/>
      <c r="Z1390" s="181" t="s">
        <v>103</v>
      </c>
      <c r="AA1390" s="780" t="s">
        <v>102</v>
      </c>
      <c r="AB1390" s="779" t="s">
        <v>1142</v>
      </c>
      <c r="AC1390" s="237">
        <v>177.45969079783501</v>
      </c>
      <c r="AD1390" s="779" t="str">
        <f>AB1390</f>
        <v xml:space="preserve">  Доход от взимания платы за негативное воздействие на работу централизованной системы водоотведения</v>
      </c>
      <c r="AE1390" s="237">
        <v>0</v>
      </c>
      <c r="AF1390" s="1351"/>
      <c r="AG1390" s="1353"/>
      <c r="AH1390" s="1353"/>
      <c r="AI1390" s="1351"/>
      <c r="AJ1390" s="1353"/>
      <c r="AK1390" s="1354"/>
      <c r="AL1390" s="772"/>
    </row>
    <row r="1391" spans="1:38" ht="11.25" customHeight="1">
      <c r="A1391" t="s">
        <v>1019</v>
      </c>
      <c r="E1391" s="557"/>
      <c r="F1391" s="1339"/>
      <c r="G1391" s="1340"/>
      <c r="H1391" s="1335" t="s">
        <v>89</v>
      </c>
      <c r="I1391" s="1347"/>
      <c r="J1391" s="1363"/>
      <c r="K1391" s="1349"/>
      <c r="L1391" s="1079"/>
      <c r="M1391" s="1080"/>
      <c r="N1391" s="1355"/>
      <c r="O1391" s="1356"/>
      <c r="P1391" s="1359"/>
      <c r="Q1391" s="1308"/>
      <c r="R1391" s="1308"/>
      <c r="S1391" s="1361"/>
      <c r="T1391" s="1308"/>
      <c r="U1391" s="1308"/>
      <c r="V1391" s="1308"/>
      <c r="W1391" s="1308"/>
      <c r="X1391" s="1308"/>
      <c r="Y1391" s="1308"/>
      <c r="Z1391" s="229"/>
      <c r="AA1391" s="230"/>
      <c r="AB1391" s="44" t="s">
        <v>1059</v>
      </c>
      <c r="AC1391" s="231"/>
      <c r="AD1391" s="231"/>
      <c r="AE1391" s="246"/>
      <c r="AF1391" s="1350"/>
      <c r="AG1391" s="1352"/>
      <c r="AH1391" s="1352"/>
      <c r="AI1391" s="1350"/>
      <c r="AJ1391" s="1352"/>
      <c r="AK1391" s="1352"/>
      <c r="AL1391" s="772"/>
    </row>
    <row r="1392" spans="1:38" ht="11.25" customHeight="1">
      <c r="A1392" t="s">
        <v>1019</v>
      </c>
      <c r="E1392" s="557"/>
      <c r="F1392" s="1339"/>
      <c r="G1392" s="1340"/>
      <c r="H1392" s="1335" t="s">
        <v>89</v>
      </c>
      <c r="I1392" s="1347"/>
      <c r="J1392" s="1363"/>
      <c r="K1392" s="1349"/>
      <c r="L1392" s="1079"/>
      <c r="M1392" s="1080"/>
      <c r="N1392" s="229"/>
      <c r="O1392" s="230"/>
      <c r="P1392" s="44" t="s">
        <v>1060</v>
      </c>
      <c r="Q1392" s="230"/>
      <c r="R1392" s="230"/>
      <c r="S1392" s="230"/>
      <c r="T1392" s="230"/>
      <c r="U1392" s="230"/>
      <c r="V1392" s="230"/>
      <c r="W1392" s="230"/>
      <c r="X1392" s="230"/>
      <c r="Y1392" s="230"/>
      <c r="Z1392" s="230"/>
      <c r="AA1392" s="230"/>
      <c r="AB1392" s="230"/>
      <c r="AC1392" s="230"/>
      <c r="AD1392" s="230"/>
      <c r="AE1392" s="247"/>
      <c r="AF1392" s="1350"/>
      <c r="AG1392" s="1352"/>
      <c r="AH1392" s="1352"/>
      <c r="AI1392" s="1350"/>
      <c r="AJ1392" s="1352"/>
      <c r="AK1392" s="1352"/>
      <c r="AL1392" s="772"/>
    </row>
    <row r="1393" spans="1:38" ht="11.25" customHeight="1">
      <c r="A1393" t="s">
        <v>1019</v>
      </c>
      <c r="B1393" t="s">
        <v>1051</v>
      </c>
      <c r="E1393" s="557"/>
      <c r="F1393" s="1339"/>
      <c r="G1393" s="1325" t="s">
        <v>103</v>
      </c>
      <c r="H1393" s="1335" t="s">
        <v>115</v>
      </c>
      <c r="I1393" s="1347" t="s">
        <v>1052</v>
      </c>
      <c r="J1393" s="1363" t="s">
        <v>1093</v>
      </c>
      <c r="K1393" s="1349" t="s">
        <v>1094</v>
      </c>
      <c r="L1393" s="1079" t="s">
        <v>61</v>
      </c>
      <c r="M1393" s="1364" t="s">
        <v>1018</v>
      </c>
      <c r="N1393" s="242"/>
      <c r="O1393" s="243" t="s">
        <v>384</v>
      </c>
      <c r="P1393" s="244"/>
      <c r="Q1393" s="244"/>
      <c r="R1393" s="244"/>
      <c r="S1393" s="244"/>
      <c r="T1393" s="244"/>
      <c r="U1393" s="244"/>
      <c r="V1393" s="244"/>
      <c r="W1393" s="244"/>
      <c r="X1393" s="244"/>
      <c r="Y1393" s="244"/>
      <c r="Z1393" s="244"/>
      <c r="AA1393" s="244"/>
      <c r="AB1393" s="244"/>
      <c r="AC1393" s="244"/>
      <c r="AD1393" s="244"/>
      <c r="AE1393" s="244"/>
      <c r="AF1393" s="1350">
        <v>3</v>
      </c>
      <c r="AG1393" s="1352" t="s">
        <v>1055</v>
      </c>
      <c r="AH1393" s="1352" t="s">
        <v>1095</v>
      </c>
      <c r="AI1393" s="1350">
        <v>3</v>
      </c>
      <c r="AJ1393" s="1352" t="s">
        <v>1055</v>
      </c>
      <c r="AK1393" s="1352" t="s">
        <v>1095</v>
      </c>
      <c r="AL1393" s="772"/>
    </row>
    <row r="1394" spans="1:38" ht="11.25" customHeight="1">
      <c r="A1394" t="s">
        <v>1019</v>
      </c>
      <c r="E1394" s="557"/>
      <c r="F1394" s="1339"/>
      <c r="G1394" s="1340"/>
      <c r="H1394" s="1335" t="s">
        <v>90</v>
      </c>
      <c r="I1394" s="1347"/>
      <c r="J1394" s="1363"/>
      <c r="K1394" s="1349"/>
      <c r="L1394" s="1079"/>
      <c r="M1394" s="1364"/>
      <c r="N1394" s="1355"/>
      <c r="O1394" s="1356">
        <v>1</v>
      </c>
      <c r="P1394" s="1357" t="s">
        <v>19</v>
      </c>
      <c r="Q1394" s="1308" t="s">
        <v>22</v>
      </c>
      <c r="R1394" s="1308" t="s">
        <v>22</v>
      </c>
      <c r="S1394" s="1308" t="s">
        <v>22</v>
      </c>
      <c r="T1394" s="1308" t="s">
        <v>22</v>
      </c>
      <c r="U1394" s="1308" t="s">
        <v>22</v>
      </c>
      <c r="V1394" s="1308" t="s">
        <v>22</v>
      </c>
      <c r="W1394" s="1308" t="s">
        <v>22</v>
      </c>
      <c r="X1394" s="1308" t="s">
        <v>22</v>
      </c>
      <c r="Y1394" s="1308"/>
      <c r="Z1394" s="229"/>
      <c r="AA1394" s="230"/>
      <c r="AB1394" s="230"/>
      <c r="AC1394" s="231"/>
      <c r="AD1394" s="231"/>
      <c r="AE1394" s="245"/>
      <c r="AF1394" s="1350"/>
      <c r="AG1394" s="1352"/>
      <c r="AH1394" s="1352"/>
      <c r="AI1394" s="1350"/>
      <c r="AJ1394" s="1352"/>
      <c r="AK1394" s="1352"/>
      <c r="AL1394" s="772"/>
    </row>
    <row r="1395" spans="1:38" ht="11.25" customHeight="1">
      <c r="A1395" t="s">
        <v>1019</v>
      </c>
      <c r="E1395" s="557"/>
      <c r="F1395" s="1339"/>
      <c r="G1395" s="1340"/>
      <c r="H1395" s="1335" t="s">
        <v>90</v>
      </c>
      <c r="I1395" s="1347"/>
      <c r="J1395" s="1363"/>
      <c r="K1395" s="1349"/>
      <c r="L1395" s="1079"/>
      <c r="M1395" s="1364"/>
      <c r="N1395" s="1355"/>
      <c r="O1395" s="1356"/>
      <c r="P1395" s="1358"/>
      <c r="Q1395" s="1308"/>
      <c r="R1395" s="1308"/>
      <c r="S1395" s="1361"/>
      <c r="T1395" s="1308"/>
      <c r="U1395" s="1308"/>
      <c r="V1395" s="1308"/>
      <c r="W1395" s="1308"/>
      <c r="X1395" s="1308"/>
      <c r="Y1395" s="1308"/>
      <c r="AA1395" s="778">
        <v>1</v>
      </c>
      <c r="AB1395" s="779" t="s">
        <v>1120</v>
      </c>
      <c r="AC1395" s="237">
        <v>13325.102398671401</v>
      </c>
      <c r="AD1395" s="779" t="str">
        <f>AB1395</f>
        <v xml:space="preserve">     Прочие амортизационные отчисления</v>
      </c>
      <c r="AE1395" s="237">
        <v>0</v>
      </c>
      <c r="AF1395" s="1350"/>
      <c r="AG1395" s="1352"/>
      <c r="AH1395" s="1352"/>
      <c r="AI1395" s="1350"/>
      <c r="AJ1395" s="1352"/>
      <c r="AK1395" s="1352"/>
      <c r="AL1395" s="772"/>
    </row>
    <row r="1396" spans="1:38" ht="11.25" customHeight="1">
      <c r="A1396" t="s">
        <v>1019</v>
      </c>
      <c r="E1396" s="557"/>
      <c r="F1396" s="1340"/>
      <c r="G1396" s="1340"/>
      <c r="H1396" s="1340"/>
      <c r="I1396" s="1340"/>
      <c r="J1396" s="1340"/>
      <c r="K1396" s="1340"/>
      <c r="L1396" s="1340"/>
      <c r="M1396" s="1365"/>
      <c r="N1396" s="1340"/>
      <c r="O1396" s="1340"/>
      <c r="P1396" s="1340"/>
      <c r="Q1396" s="1340"/>
      <c r="R1396" s="1340"/>
      <c r="S1396" s="1340"/>
      <c r="T1396" s="1340"/>
      <c r="U1396" s="1340"/>
      <c r="V1396" s="1340"/>
      <c r="W1396" s="1340"/>
      <c r="X1396" s="1340"/>
      <c r="Y1396" s="1340"/>
      <c r="Z1396" s="181" t="s">
        <v>103</v>
      </c>
      <c r="AA1396" s="780" t="s">
        <v>102</v>
      </c>
      <c r="AB1396" s="779" t="s">
        <v>1142</v>
      </c>
      <c r="AC1396" s="237">
        <v>1743.0150337529501</v>
      </c>
      <c r="AD1396" s="779" t="str">
        <f>AB1396</f>
        <v xml:space="preserve">  Доход от взимания платы за негативное воздействие на работу централизованной системы водоотведения</v>
      </c>
      <c r="AE1396" s="237">
        <v>0</v>
      </c>
      <c r="AF1396" s="1351"/>
      <c r="AG1396" s="1353"/>
      <c r="AH1396" s="1353"/>
      <c r="AI1396" s="1351"/>
      <c r="AJ1396" s="1353"/>
      <c r="AK1396" s="1354"/>
      <c r="AL1396" s="772"/>
    </row>
    <row r="1397" spans="1:38" ht="11.25" customHeight="1">
      <c r="A1397" t="s">
        <v>1019</v>
      </c>
      <c r="E1397" s="557"/>
      <c r="F1397" s="1339"/>
      <c r="G1397" s="1340"/>
      <c r="H1397" s="1335" t="s">
        <v>90</v>
      </c>
      <c r="I1397" s="1347"/>
      <c r="J1397" s="1363"/>
      <c r="K1397" s="1349"/>
      <c r="L1397" s="1079"/>
      <c r="M1397" s="1364"/>
      <c r="N1397" s="1355"/>
      <c r="O1397" s="1356"/>
      <c r="P1397" s="1359"/>
      <c r="Q1397" s="1308"/>
      <c r="R1397" s="1308"/>
      <c r="S1397" s="1361"/>
      <c r="T1397" s="1308"/>
      <c r="U1397" s="1308"/>
      <c r="V1397" s="1308"/>
      <c r="W1397" s="1308"/>
      <c r="X1397" s="1308"/>
      <c r="Y1397" s="1308"/>
      <c r="Z1397" s="229"/>
      <c r="AA1397" s="230"/>
      <c r="AB1397" s="44" t="s">
        <v>1059</v>
      </c>
      <c r="AC1397" s="231"/>
      <c r="AD1397" s="231"/>
      <c r="AE1397" s="246"/>
      <c r="AF1397" s="1350"/>
      <c r="AG1397" s="1352"/>
      <c r="AH1397" s="1352"/>
      <c r="AI1397" s="1350"/>
      <c r="AJ1397" s="1352"/>
      <c r="AK1397" s="1352"/>
      <c r="AL1397" s="772"/>
    </row>
    <row r="1398" spans="1:38" ht="11.25" customHeight="1">
      <c r="A1398" t="s">
        <v>1019</v>
      </c>
      <c r="E1398" s="557"/>
      <c r="F1398" s="1339"/>
      <c r="G1398" s="1340"/>
      <c r="H1398" s="1335" t="s">
        <v>90</v>
      </c>
      <c r="I1398" s="1347"/>
      <c r="J1398" s="1363"/>
      <c r="K1398" s="1349"/>
      <c r="L1398" s="1079"/>
      <c r="M1398" s="1364"/>
      <c r="N1398" s="229"/>
      <c r="O1398" s="230"/>
      <c r="P1398" s="44" t="s">
        <v>1060</v>
      </c>
      <c r="Q1398" s="230"/>
      <c r="R1398" s="230"/>
      <c r="S1398" s="230"/>
      <c r="T1398" s="230"/>
      <c r="U1398" s="230"/>
      <c r="V1398" s="230"/>
      <c r="W1398" s="230"/>
      <c r="X1398" s="230"/>
      <c r="Y1398" s="230"/>
      <c r="Z1398" s="230"/>
      <c r="AA1398" s="230"/>
      <c r="AB1398" s="230"/>
      <c r="AC1398" s="230"/>
      <c r="AD1398" s="230"/>
      <c r="AE1398" s="247"/>
      <c r="AF1398" s="1350"/>
      <c r="AG1398" s="1352"/>
      <c r="AH1398" s="1352"/>
      <c r="AI1398" s="1350"/>
      <c r="AJ1398" s="1352"/>
      <c r="AK1398" s="1352"/>
      <c r="AL1398" s="772"/>
    </row>
    <row r="1399" spans="1:38" ht="12" customHeight="1">
      <c r="A1399" s="1030" t="s">
        <v>1019</v>
      </c>
      <c r="E1399" s="557"/>
      <c r="F1399" s="1341"/>
      <c r="G1399" s="775"/>
      <c r="H1399" s="775"/>
      <c r="I1399" s="1337" t="s">
        <v>1070</v>
      </c>
      <c r="J1399" s="1337"/>
      <c r="K1399" s="1337"/>
      <c r="L1399" s="776"/>
      <c r="M1399" s="776"/>
      <c r="N1399" s="777"/>
      <c r="O1399" s="777"/>
      <c r="P1399" s="777"/>
      <c r="Q1399" s="777"/>
      <c r="R1399" s="777"/>
      <c r="S1399" s="777"/>
      <c r="T1399" s="777"/>
      <c r="U1399" s="777"/>
      <c r="V1399" s="777"/>
      <c r="W1399" s="777"/>
      <c r="X1399" s="777"/>
      <c r="Y1399" s="777"/>
      <c r="Z1399" s="777"/>
      <c r="AA1399" s="777"/>
      <c r="AB1399" s="777"/>
      <c r="AC1399" s="777"/>
      <c r="AD1399" s="777"/>
      <c r="AE1399" s="777"/>
      <c r="AF1399" s="777"/>
      <c r="AG1399" s="776"/>
      <c r="AH1399" s="776"/>
      <c r="AI1399" s="777"/>
      <c r="AJ1399" s="776"/>
      <c r="AK1399" s="777"/>
      <c r="AL1399" s="772"/>
    </row>
    <row r="1400" spans="1:38" ht="0.75" customHeight="1">
      <c r="A1400" s="1030" t="s">
        <v>1019</v>
      </c>
      <c r="E1400" s="557"/>
      <c r="F1400" s="1338">
        <v>2029</v>
      </c>
      <c r="G1400" s="1335"/>
      <c r="H1400" s="1343" t="s">
        <v>384</v>
      </c>
      <c r="I1400" s="1344"/>
      <c r="J1400" s="1334"/>
      <c r="K1400" s="1334"/>
      <c r="L1400" s="1336"/>
      <c r="M1400" s="1190"/>
      <c r="N1400" s="214"/>
      <c r="O1400" s="215"/>
      <c r="P1400" s="214"/>
      <c r="Q1400" s="214"/>
      <c r="R1400" s="214"/>
      <c r="S1400" s="214"/>
      <c r="T1400" s="214"/>
      <c r="U1400" s="214"/>
      <c r="V1400" s="214"/>
      <c r="W1400" s="214"/>
      <c r="X1400" s="214"/>
      <c r="Y1400" s="214"/>
      <c r="Z1400" s="214"/>
      <c r="AA1400" s="214"/>
      <c r="AB1400" s="214"/>
      <c r="AC1400" s="214"/>
      <c r="AD1400" s="214"/>
      <c r="AE1400" s="214"/>
      <c r="AF1400" s="1342"/>
      <c r="AG1400" s="1336"/>
      <c r="AH1400" s="1336"/>
      <c r="AI1400" s="1342"/>
      <c r="AJ1400" s="1336"/>
      <c r="AK1400" s="1336"/>
      <c r="AL1400" s="772"/>
    </row>
    <row r="1401" spans="1:38" ht="0.75" customHeight="1">
      <c r="A1401" s="1030" t="s">
        <v>1019</v>
      </c>
      <c r="E1401" s="557"/>
      <c r="F1401" s="1338"/>
      <c r="G1401" s="1335"/>
      <c r="H1401" s="1343"/>
      <c r="I1401" s="1344"/>
      <c r="J1401" s="1334"/>
      <c r="K1401" s="1334"/>
      <c r="L1401" s="1336"/>
      <c r="M1401" s="1190"/>
      <c r="N1401" s="1345"/>
      <c r="O1401" s="1346"/>
      <c r="P1401" s="1331"/>
      <c r="Q1401" s="1334"/>
      <c r="R1401" s="1334"/>
      <c r="S1401" s="1334"/>
      <c r="T1401" s="1334"/>
      <c r="U1401" s="1334"/>
      <c r="V1401" s="1334"/>
      <c r="W1401" s="1334"/>
      <c r="X1401" s="1334"/>
      <c r="Y1401" s="1334"/>
      <c r="Z1401" s="216"/>
      <c r="AA1401" s="217"/>
      <c r="AB1401" s="217"/>
      <c r="AC1401" s="218"/>
      <c r="AD1401" s="218"/>
      <c r="AE1401" s="219"/>
      <c r="AF1401" s="1342"/>
      <c r="AG1401" s="1336"/>
      <c r="AH1401" s="1336"/>
      <c r="AI1401" s="1342"/>
      <c r="AJ1401" s="1336"/>
      <c r="AK1401" s="1336"/>
      <c r="AL1401" s="772"/>
    </row>
    <row r="1402" spans="1:38" ht="0.75" customHeight="1">
      <c r="A1402" s="1030" t="s">
        <v>1019</v>
      </c>
      <c r="E1402" s="557"/>
      <c r="F1402" s="1338"/>
      <c r="G1402" s="1335"/>
      <c r="H1402" s="1343"/>
      <c r="I1402" s="1344"/>
      <c r="J1402" s="1334"/>
      <c r="K1402" s="1334"/>
      <c r="L1402" s="1336"/>
      <c r="M1402" s="1190"/>
      <c r="N1402" s="1345"/>
      <c r="O1402" s="1346"/>
      <c r="P1402" s="1332"/>
      <c r="Q1402" s="1334"/>
      <c r="R1402" s="1334"/>
      <c r="S1402" s="1334"/>
      <c r="T1402" s="1334"/>
      <c r="U1402" s="1334"/>
      <c r="V1402" s="1334"/>
      <c r="W1402" s="1334"/>
      <c r="X1402" s="1334"/>
      <c r="Y1402" s="1334"/>
      <c r="AA1402" s="773"/>
      <c r="AB1402" s="774"/>
      <c r="AC1402" s="220"/>
      <c r="AD1402" s="774"/>
      <c r="AE1402" s="220"/>
      <c r="AF1402" s="1342"/>
      <c r="AG1402" s="1336"/>
      <c r="AH1402" s="1336"/>
      <c r="AI1402" s="1342"/>
      <c r="AJ1402" s="1336"/>
      <c r="AK1402" s="1336"/>
      <c r="AL1402" s="772"/>
    </row>
    <row r="1403" spans="1:38" ht="0.75" customHeight="1">
      <c r="A1403" s="1030" t="s">
        <v>1019</v>
      </c>
      <c r="E1403" s="557"/>
      <c r="F1403" s="1338"/>
      <c r="G1403" s="1335"/>
      <c r="H1403" s="1343"/>
      <c r="I1403" s="1344"/>
      <c r="J1403" s="1334"/>
      <c r="K1403" s="1334"/>
      <c r="L1403" s="1336"/>
      <c r="M1403" s="1190"/>
      <c r="N1403" s="1345"/>
      <c r="O1403" s="1346"/>
      <c r="P1403" s="1333"/>
      <c r="Q1403" s="1334"/>
      <c r="R1403" s="1334"/>
      <c r="S1403" s="1334"/>
      <c r="T1403" s="1334"/>
      <c r="U1403" s="1334"/>
      <c r="V1403" s="1334"/>
      <c r="W1403" s="1334"/>
      <c r="X1403" s="1334"/>
      <c r="Y1403" s="1334"/>
      <c r="Z1403" s="216"/>
      <c r="AA1403" s="217"/>
      <c r="AB1403" s="221"/>
      <c r="AC1403" s="218"/>
      <c r="AD1403" s="218"/>
      <c r="AE1403" s="222"/>
      <c r="AF1403" s="1342"/>
      <c r="AG1403" s="1336"/>
      <c r="AH1403" s="1336"/>
      <c r="AI1403" s="1342"/>
      <c r="AJ1403" s="1336"/>
      <c r="AK1403" s="1336"/>
      <c r="AL1403" s="772"/>
    </row>
    <row r="1404" spans="1:38" ht="0.75" customHeight="1">
      <c r="A1404" s="1030" t="s">
        <v>1019</v>
      </c>
      <c r="E1404" s="557"/>
      <c r="F1404" s="1338"/>
      <c r="G1404" s="1335"/>
      <c r="H1404" s="1343"/>
      <c r="I1404" s="1344"/>
      <c r="J1404" s="1334"/>
      <c r="K1404" s="1334"/>
      <c r="L1404" s="1336"/>
      <c r="M1404" s="1190"/>
      <c r="N1404" s="217"/>
      <c r="O1404" s="217"/>
      <c r="P1404" s="221"/>
      <c r="Q1404" s="217"/>
      <c r="R1404" s="217"/>
      <c r="S1404" s="217"/>
      <c r="T1404" s="217"/>
      <c r="U1404" s="217"/>
      <c r="V1404" s="217"/>
      <c r="W1404" s="217"/>
      <c r="X1404" s="217"/>
      <c r="Y1404" s="217"/>
      <c r="Z1404" s="217"/>
      <c r="AA1404" s="217"/>
      <c r="AB1404" s="217"/>
      <c r="AC1404" s="217"/>
      <c r="AD1404" s="217"/>
      <c r="AE1404" s="223"/>
      <c r="AF1404" s="1342"/>
      <c r="AG1404" s="1336"/>
      <c r="AH1404" s="1336"/>
      <c r="AI1404" s="1342"/>
      <c r="AJ1404" s="1336"/>
      <c r="AK1404" s="1336"/>
      <c r="AL1404" s="772"/>
    </row>
    <row r="1405" spans="1:38" ht="11.25" customHeight="1">
      <c r="A1405" t="s">
        <v>1019</v>
      </c>
      <c r="B1405" t="s">
        <v>1051</v>
      </c>
      <c r="E1405" s="557"/>
      <c r="F1405" s="1339"/>
      <c r="G1405" s="1325" t="s">
        <v>103</v>
      </c>
      <c r="H1405" s="1335" t="s">
        <v>114</v>
      </c>
      <c r="I1405" s="1347" t="s">
        <v>1052</v>
      </c>
      <c r="J1405" s="1363" t="s">
        <v>1053</v>
      </c>
      <c r="K1405" s="1349" t="s">
        <v>1204</v>
      </c>
      <c r="L1405" s="1079" t="s">
        <v>19</v>
      </c>
      <c r="M1405" s="1080"/>
      <c r="N1405" s="242"/>
      <c r="O1405" s="243" t="s">
        <v>384</v>
      </c>
      <c r="P1405" s="244"/>
      <c r="Q1405" s="244"/>
      <c r="R1405" s="244"/>
      <c r="S1405" s="244"/>
      <c r="T1405" s="244"/>
      <c r="U1405" s="244"/>
      <c r="V1405" s="244"/>
      <c r="W1405" s="244"/>
      <c r="X1405" s="244"/>
      <c r="Y1405" s="244"/>
      <c r="Z1405" s="244"/>
      <c r="AA1405" s="244"/>
      <c r="AB1405" s="244"/>
      <c r="AC1405" s="244"/>
      <c r="AD1405" s="244"/>
      <c r="AE1405" s="244"/>
      <c r="AF1405" s="1350">
        <v>2</v>
      </c>
      <c r="AG1405" s="1352" t="s">
        <v>1055</v>
      </c>
      <c r="AH1405" s="1352" t="s">
        <v>1095</v>
      </c>
      <c r="AI1405" s="1350">
        <v>2</v>
      </c>
      <c r="AJ1405" s="1352" t="s">
        <v>1055</v>
      </c>
      <c r="AK1405" s="1352" t="s">
        <v>1095</v>
      </c>
      <c r="AL1405" s="772"/>
    </row>
    <row r="1406" spans="1:38" ht="11.25" customHeight="1">
      <c r="A1406" t="s">
        <v>1019</v>
      </c>
      <c r="E1406" s="557"/>
      <c r="F1406" s="1339"/>
      <c r="G1406" s="1340"/>
      <c r="H1406" s="1335" t="s">
        <v>384</v>
      </c>
      <c r="I1406" s="1347"/>
      <c r="J1406" s="1363"/>
      <c r="K1406" s="1349"/>
      <c r="L1406" s="1079"/>
      <c r="M1406" s="1080"/>
      <c r="N1406" s="1355"/>
      <c r="O1406" s="1356">
        <v>1</v>
      </c>
      <c r="P1406" s="1357" t="s">
        <v>19</v>
      </c>
      <c r="Q1406" s="1308" t="s">
        <v>22</v>
      </c>
      <c r="R1406" s="1308" t="s">
        <v>22</v>
      </c>
      <c r="S1406" s="1308" t="s">
        <v>22</v>
      </c>
      <c r="T1406" s="1308" t="s">
        <v>22</v>
      </c>
      <c r="U1406" s="1308" t="s">
        <v>22</v>
      </c>
      <c r="V1406" s="1308" t="s">
        <v>22</v>
      </c>
      <c r="W1406" s="1308" t="s">
        <v>22</v>
      </c>
      <c r="X1406" s="1308" t="s">
        <v>22</v>
      </c>
      <c r="Y1406" s="1308"/>
      <c r="Z1406" s="229"/>
      <c r="AA1406" s="230"/>
      <c r="AB1406" s="230"/>
      <c r="AC1406" s="231"/>
      <c r="AD1406" s="231"/>
      <c r="AE1406" s="245"/>
      <c r="AF1406" s="1350"/>
      <c r="AG1406" s="1352"/>
      <c r="AH1406" s="1352"/>
      <c r="AI1406" s="1350"/>
      <c r="AJ1406" s="1352"/>
      <c r="AK1406" s="1352"/>
      <c r="AL1406" s="772"/>
    </row>
    <row r="1407" spans="1:38" ht="11.25" customHeight="1">
      <c r="A1407" t="s">
        <v>1019</v>
      </c>
      <c r="E1407" s="557"/>
      <c r="F1407" s="1339"/>
      <c r="G1407" s="1340"/>
      <c r="H1407" s="1335" t="s">
        <v>384</v>
      </c>
      <c r="I1407" s="1347"/>
      <c r="J1407" s="1363"/>
      <c r="K1407" s="1349"/>
      <c r="L1407" s="1079"/>
      <c r="M1407" s="1080"/>
      <c r="N1407" s="1355"/>
      <c r="O1407" s="1356"/>
      <c r="P1407" s="1358"/>
      <c r="Q1407" s="1308"/>
      <c r="R1407" s="1308"/>
      <c r="S1407" s="1361"/>
      <c r="T1407" s="1308"/>
      <c r="U1407" s="1308"/>
      <c r="V1407" s="1308"/>
      <c r="W1407" s="1308"/>
      <c r="X1407" s="1308"/>
      <c r="Y1407" s="1308"/>
      <c r="AA1407" s="778">
        <v>1</v>
      </c>
      <c r="AB1407" s="779" t="s">
        <v>1120</v>
      </c>
      <c r="AC1407" s="237">
        <v>53453.768949999903</v>
      </c>
      <c r="AD1407" s="779" t="str">
        <f>AB1407</f>
        <v xml:space="preserve">     Прочие амортизационные отчисления</v>
      </c>
      <c r="AE1407" s="237">
        <v>0</v>
      </c>
      <c r="AF1407" s="1350"/>
      <c r="AG1407" s="1352"/>
      <c r="AH1407" s="1352"/>
      <c r="AI1407" s="1350"/>
      <c r="AJ1407" s="1352"/>
      <c r="AK1407" s="1352"/>
      <c r="AL1407" s="772"/>
    </row>
    <row r="1408" spans="1:38" ht="11.25" customHeight="1">
      <c r="A1408" t="s">
        <v>1019</v>
      </c>
      <c r="E1408" s="557"/>
      <c r="F1408" s="1339"/>
      <c r="G1408" s="1340"/>
      <c r="H1408" s="1335" t="s">
        <v>384</v>
      </c>
      <c r="I1408" s="1347"/>
      <c r="J1408" s="1363"/>
      <c r="K1408" s="1349"/>
      <c r="L1408" s="1079"/>
      <c r="M1408" s="1080"/>
      <c r="N1408" s="1355"/>
      <c r="O1408" s="1356"/>
      <c r="P1408" s="1359"/>
      <c r="Q1408" s="1308"/>
      <c r="R1408" s="1308"/>
      <c r="S1408" s="1361"/>
      <c r="T1408" s="1308"/>
      <c r="U1408" s="1308"/>
      <c r="V1408" s="1308"/>
      <c r="W1408" s="1308"/>
      <c r="X1408" s="1308"/>
      <c r="Y1408" s="1308"/>
      <c r="Z1408" s="229"/>
      <c r="AA1408" s="230"/>
      <c r="AB1408" s="44" t="s">
        <v>1059</v>
      </c>
      <c r="AC1408" s="231"/>
      <c r="AD1408" s="231"/>
      <c r="AE1408" s="246"/>
      <c r="AF1408" s="1350"/>
      <c r="AG1408" s="1352"/>
      <c r="AH1408" s="1352"/>
      <c r="AI1408" s="1350"/>
      <c r="AJ1408" s="1352"/>
      <c r="AK1408" s="1352"/>
      <c r="AL1408" s="772"/>
    </row>
    <row r="1409" spans="1:38" ht="11.25" customHeight="1">
      <c r="A1409" t="s">
        <v>1019</v>
      </c>
      <c r="E1409" s="557"/>
      <c r="F1409" s="1339"/>
      <c r="G1409" s="1340"/>
      <c r="H1409" s="1335" t="s">
        <v>384</v>
      </c>
      <c r="I1409" s="1347"/>
      <c r="J1409" s="1363"/>
      <c r="K1409" s="1349"/>
      <c r="L1409" s="1079"/>
      <c r="M1409" s="1080"/>
      <c r="N1409" s="229"/>
      <c r="O1409" s="230"/>
      <c r="P1409" s="44" t="s">
        <v>1060</v>
      </c>
      <c r="Q1409" s="230"/>
      <c r="R1409" s="230"/>
      <c r="S1409" s="230"/>
      <c r="T1409" s="230"/>
      <c r="U1409" s="230"/>
      <c r="V1409" s="230"/>
      <c r="W1409" s="230"/>
      <c r="X1409" s="230"/>
      <c r="Y1409" s="230"/>
      <c r="Z1409" s="230"/>
      <c r="AA1409" s="230"/>
      <c r="AB1409" s="230"/>
      <c r="AC1409" s="230"/>
      <c r="AD1409" s="230"/>
      <c r="AE1409" s="247"/>
      <c r="AF1409" s="1350"/>
      <c r="AG1409" s="1352"/>
      <c r="AH1409" s="1352"/>
      <c r="AI1409" s="1350"/>
      <c r="AJ1409" s="1352"/>
      <c r="AK1409" s="1352"/>
      <c r="AL1409" s="772"/>
    </row>
    <row r="1410" spans="1:38" ht="11.25" customHeight="1">
      <c r="A1410" t="s">
        <v>1019</v>
      </c>
      <c r="B1410" t="s">
        <v>1051</v>
      </c>
      <c r="E1410" s="557"/>
      <c r="F1410" s="1339"/>
      <c r="G1410" s="1325" t="s">
        <v>103</v>
      </c>
      <c r="H1410" s="1335" t="s">
        <v>102</v>
      </c>
      <c r="I1410" s="1347" t="s">
        <v>1052</v>
      </c>
      <c r="J1410" s="1363" t="s">
        <v>1053</v>
      </c>
      <c r="K1410" s="1349" t="s">
        <v>1202</v>
      </c>
      <c r="L1410" s="1079" t="s">
        <v>19</v>
      </c>
      <c r="M1410" s="1080"/>
      <c r="N1410" s="242"/>
      <c r="O1410" s="243" t="s">
        <v>384</v>
      </c>
      <c r="P1410" s="244"/>
      <c r="Q1410" s="244"/>
      <c r="R1410" s="244"/>
      <c r="S1410" s="244"/>
      <c r="T1410" s="244"/>
      <c r="U1410" s="244"/>
      <c r="V1410" s="244"/>
      <c r="W1410" s="244"/>
      <c r="X1410" s="244"/>
      <c r="Y1410" s="244"/>
      <c r="Z1410" s="244"/>
      <c r="AA1410" s="244"/>
      <c r="AB1410" s="244"/>
      <c r="AC1410" s="244"/>
      <c r="AD1410" s="244"/>
      <c r="AE1410" s="244"/>
      <c r="AF1410" s="1350">
        <v>1</v>
      </c>
      <c r="AG1410" s="1352" t="s">
        <v>1055</v>
      </c>
      <c r="AH1410" s="1352" t="s">
        <v>1203</v>
      </c>
      <c r="AI1410" s="1350">
        <v>1</v>
      </c>
      <c r="AJ1410" s="1352" t="s">
        <v>1055</v>
      </c>
      <c r="AK1410" s="1352" t="s">
        <v>1203</v>
      </c>
      <c r="AL1410" s="772"/>
    </row>
    <row r="1411" spans="1:38" ht="11.25" customHeight="1">
      <c r="A1411" t="s">
        <v>1019</v>
      </c>
      <c r="E1411" s="557"/>
      <c r="F1411" s="1339"/>
      <c r="G1411" s="1340"/>
      <c r="H1411" s="1335" t="s">
        <v>114</v>
      </c>
      <c r="I1411" s="1347"/>
      <c r="J1411" s="1363"/>
      <c r="K1411" s="1349"/>
      <c r="L1411" s="1079"/>
      <c r="M1411" s="1080"/>
      <c r="N1411" s="1355"/>
      <c r="O1411" s="1356">
        <v>1</v>
      </c>
      <c r="P1411" s="1357" t="s">
        <v>19</v>
      </c>
      <c r="Q1411" s="1308" t="s">
        <v>22</v>
      </c>
      <c r="R1411" s="1308" t="s">
        <v>22</v>
      </c>
      <c r="S1411" s="1308" t="s">
        <v>22</v>
      </c>
      <c r="T1411" s="1308" t="s">
        <v>22</v>
      </c>
      <c r="U1411" s="1308" t="s">
        <v>22</v>
      </c>
      <c r="V1411" s="1308" t="s">
        <v>22</v>
      </c>
      <c r="W1411" s="1308" t="s">
        <v>22</v>
      </c>
      <c r="X1411" s="1308" t="s">
        <v>22</v>
      </c>
      <c r="Y1411" s="1308"/>
      <c r="Z1411" s="229"/>
      <c r="AA1411" s="230"/>
      <c r="AB1411" s="230"/>
      <c r="AC1411" s="231"/>
      <c r="AD1411" s="231"/>
      <c r="AE1411" s="245"/>
      <c r="AF1411" s="1350"/>
      <c r="AG1411" s="1352"/>
      <c r="AH1411" s="1352"/>
      <c r="AI1411" s="1350"/>
      <c r="AJ1411" s="1352"/>
      <c r="AK1411" s="1352"/>
      <c r="AL1411" s="772"/>
    </row>
    <row r="1412" spans="1:38" ht="11.25" customHeight="1">
      <c r="A1412" t="s">
        <v>1019</v>
      </c>
      <c r="E1412" s="557"/>
      <c r="F1412" s="1339"/>
      <c r="G1412" s="1340"/>
      <c r="H1412" s="1335" t="s">
        <v>114</v>
      </c>
      <c r="I1412" s="1347"/>
      <c r="J1412" s="1363"/>
      <c r="K1412" s="1349"/>
      <c r="L1412" s="1079"/>
      <c r="M1412" s="1080"/>
      <c r="N1412" s="1355"/>
      <c r="O1412" s="1356"/>
      <c r="P1412" s="1358"/>
      <c r="Q1412" s="1308"/>
      <c r="R1412" s="1308"/>
      <c r="S1412" s="1361"/>
      <c r="T1412" s="1308"/>
      <c r="U1412" s="1308"/>
      <c r="V1412" s="1308"/>
      <c r="W1412" s="1308"/>
      <c r="X1412" s="1308"/>
      <c r="Y1412" s="1308"/>
      <c r="AA1412" s="778">
        <v>1</v>
      </c>
      <c r="AB1412" s="779" t="s">
        <v>1120</v>
      </c>
      <c r="AC1412" s="237">
        <v>29152.761553333501</v>
      </c>
      <c r="AD1412" s="779" t="str">
        <f>AB1412</f>
        <v xml:space="preserve">     Прочие амортизационные отчисления</v>
      </c>
      <c r="AE1412" s="237">
        <v>0</v>
      </c>
      <c r="AF1412" s="1350"/>
      <c r="AG1412" s="1352"/>
      <c r="AH1412" s="1352"/>
      <c r="AI1412" s="1350"/>
      <c r="AJ1412" s="1352"/>
      <c r="AK1412" s="1352"/>
      <c r="AL1412" s="772"/>
    </row>
    <row r="1413" spans="1:38" ht="11.25" customHeight="1">
      <c r="A1413" t="s">
        <v>1019</v>
      </c>
      <c r="E1413" s="557"/>
      <c r="F1413" s="1339"/>
      <c r="G1413" s="1340"/>
      <c r="H1413" s="1335" t="s">
        <v>114</v>
      </c>
      <c r="I1413" s="1347"/>
      <c r="J1413" s="1363"/>
      <c r="K1413" s="1349"/>
      <c r="L1413" s="1079"/>
      <c r="M1413" s="1080"/>
      <c r="N1413" s="1355"/>
      <c r="O1413" s="1356"/>
      <c r="P1413" s="1359"/>
      <c r="Q1413" s="1308"/>
      <c r="R1413" s="1308"/>
      <c r="S1413" s="1361"/>
      <c r="T1413" s="1308"/>
      <c r="U1413" s="1308"/>
      <c r="V1413" s="1308"/>
      <c r="W1413" s="1308"/>
      <c r="X1413" s="1308"/>
      <c r="Y1413" s="1308"/>
      <c r="Z1413" s="229"/>
      <c r="AA1413" s="230"/>
      <c r="AB1413" s="44" t="s">
        <v>1059</v>
      </c>
      <c r="AC1413" s="231"/>
      <c r="AD1413" s="231"/>
      <c r="AE1413" s="246"/>
      <c r="AF1413" s="1350"/>
      <c r="AG1413" s="1352"/>
      <c r="AH1413" s="1352"/>
      <c r="AI1413" s="1350"/>
      <c r="AJ1413" s="1352"/>
      <c r="AK1413" s="1352"/>
      <c r="AL1413" s="772"/>
    </row>
    <row r="1414" spans="1:38" ht="11.25" customHeight="1">
      <c r="A1414" t="s">
        <v>1019</v>
      </c>
      <c r="E1414" s="557"/>
      <c r="F1414" s="1339"/>
      <c r="G1414" s="1340"/>
      <c r="H1414" s="1335" t="s">
        <v>114</v>
      </c>
      <c r="I1414" s="1347"/>
      <c r="J1414" s="1363"/>
      <c r="K1414" s="1349"/>
      <c r="L1414" s="1079"/>
      <c r="M1414" s="1080"/>
      <c r="N1414" s="229"/>
      <c r="O1414" s="230"/>
      <c r="P1414" s="44" t="s">
        <v>1060</v>
      </c>
      <c r="Q1414" s="230"/>
      <c r="R1414" s="230"/>
      <c r="S1414" s="230"/>
      <c r="T1414" s="230"/>
      <c r="U1414" s="230"/>
      <c r="V1414" s="230"/>
      <c r="W1414" s="230"/>
      <c r="X1414" s="230"/>
      <c r="Y1414" s="230"/>
      <c r="Z1414" s="230"/>
      <c r="AA1414" s="230"/>
      <c r="AB1414" s="230"/>
      <c r="AC1414" s="230"/>
      <c r="AD1414" s="230"/>
      <c r="AE1414" s="247"/>
      <c r="AF1414" s="1350"/>
      <c r="AG1414" s="1352"/>
      <c r="AH1414" s="1352"/>
      <c r="AI1414" s="1350"/>
      <c r="AJ1414" s="1352"/>
      <c r="AK1414" s="1352"/>
      <c r="AL1414" s="772"/>
    </row>
    <row r="1415" spans="1:38" ht="11.25" customHeight="1">
      <c r="A1415" t="s">
        <v>1019</v>
      </c>
      <c r="B1415" t="s">
        <v>1051</v>
      </c>
      <c r="E1415" s="557"/>
      <c r="F1415" s="1339"/>
      <c r="G1415" s="1325" t="s">
        <v>103</v>
      </c>
      <c r="H1415" s="1335" t="s">
        <v>89</v>
      </c>
      <c r="I1415" s="1347" t="s">
        <v>1052</v>
      </c>
      <c r="J1415" s="1363" t="s">
        <v>1053</v>
      </c>
      <c r="K1415" s="1349" t="s">
        <v>1140</v>
      </c>
      <c r="L1415" s="1079" t="s">
        <v>19</v>
      </c>
      <c r="M1415" s="1080"/>
      <c r="N1415" s="242"/>
      <c r="O1415" s="243" t="s">
        <v>384</v>
      </c>
      <c r="P1415" s="244"/>
      <c r="Q1415" s="244"/>
      <c r="R1415" s="244"/>
      <c r="S1415" s="244"/>
      <c r="T1415" s="244"/>
      <c r="U1415" s="244"/>
      <c r="V1415" s="244"/>
      <c r="W1415" s="244"/>
      <c r="X1415" s="244"/>
      <c r="Y1415" s="244"/>
      <c r="Z1415" s="244"/>
      <c r="AA1415" s="244"/>
      <c r="AB1415" s="244"/>
      <c r="AC1415" s="244"/>
      <c r="AD1415" s="244"/>
      <c r="AE1415" s="244"/>
      <c r="AF1415" s="1350">
        <v>2</v>
      </c>
      <c r="AG1415" s="1352" t="s">
        <v>1055</v>
      </c>
      <c r="AH1415" s="1352" t="s">
        <v>1095</v>
      </c>
      <c r="AI1415" s="1350">
        <v>2</v>
      </c>
      <c r="AJ1415" s="1352" t="s">
        <v>1055</v>
      </c>
      <c r="AK1415" s="1352" t="s">
        <v>1095</v>
      </c>
      <c r="AL1415" s="772"/>
    </row>
    <row r="1416" spans="1:38" ht="11.25" customHeight="1">
      <c r="A1416" t="s">
        <v>1019</v>
      </c>
      <c r="E1416" s="557"/>
      <c r="F1416" s="1339"/>
      <c r="G1416" s="1340"/>
      <c r="H1416" s="1335" t="s">
        <v>102</v>
      </c>
      <c r="I1416" s="1347"/>
      <c r="J1416" s="1363"/>
      <c r="K1416" s="1349"/>
      <c r="L1416" s="1079"/>
      <c r="M1416" s="1080"/>
      <c r="N1416" s="1355"/>
      <c r="O1416" s="1356">
        <v>1</v>
      </c>
      <c r="P1416" s="1357" t="s">
        <v>19</v>
      </c>
      <c r="Q1416" s="1308" t="s">
        <v>22</v>
      </c>
      <c r="R1416" s="1308" t="s">
        <v>22</v>
      </c>
      <c r="S1416" s="1308" t="s">
        <v>22</v>
      </c>
      <c r="T1416" s="1308" t="s">
        <v>22</v>
      </c>
      <c r="U1416" s="1308" t="s">
        <v>22</v>
      </c>
      <c r="V1416" s="1308" t="s">
        <v>22</v>
      </c>
      <c r="W1416" s="1308" t="s">
        <v>22</v>
      </c>
      <c r="X1416" s="1308" t="s">
        <v>22</v>
      </c>
      <c r="Y1416" s="1308"/>
      <c r="Z1416" s="229"/>
      <c r="AA1416" s="230"/>
      <c r="AB1416" s="230"/>
      <c r="AC1416" s="231"/>
      <c r="AD1416" s="231"/>
      <c r="AE1416" s="245"/>
      <c r="AF1416" s="1350"/>
      <c r="AG1416" s="1352"/>
      <c r="AH1416" s="1352"/>
      <c r="AI1416" s="1350"/>
      <c r="AJ1416" s="1352"/>
      <c r="AK1416" s="1352"/>
      <c r="AL1416" s="772"/>
    </row>
    <row r="1417" spans="1:38" ht="11.25" customHeight="1">
      <c r="A1417" t="s">
        <v>1019</v>
      </c>
      <c r="E1417" s="557"/>
      <c r="F1417" s="1339"/>
      <c r="G1417" s="1340"/>
      <c r="H1417" s="1335" t="s">
        <v>102</v>
      </c>
      <c r="I1417" s="1347"/>
      <c r="J1417" s="1363"/>
      <c r="K1417" s="1349"/>
      <c r="L1417" s="1079"/>
      <c r="M1417" s="1080"/>
      <c r="N1417" s="1355"/>
      <c r="O1417" s="1356"/>
      <c r="P1417" s="1358"/>
      <c r="Q1417" s="1308"/>
      <c r="R1417" s="1308"/>
      <c r="S1417" s="1361"/>
      <c r="T1417" s="1308"/>
      <c r="U1417" s="1308"/>
      <c r="V1417" s="1308"/>
      <c r="W1417" s="1308"/>
      <c r="X1417" s="1308"/>
      <c r="Y1417" s="1308"/>
      <c r="AA1417" s="778">
        <v>1</v>
      </c>
      <c r="AB1417" s="779" t="s">
        <v>1120</v>
      </c>
      <c r="AC1417" s="237">
        <v>20661.136166666602</v>
      </c>
      <c r="AD1417" s="779" t="str">
        <f>AB1417</f>
        <v xml:space="preserve">     Прочие амортизационные отчисления</v>
      </c>
      <c r="AE1417" s="237">
        <v>0</v>
      </c>
      <c r="AF1417" s="1350"/>
      <c r="AG1417" s="1352"/>
      <c r="AH1417" s="1352"/>
      <c r="AI1417" s="1350"/>
      <c r="AJ1417" s="1352"/>
      <c r="AK1417" s="1352"/>
      <c r="AL1417" s="772"/>
    </row>
    <row r="1418" spans="1:38" ht="11.25" customHeight="1">
      <c r="A1418" t="s">
        <v>1019</v>
      </c>
      <c r="E1418" s="557"/>
      <c r="F1418" s="1339"/>
      <c r="G1418" s="1340"/>
      <c r="H1418" s="1335" t="s">
        <v>102</v>
      </c>
      <c r="I1418" s="1347"/>
      <c r="J1418" s="1363"/>
      <c r="K1418" s="1349"/>
      <c r="L1418" s="1079"/>
      <c r="M1418" s="1080"/>
      <c r="N1418" s="1355"/>
      <c r="O1418" s="1356"/>
      <c r="P1418" s="1359"/>
      <c r="Q1418" s="1308"/>
      <c r="R1418" s="1308"/>
      <c r="S1418" s="1361"/>
      <c r="T1418" s="1308"/>
      <c r="U1418" s="1308"/>
      <c r="V1418" s="1308"/>
      <c r="W1418" s="1308"/>
      <c r="X1418" s="1308"/>
      <c r="Y1418" s="1308"/>
      <c r="Z1418" s="229"/>
      <c r="AA1418" s="230"/>
      <c r="AB1418" s="44" t="s">
        <v>1059</v>
      </c>
      <c r="AC1418" s="231"/>
      <c r="AD1418" s="231"/>
      <c r="AE1418" s="246"/>
      <c r="AF1418" s="1350"/>
      <c r="AG1418" s="1352"/>
      <c r="AH1418" s="1352"/>
      <c r="AI1418" s="1350"/>
      <c r="AJ1418" s="1352"/>
      <c r="AK1418" s="1352"/>
      <c r="AL1418" s="772"/>
    </row>
    <row r="1419" spans="1:38" ht="11.25" customHeight="1">
      <c r="A1419" t="s">
        <v>1019</v>
      </c>
      <c r="E1419" s="557"/>
      <c r="F1419" s="1339"/>
      <c r="G1419" s="1340"/>
      <c r="H1419" s="1335" t="s">
        <v>102</v>
      </c>
      <c r="I1419" s="1347"/>
      <c r="J1419" s="1363"/>
      <c r="K1419" s="1349"/>
      <c r="L1419" s="1079"/>
      <c r="M1419" s="1080"/>
      <c r="N1419" s="229"/>
      <c r="O1419" s="230"/>
      <c r="P1419" s="44" t="s">
        <v>1060</v>
      </c>
      <c r="Q1419" s="230"/>
      <c r="R1419" s="230"/>
      <c r="S1419" s="230"/>
      <c r="T1419" s="230"/>
      <c r="U1419" s="230"/>
      <c r="V1419" s="230"/>
      <c r="W1419" s="230"/>
      <c r="X1419" s="230"/>
      <c r="Y1419" s="230"/>
      <c r="Z1419" s="230"/>
      <c r="AA1419" s="230"/>
      <c r="AB1419" s="230"/>
      <c r="AC1419" s="230"/>
      <c r="AD1419" s="230"/>
      <c r="AE1419" s="247"/>
      <c r="AF1419" s="1350"/>
      <c r="AG1419" s="1352"/>
      <c r="AH1419" s="1352"/>
      <c r="AI1419" s="1350"/>
      <c r="AJ1419" s="1352"/>
      <c r="AK1419" s="1352"/>
      <c r="AL1419" s="772"/>
    </row>
    <row r="1420" spans="1:38" ht="12" customHeight="1">
      <c r="A1420" s="1030" t="s">
        <v>1019</v>
      </c>
      <c r="E1420" s="557"/>
      <c r="F1420" s="1341"/>
      <c r="G1420" s="775"/>
      <c r="H1420" s="775"/>
      <c r="I1420" s="1337" t="s">
        <v>1070</v>
      </c>
      <c r="J1420" s="1337"/>
      <c r="K1420" s="1337"/>
      <c r="L1420" s="776"/>
      <c r="M1420" s="776"/>
      <c r="N1420" s="777"/>
      <c r="O1420" s="777"/>
      <c r="P1420" s="777"/>
      <c r="Q1420" s="777"/>
      <c r="R1420" s="777"/>
      <c r="S1420" s="777"/>
      <c r="T1420" s="777"/>
      <c r="U1420" s="777"/>
      <c r="V1420" s="777"/>
      <c r="W1420" s="777"/>
      <c r="X1420" s="777"/>
      <c r="Y1420" s="777"/>
      <c r="Z1420" s="777"/>
      <c r="AA1420" s="777"/>
      <c r="AB1420" s="777"/>
      <c r="AC1420" s="777"/>
      <c r="AD1420" s="777"/>
      <c r="AE1420" s="777"/>
      <c r="AF1420" s="777"/>
      <c r="AG1420" s="776"/>
      <c r="AH1420" s="776"/>
      <c r="AI1420" s="777"/>
      <c r="AJ1420" s="776"/>
      <c r="AK1420" s="777"/>
      <c r="AL1420" s="772"/>
    </row>
    <row r="1421" spans="1:38" ht="0.75" customHeight="1">
      <c r="A1421" s="1030" t="s">
        <v>1019</v>
      </c>
      <c r="E1421" s="557"/>
      <c r="F1421" s="1338">
        <v>2030</v>
      </c>
      <c r="G1421" s="1335"/>
      <c r="H1421" s="1343" t="s">
        <v>384</v>
      </c>
      <c r="I1421" s="1344"/>
      <c r="J1421" s="1334"/>
      <c r="K1421" s="1334"/>
      <c r="L1421" s="1336"/>
      <c r="M1421" s="1190"/>
      <c r="N1421" s="214"/>
      <c r="O1421" s="215"/>
      <c r="P1421" s="214"/>
      <c r="Q1421" s="214"/>
      <c r="R1421" s="214"/>
      <c r="S1421" s="214"/>
      <c r="T1421" s="214"/>
      <c r="U1421" s="214"/>
      <c r="V1421" s="214"/>
      <c r="W1421" s="214"/>
      <c r="X1421" s="214"/>
      <c r="Y1421" s="214"/>
      <c r="Z1421" s="214"/>
      <c r="AA1421" s="214"/>
      <c r="AB1421" s="214"/>
      <c r="AC1421" s="214"/>
      <c r="AD1421" s="214"/>
      <c r="AE1421" s="214"/>
      <c r="AF1421" s="1342"/>
      <c r="AG1421" s="1336"/>
      <c r="AH1421" s="1336"/>
      <c r="AI1421" s="1342"/>
      <c r="AJ1421" s="1336"/>
      <c r="AK1421" s="1336"/>
      <c r="AL1421" s="772"/>
    </row>
    <row r="1422" spans="1:38" ht="0.75" customHeight="1">
      <c r="A1422" s="1030" t="s">
        <v>1019</v>
      </c>
      <c r="E1422" s="557"/>
      <c r="F1422" s="1338"/>
      <c r="G1422" s="1335"/>
      <c r="H1422" s="1343"/>
      <c r="I1422" s="1344"/>
      <c r="J1422" s="1334"/>
      <c r="K1422" s="1334"/>
      <c r="L1422" s="1336"/>
      <c r="M1422" s="1190"/>
      <c r="N1422" s="1345"/>
      <c r="O1422" s="1346"/>
      <c r="P1422" s="1331"/>
      <c r="Q1422" s="1334"/>
      <c r="R1422" s="1334"/>
      <c r="S1422" s="1334"/>
      <c r="T1422" s="1334"/>
      <c r="U1422" s="1334"/>
      <c r="V1422" s="1334"/>
      <c r="W1422" s="1334"/>
      <c r="X1422" s="1334"/>
      <c r="Y1422" s="1334"/>
      <c r="Z1422" s="216"/>
      <c r="AA1422" s="217"/>
      <c r="AB1422" s="217"/>
      <c r="AC1422" s="218"/>
      <c r="AD1422" s="218"/>
      <c r="AE1422" s="219"/>
      <c r="AF1422" s="1342"/>
      <c r="AG1422" s="1336"/>
      <c r="AH1422" s="1336"/>
      <c r="AI1422" s="1342"/>
      <c r="AJ1422" s="1336"/>
      <c r="AK1422" s="1336"/>
      <c r="AL1422" s="772"/>
    </row>
    <row r="1423" spans="1:38" ht="0.75" customHeight="1">
      <c r="A1423" s="1030" t="s">
        <v>1019</v>
      </c>
      <c r="E1423" s="557"/>
      <c r="F1423" s="1338"/>
      <c r="G1423" s="1335"/>
      <c r="H1423" s="1343"/>
      <c r="I1423" s="1344"/>
      <c r="J1423" s="1334"/>
      <c r="K1423" s="1334"/>
      <c r="L1423" s="1336"/>
      <c r="M1423" s="1190"/>
      <c r="N1423" s="1345"/>
      <c r="O1423" s="1346"/>
      <c r="P1423" s="1332"/>
      <c r="Q1423" s="1334"/>
      <c r="R1423" s="1334"/>
      <c r="S1423" s="1334"/>
      <c r="T1423" s="1334"/>
      <c r="U1423" s="1334"/>
      <c r="V1423" s="1334"/>
      <c r="W1423" s="1334"/>
      <c r="X1423" s="1334"/>
      <c r="Y1423" s="1334"/>
      <c r="AA1423" s="773"/>
      <c r="AB1423" s="774"/>
      <c r="AC1423" s="220"/>
      <c r="AD1423" s="774"/>
      <c r="AE1423" s="220"/>
      <c r="AF1423" s="1342"/>
      <c r="AG1423" s="1336"/>
      <c r="AH1423" s="1336"/>
      <c r="AI1423" s="1342"/>
      <c r="AJ1423" s="1336"/>
      <c r="AK1423" s="1336"/>
      <c r="AL1423" s="772"/>
    </row>
    <row r="1424" spans="1:38" ht="0.75" customHeight="1">
      <c r="A1424" s="1030" t="s">
        <v>1019</v>
      </c>
      <c r="E1424" s="557"/>
      <c r="F1424" s="1338"/>
      <c r="G1424" s="1335"/>
      <c r="H1424" s="1343"/>
      <c r="I1424" s="1344"/>
      <c r="J1424" s="1334"/>
      <c r="K1424" s="1334"/>
      <c r="L1424" s="1336"/>
      <c r="M1424" s="1190"/>
      <c r="N1424" s="1345"/>
      <c r="O1424" s="1346"/>
      <c r="P1424" s="1333"/>
      <c r="Q1424" s="1334"/>
      <c r="R1424" s="1334"/>
      <c r="S1424" s="1334"/>
      <c r="T1424" s="1334"/>
      <c r="U1424" s="1334"/>
      <c r="V1424" s="1334"/>
      <c r="W1424" s="1334"/>
      <c r="X1424" s="1334"/>
      <c r="Y1424" s="1334"/>
      <c r="Z1424" s="216"/>
      <c r="AA1424" s="217"/>
      <c r="AB1424" s="221"/>
      <c r="AC1424" s="218"/>
      <c r="AD1424" s="218"/>
      <c r="AE1424" s="222"/>
      <c r="AF1424" s="1342"/>
      <c r="AG1424" s="1336"/>
      <c r="AH1424" s="1336"/>
      <c r="AI1424" s="1342"/>
      <c r="AJ1424" s="1336"/>
      <c r="AK1424" s="1336"/>
      <c r="AL1424" s="772"/>
    </row>
    <row r="1425" spans="1:38" ht="0.75" customHeight="1">
      <c r="A1425" s="1030" t="s">
        <v>1019</v>
      </c>
      <c r="E1425" s="557"/>
      <c r="F1425" s="1338"/>
      <c r="G1425" s="1335"/>
      <c r="H1425" s="1343"/>
      <c r="I1425" s="1344"/>
      <c r="J1425" s="1334"/>
      <c r="K1425" s="1334"/>
      <c r="L1425" s="1336"/>
      <c r="M1425" s="1190"/>
      <c r="N1425" s="217"/>
      <c r="O1425" s="217"/>
      <c r="P1425" s="221"/>
      <c r="Q1425" s="217"/>
      <c r="R1425" s="217"/>
      <c r="S1425" s="217"/>
      <c r="T1425" s="217"/>
      <c r="U1425" s="217"/>
      <c r="V1425" s="217"/>
      <c r="W1425" s="217"/>
      <c r="X1425" s="217"/>
      <c r="Y1425" s="217"/>
      <c r="Z1425" s="217"/>
      <c r="AA1425" s="217"/>
      <c r="AB1425" s="217"/>
      <c r="AC1425" s="217"/>
      <c r="AD1425" s="217"/>
      <c r="AE1425" s="223"/>
      <c r="AF1425" s="1342"/>
      <c r="AG1425" s="1336"/>
      <c r="AH1425" s="1336"/>
      <c r="AI1425" s="1342"/>
      <c r="AJ1425" s="1336"/>
      <c r="AK1425" s="1336"/>
      <c r="AL1425" s="772"/>
    </row>
    <row r="1426" spans="1:38" ht="11.25" customHeight="1">
      <c r="A1426" t="s">
        <v>1019</v>
      </c>
      <c r="B1426" t="s">
        <v>1051</v>
      </c>
      <c r="E1426" s="557"/>
      <c r="F1426" s="1339"/>
      <c r="G1426" s="1325" t="s">
        <v>103</v>
      </c>
      <c r="H1426" s="1335" t="s">
        <v>114</v>
      </c>
      <c r="I1426" s="1347" t="s">
        <v>1052</v>
      </c>
      <c r="J1426" s="1363" t="s">
        <v>1053</v>
      </c>
      <c r="K1426" s="1349" t="s">
        <v>1204</v>
      </c>
      <c r="L1426" s="1079" t="s">
        <v>19</v>
      </c>
      <c r="M1426" s="1080"/>
      <c r="N1426" s="242"/>
      <c r="O1426" s="243" t="s">
        <v>384</v>
      </c>
      <c r="P1426" s="244"/>
      <c r="Q1426" s="244"/>
      <c r="R1426" s="244"/>
      <c r="S1426" s="244"/>
      <c r="T1426" s="244"/>
      <c r="U1426" s="244"/>
      <c r="V1426" s="244"/>
      <c r="W1426" s="244"/>
      <c r="X1426" s="244"/>
      <c r="Y1426" s="244"/>
      <c r="Z1426" s="244"/>
      <c r="AA1426" s="244"/>
      <c r="AB1426" s="244"/>
      <c r="AC1426" s="244"/>
      <c r="AD1426" s="244"/>
      <c r="AE1426" s="244"/>
      <c r="AF1426" s="1350">
        <v>1</v>
      </c>
      <c r="AG1426" s="1352" t="s">
        <v>1055</v>
      </c>
      <c r="AH1426" s="1352" t="s">
        <v>1095</v>
      </c>
      <c r="AI1426" s="1350">
        <v>1</v>
      </c>
      <c r="AJ1426" s="1352" t="s">
        <v>1055</v>
      </c>
      <c r="AK1426" s="1352" t="s">
        <v>1095</v>
      </c>
      <c r="AL1426" s="772"/>
    </row>
    <row r="1427" spans="1:38" ht="11.25" customHeight="1">
      <c r="A1427" t="s">
        <v>1019</v>
      </c>
      <c r="E1427" s="557"/>
      <c r="F1427" s="1339"/>
      <c r="G1427" s="1340"/>
      <c r="H1427" s="1335" t="s">
        <v>384</v>
      </c>
      <c r="I1427" s="1347"/>
      <c r="J1427" s="1363"/>
      <c r="K1427" s="1349"/>
      <c r="L1427" s="1079"/>
      <c r="M1427" s="1080"/>
      <c r="N1427" s="1355"/>
      <c r="O1427" s="1356">
        <v>1</v>
      </c>
      <c r="P1427" s="1357" t="s">
        <v>19</v>
      </c>
      <c r="Q1427" s="1308" t="s">
        <v>22</v>
      </c>
      <c r="R1427" s="1308" t="s">
        <v>22</v>
      </c>
      <c r="S1427" s="1308" t="s">
        <v>22</v>
      </c>
      <c r="T1427" s="1308" t="s">
        <v>22</v>
      </c>
      <c r="U1427" s="1308" t="s">
        <v>22</v>
      </c>
      <c r="V1427" s="1308" t="s">
        <v>22</v>
      </c>
      <c r="W1427" s="1308" t="s">
        <v>22</v>
      </c>
      <c r="X1427" s="1308" t="s">
        <v>22</v>
      </c>
      <c r="Y1427" s="1308"/>
      <c r="Z1427" s="229"/>
      <c r="AA1427" s="230"/>
      <c r="AB1427" s="230"/>
      <c r="AC1427" s="231"/>
      <c r="AD1427" s="231"/>
      <c r="AE1427" s="245"/>
      <c r="AF1427" s="1350"/>
      <c r="AG1427" s="1352"/>
      <c r="AH1427" s="1352"/>
      <c r="AI1427" s="1350"/>
      <c r="AJ1427" s="1352"/>
      <c r="AK1427" s="1352"/>
      <c r="AL1427" s="772"/>
    </row>
    <row r="1428" spans="1:38" ht="11.25" customHeight="1">
      <c r="A1428" t="s">
        <v>1019</v>
      </c>
      <c r="E1428" s="557"/>
      <c r="F1428" s="1339"/>
      <c r="G1428" s="1340"/>
      <c r="H1428" s="1335" t="s">
        <v>384</v>
      </c>
      <c r="I1428" s="1347"/>
      <c r="J1428" s="1363"/>
      <c r="K1428" s="1349"/>
      <c r="L1428" s="1079"/>
      <c r="M1428" s="1080"/>
      <c r="N1428" s="1355"/>
      <c r="O1428" s="1356"/>
      <c r="P1428" s="1358"/>
      <c r="Q1428" s="1308"/>
      <c r="R1428" s="1308"/>
      <c r="S1428" s="1361"/>
      <c r="T1428" s="1308"/>
      <c r="U1428" s="1308"/>
      <c r="V1428" s="1308"/>
      <c r="W1428" s="1308"/>
      <c r="X1428" s="1308"/>
      <c r="Y1428" s="1308"/>
      <c r="AA1428" s="778">
        <v>1</v>
      </c>
      <c r="AB1428" s="779" t="s">
        <v>1120</v>
      </c>
      <c r="AC1428" s="237">
        <v>104074.186994143</v>
      </c>
      <c r="AD1428" s="779" t="str">
        <f>AB1428</f>
        <v xml:space="preserve">     Прочие амортизационные отчисления</v>
      </c>
      <c r="AE1428" s="237">
        <v>0</v>
      </c>
      <c r="AF1428" s="1350"/>
      <c r="AG1428" s="1352"/>
      <c r="AH1428" s="1352"/>
      <c r="AI1428" s="1350"/>
      <c r="AJ1428" s="1352"/>
      <c r="AK1428" s="1352"/>
      <c r="AL1428" s="772"/>
    </row>
    <row r="1429" spans="1:38" ht="11.25" customHeight="1">
      <c r="A1429" t="s">
        <v>1019</v>
      </c>
      <c r="E1429" s="557"/>
      <c r="F1429" s="1339"/>
      <c r="G1429" s="1340"/>
      <c r="H1429" s="1335" t="s">
        <v>384</v>
      </c>
      <c r="I1429" s="1347"/>
      <c r="J1429" s="1363"/>
      <c r="K1429" s="1349"/>
      <c r="L1429" s="1079"/>
      <c r="M1429" s="1080"/>
      <c r="N1429" s="1355"/>
      <c r="O1429" s="1356"/>
      <c r="P1429" s="1359"/>
      <c r="Q1429" s="1308"/>
      <c r="R1429" s="1308"/>
      <c r="S1429" s="1361"/>
      <c r="T1429" s="1308"/>
      <c r="U1429" s="1308"/>
      <c r="V1429" s="1308"/>
      <c r="W1429" s="1308"/>
      <c r="X1429" s="1308"/>
      <c r="Y1429" s="1308"/>
      <c r="Z1429" s="229"/>
      <c r="AA1429" s="230"/>
      <c r="AB1429" s="44" t="s">
        <v>1059</v>
      </c>
      <c r="AC1429" s="231"/>
      <c r="AD1429" s="231"/>
      <c r="AE1429" s="246"/>
      <c r="AF1429" s="1350"/>
      <c r="AG1429" s="1352"/>
      <c r="AH1429" s="1352"/>
      <c r="AI1429" s="1350"/>
      <c r="AJ1429" s="1352"/>
      <c r="AK1429" s="1352"/>
      <c r="AL1429" s="772"/>
    </row>
    <row r="1430" spans="1:38" ht="11.25" customHeight="1">
      <c r="A1430" t="s">
        <v>1019</v>
      </c>
      <c r="E1430" s="557"/>
      <c r="F1430" s="1339"/>
      <c r="G1430" s="1340"/>
      <c r="H1430" s="1335" t="s">
        <v>384</v>
      </c>
      <c r="I1430" s="1347"/>
      <c r="J1430" s="1363"/>
      <c r="K1430" s="1349"/>
      <c r="L1430" s="1079"/>
      <c r="M1430" s="1080"/>
      <c r="N1430" s="229"/>
      <c r="O1430" s="230"/>
      <c r="P1430" s="44" t="s">
        <v>1060</v>
      </c>
      <c r="Q1430" s="230"/>
      <c r="R1430" s="230"/>
      <c r="S1430" s="230"/>
      <c r="T1430" s="230"/>
      <c r="U1430" s="230"/>
      <c r="V1430" s="230"/>
      <c r="W1430" s="230"/>
      <c r="X1430" s="230"/>
      <c r="Y1430" s="230"/>
      <c r="Z1430" s="230"/>
      <c r="AA1430" s="230"/>
      <c r="AB1430" s="230"/>
      <c r="AC1430" s="230"/>
      <c r="AD1430" s="230"/>
      <c r="AE1430" s="247"/>
      <c r="AF1430" s="1350"/>
      <c r="AG1430" s="1352"/>
      <c r="AH1430" s="1352"/>
      <c r="AI1430" s="1350"/>
      <c r="AJ1430" s="1352"/>
      <c r="AK1430" s="1352"/>
      <c r="AL1430" s="772"/>
    </row>
    <row r="1431" spans="1:38" ht="11.25" customHeight="1">
      <c r="A1431" t="s">
        <v>1019</v>
      </c>
      <c r="B1431" t="s">
        <v>1051</v>
      </c>
      <c r="E1431" s="557"/>
      <c r="F1431" s="1339"/>
      <c r="G1431" s="1325" t="s">
        <v>103</v>
      </c>
      <c r="H1431" s="1335" t="s">
        <v>102</v>
      </c>
      <c r="I1431" s="1347" t="s">
        <v>1052</v>
      </c>
      <c r="J1431" s="1363" t="s">
        <v>1053</v>
      </c>
      <c r="K1431" s="1349" t="s">
        <v>1140</v>
      </c>
      <c r="L1431" s="1079" t="s">
        <v>19</v>
      </c>
      <c r="M1431" s="1080"/>
      <c r="N1431" s="242"/>
      <c r="O1431" s="243" t="s">
        <v>384</v>
      </c>
      <c r="P1431" s="244"/>
      <c r="Q1431" s="244"/>
      <c r="R1431" s="244"/>
      <c r="S1431" s="244"/>
      <c r="T1431" s="244"/>
      <c r="U1431" s="244"/>
      <c r="V1431" s="244"/>
      <c r="W1431" s="244"/>
      <c r="X1431" s="244"/>
      <c r="Y1431" s="244"/>
      <c r="Z1431" s="244"/>
      <c r="AA1431" s="244"/>
      <c r="AB1431" s="244"/>
      <c r="AC1431" s="244"/>
      <c r="AD1431" s="244"/>
      <c r="AE1431" s="244"/>
      <c r="AF1431" s="1350">
        <v>1</v>
      </c>
      <c r="AG1431" s="1352" t="s">
        <v>1055</v>
      </c>
      <c r="AH1431" s="1352" t="s">
        <v>1095</v>
      </c>
      <c r="AI1431" s="1350">
        <v>1</v>
      </c>
      <c r="AJ1431" s="1352" t="s">
        <v>1055</v>
      </c>
      <c r="AK1431" s="1352" t="s">
        <v>1095</v>
      </c>
      <c r="AL1431" s="772"/>
    </row>
    <row r="1432" spans="1:38" ht="11.25" customHeight="1">
      <c r="A1432" t="s">
        <v>1019</v>
      </c>
      <c r="E1432" s="557"/>
      <c r="F1432" s="1339"/>
      <c r="G1432" s="1340"/>
      <c r="H1432" s="1335" t="s">
        <v>114</v>
      </c>
      <c r="I1432" s="1347"/>
      <c r="J1432" s="1363"/>
      <c r="K1432" s="1349"/>
      <c r="L1432" s="1079"/>
      <c r="M1432" s="1080"/>
      <c r="N1432" s="1355"/>
      <c r="O1432" s="1356">
        <v>1</v>
      </c>
      <c r="P1432" s="1357" t="s">
        <v>19</v>
      </c>
      <c r="Q1432" s="1308" t="s">
        <v>22</v>
      </c>
      <c r="R1432" s="1308" t="s">
        <v>22</v>
      </c>
      <c r="S1432" s="1308" t="s">
        <v>22</v>
      </c>
      <c r="T1432" s="1308" t="s">
        <v>22</v>
      </c>
      <c r="U1432" s="1308" t="s">
        <v>22</v>
      </c>
      <c r="V1432" s="1308" t="s">
        <v>22</v>
      </c>
      <c r="W1432" s="1308" t="s">
        <v>22</v>
      </c>
      <c r="X1432" s="1308" t="s">
        <v>22</v>
      </c>
      <c r="Y1432" s="1308"/>
      <c r="Z1432" s="229"/>
      <c r="AA1432" s="230"/>
      <c r="AB1432" s="230"/>
      <c r="AC1432" s="231"/>
      <c r="AD1432" s="231"/>
      <c r="AE1432" s="245"/>
      <c r="AF1432" s="1350"/>
      <c r="AG1432" s="1352"/>
      <c r="AH1432" s="1352"/>
      <c r="AI1432" s="1350"/>
      <c r="AJ1432" s="1352"/>
      <c r="AK1432" s="1352"/>
      <c r="AL1432" s="772"/>
    </row>
    <row r="1433" spans="1:38" ht="11.25" customHeight="1">
      <c r="A1433" t="s">
        <v>1019</v>
      </c>
      <c r="E1433" s="557"/>
      <c r="F1433" s="1339"/>
      <c r="G1433" s="1340"/>
      <c r="H1433" s="1335" t="s">
        <v>114</v>
      </c>
      <c r="I1433" s="1347"/>
      <c r="J1433" s="1363"/>
      <c r="K1433" s="1349"/>
      <c r="L1433" s="1079"/>
      <c r="M1433" s="1080"/>
      <c r="N1433" s="1355"/>
      <c r="O1433" s="1356"/>
      <c r="P1433" s="1358"/>
      <c r="Q1433" s="1308"/>
      <c r="R1433" s="1308"/>
      <c r="S1433" s="1361"/>
      <c r="T1433" s="1308"/>
      <c r="U1433" s="1308"/>
      <c r="V1433" s="1308"/>
      <c r="W1433" s="1308"/>
      <c r="X1433" s="1308"/>
      <c r="Y1433" s="1308"/>
      <c r="AA1433" s="778">
        <v>1</v>
      </c>
      <c r="AB1433" s="779" t="s">
        <v>1120</v>
      </c>
      <c r="AC1433" s="237">
        <v>35000.0680528999</v>
      </c>
      <c r="AD1433" s="779" t="str">
        <f>AB1433</f>
        <v xml:space="preserve">     Прочие амортизационные отчисления</v>
      </c>
      <c r="AE1433" s="237">
        <v>0</v>
      </c>
      <c r="AF1433" s="1350"/>
      <c r="AG1433" s="1352"/>
      <c r="AH1433" s="1352"/>
      <c r="AI1433" s="1350"/>
      <c r="AJ1433" s="1352"/>
      <c r="AK1433" s="1352"/>
      <c r="AL1433" s="772"/>
    </row>
    <row r="1434" spans="1:38" ht="11.25" customHeight="1">
      <c r="A1434" t="s">
        <v>1019</v>
      </c>
      <c r="E1434" s="557"/>
      <c r="F1434" s="1339"/>
      <c r="G1434" s="1340"/>
      <c r="H1434" s="1335" t="s">
        <v>114</v>
      </c>
      <c r="I1434" s="1347"/>
      <c r="J1434" s="1363"/>
      <c r="K1434" s="1349"/>
      <c r="L1434" s="1079"/>
      <c r="M1434" s="1080"/>
      <c r="N1434" s="1355"/>
      <c r="O1434" s="1356"/>
      <c r="P1434" s="1359"/>
      <c r="Q1434" s="1308"/>
      <c r="R1434" s="1308"/>
      <c r="S1434" s="1361"/>
      <c r="T1434" s="1308"/>
      <c r="U1434" s="1308"/>
      <c r="V1434" s="1308"/>
      <c r="W1434" s="1308"/>
      <c r="X1434" s="1308"/>
      <c r="Y1434" s="1308"/>
      <c r="Z1434" s="229"/>
      <c r="AA1434" s="230"/>
      <c r="AB1434" s="44" t="s">
        <v>1059</v>
      </c>
      <c r="AC1434" s="231"/>
      <c r="AD1434" s="231"/>
      <c r="AE1434" s="246"/>
      <c r="AF1434" s="1350"/>
      <c r="AG1434" s="1352"/>
      <c r="AH1434" s="1352"/>
      <c r="AI1434" s="1350"/>
      <c r="AJ1434" s="1352"/>
      <c r="AK1434" s="1352"/>
      <c r="AL1434" s="772"/>
    </row>
    <row r="1435" spans="1:38" ht="11.25" customHeight="1">
      <c r="A1435" t="s">
        <v>1019</v>
      </c>
      <c r="E1435" s="557"/>
      <c r="F1435" s="1339"/>
      <c r="G1435" s="1340"/>
      <c r="H1435" s="1335" t="s">
        <v>114</v>
      </c>
      <c r="I1435" s="1347"/>
      <c r="J1435" s="1363"/>
      <c r="K1435" s="1349"/>
      <c r="L1435" s="1079"/>
      <c r="M1435" s="1080"/>
      <c r="N1435" s="229"/>
      <c r="O1435" s="230"/>
      <c r="P1435" s="44" t="s">
        <v>1060</v>
      </c>
      <c r="Q1435" s="230"/>
      <c r="R1435" s="230"/>
      <c r="S1435" s="230"/>
      <c r="T1435" s="230"/>
      <c r="U1435" s="230"/>
      <c r="V1435" s="230"/>
      <c r="W1435" s="230"/>
      <c r="X1435" s="230"/>
      <c r="Y1435" s="230"/>
      <c r="Z1435" s="230"/>
      <c r="AA1435" s="230"/>
      <c r="AB1435" s="230"/>
      <c r="AC1435" s="230"/>
      <c r="AD1435" s="230"/>
      <c r="AE1435" s="247"/>
      <c r="AF1435" s="1350"/>
      <c r="AG1435" s="1352"/>
      <c r="AH1435" s="1352"/>
      <c r="AI1435" s="1350"/>
      <c r="AJ1435" s="1352"/>
      <c r="AK1435" s="1352"/>
      <c r="AL1435" s="772"/>
    </row>
    <row r="1436" spans="1:38" ht="11.25" customHeight="1">
      <c r="A1436" t="s">
        <v>1019</v>
      </c>
      <c r="B1436" t="s">
        <v>1051</v>
      </c>
      <c r="E1436" s="557"/>
      <c r="F1436" s="1339"/>
      <c r="G1436" s="1325" t="s">
        <v>103</v>
      </c>
      <c r="H1436" s="1335" t="s">
        <v>89</v>
      </c>
      <c r="I1436" s="1347" t="s">
        <v>1052</v>
      </c>
      <c r="J1436" s="1363" t="s">
        <v>1093</v>
      </c>
      <c r="K1436" s="1349" t="s">
        <v>1094</v>
      </c>
      <c r="L1436" s="1079" t="s">
        <v>61</v>
      </c>
      <c r="M1436" s="1364" t="s">
        <v>1018</v>
      </c>
      <c r="N1436" s="242"/>
      <c r="O1436" s="243" t="s">
        <v>384</v>
      </c>
      <c r="P1436" s="244"/>
      <c r="Q1436" s="244"/>
      <c r="R1436" s="244"/>
      <c r="S1436" s="244"/>
      <c r="T1436" s="244"/>
      <c r="U1436" s="244"/>
      <c r="V1436" s="244"/>
      <c r="W1436" s="244"/>
      <c r="X1436" s="244"/>
      <c r="Y1436" s="244"/>
      <c r="Z1436" s="244"/>
      <c r="AA1436" s="244"/>
      <c r="AB1436" s="244"/>
      <c r="AC1436" s="244"/>
      <c r="AD1436" s="244"/>
      <c r="AE1436" s="244"/>
      <c r="AF1436" s="1350">
        <v>1</v>
      </c>
      <c r="AG1436" s="1352" t="s">
        <v>1055</v>
      </c>
      <c r="AH1436" s="1352" t="s">
        <v>1095</v>
      </c>
      <c r="AI1436" s="1350">
        <v>1</v>
      </c>
      <c r="AJ1436" s="1352" t="s">
        <v>1055</v>
      </c>
      <c r="AK1436" s="1352" t="s">
        <v>1095</v>
      </c>
      <c r="AL1436" s="772"/>
    </row>
    <row r="1437" spans="1:38" ht="11.25" customHeight="1">
      <c r="A1437" t="s">
        <v>1019</v>
      </c>
      <c r="E1437" s="557"/>
      <c r="F1437" s="1339"/>
      <c r="G1437" s="1340"/>
      <c r="H1437" s="1335" t="s">
        <v>102</v>
      </c>
      <c r="I1437" s="1347"/>
      <c r="J1437" s="1363"/>
      <c r="K1437" s="1349"/>
      <c r="L1437" s="1079"/>
      <c r="M1437" s="1364"/>
      <c r="N1437" s="1355"/>
      <c r="O1437" s="1356">
        <v>1</v>
      </c>
      <c r="P1437" s="1357" t="s">
        <v>19</v>
      </c>
      <c r="Q1437" s="1308" t="s">
        <v>22</v>
      </c>
      <c r="R1437" s="1308" t="s">
        <v>22</v>
      </c>
      <c r="S1437" s="1308" t="s">
        <v>22</v>
      </c>
      <c r="T1437" s="1308" t="s">
        <v>22</v>
      </c>
      <c r="U1437" s="1308" t="s">
        <v>22</v>
      </c>
      <c r="V1437" s="1308" t="s">
        <v>22</v>
      </c>
      <c r="W1437" s="1308" t="s">
        <v>22</v>
      </c>
      <c r="X1437" s="1308" t="s">
        <v>22</v>
      </c>
      <c r="Y1437" s="1308"/>
      <c r="Z1437" s="229"/>
      <c r="AA1437" s="230"/>
      <c r="AB1437" s="230"/>
      <c r="AC1437" s="231"/>
      <c r="AD1437" s="231"/>
      <c r="AE1437" s="245"/>
      <c r="AF1437" s="1350"/>
      <c r="AG1437" s="1352"/>
      <c r="AH1437" s="1352"/>
      <c r="AI1437" s="1350"/>
      <c r="AJ1437" s="1352"/>
      <c r="AK1437" s="1352"/>
      <c r="AL1437" s="772"/>
    </row>
    <row r="1438" spans="1:38" ht="11.25" customHeight="1">
      <c r="A1438" t="s">
        <v>1019</v>
      </c>
      <c r="E1438" s="557"/>
      <c r="F1438" s="1339"/>
      <c r="G1438" s="1340"/>
      <c r="H1438" s="1335" t="s">
        <v>102</v>
      </c>
      <c r="I1438" s="1347"/>
      <c r="J1438" s="1363"/>
      <c r="K1438" s="1349"/>
      <c r="L1438" s="1079"/>
      <c r="M1438" s="1364"/>
      <c r="N1438" s="1355"/>
      <c r="O1438" s="1356"/>
      <c r="P1438" s="1358"/>
      <c r="Q1438" s="1308"/>
      <c r="R1438" s="1308"/>
      <c r="S1438" s="1361"/>
      <c r="T1438" s="1308"/>
      <c r="U1438" s="1308"/>
      <c r="V1438" s="1308"/>
      <c r="W1438" s="1308"/>
      <c r="X1438" s="1308"/>
      <c r="Y1438" s="1308"/>
      <c r="AA1438" s="778">
        <v>1</v>
      </c>
      <c r="AB1438" s="779" t="s">
        <v>1120</v>
      </c>
      <c r="AC1438" s="237">
        <v>20245.7449529566</v>
      </c>
      <c r="AD1438" s="779" t="str">
        <f>AB1438</f>
        <v xml:space="preserve">     Прочие амортизационные отчисления</v>
      </c>
      <c r="AE1438" s="237">
        <v>0</v>
      </c>
      <c r="AF1438" s="1350"/>
      <c r="AG1438" s="1352"/>
      <c r="AH1438" s="1352"/>
      <c r="AI1438" s="1350"/>
      <c r="AJ1438" s="1352"/>
      <c r="AK1438" s="1352"/>
      <c r="AL1438" s="772"/>
    </row>
    <row r="1439" spans="1:38" ht="11.25" customHeight="1">
      <c r="A1439" t="s">
        <v>1019</v>
      </c>
      <c r="E1439" s="557"/>
      <c r="F1439" s="1339"/>
      <c r="G1439" s="1340"/>
      <c r="H1439" s="1335" t="s">
        <v>102</v>
      </c>
      <c r="I1439" s="1347"/>
      <c r="J1439" s="1363"/>
      <c r="K1439" s="1349"/>
      <c r="L1439" s="1079"/>
      <c r="M1439" s="1364"/>
      <c r="N1439" s="1355"/>
      <c r="O1439" s="1356"/>
      <c r="P1439" s="1359"/>
      <c r="Q1439" s="1308"/>
      <c r="R1439" s="1308"/>
      <c r="S1439" s="1361"/>
      <c r="T1439" s="1308"/>
      <c r="U1439" s="1308"/>
      <c r="V1439" s="1308"/>
      <c r="W1439" s="1308"/>
      <c r="X1439" s="1308"/>
      <c r="Y1439" s="1308"/>
      <c r="Z1439" s="229"/>
      <c r="AA1439" s="230"/>
      <c r="AB1439" s="44" t="s">
        <v>1059</v>
      </c>
      <c r="AC1439" s="231"/>
      <c r="AD1439" s="231"/>
      <c r="AE1439" s="246"/>
      <c r="AF1439" s="1350"/>
      <c r="AG1439" s="1352"/>
      <c r="AH1439" s="1352"/>
      <c r="AI1439" s="1350"/>
      <c r="AJ1439" s="1352"/>
      <c r="AK1439" s="1352"/>
      <c r="AL1439" s="772"/>
    </row>
    <row r="1440" spans="1:38" ht="11.25" customHeight="1">
      <c r="A1440" t="s">
        <v>1019</v>
      </c>
      <c r="E1440" s="557"/>
      <c r="F1440" s="1339"/>
      <c r="G1440" s="1340"/>
      <c r="H1440" s="1335" t="s">
        <v>102</v>
      </c>
      <c r="I1440" s="1347"/>
      <c r="J1440" s="1363"/>
      <c r="K1440" s="1349"/>
      <c r="L1440" s="1079"/>
      <c r="M1440" s="1364"/>
      <c r="N1440" s="229"/>
      <c r="O1440" s="230"/>
      <c r="P1440" s="44" t="s">
        <v>1060</v>
      </c>
      <c r="Q1440" s="230"/>
      <c r="R1440" s="230"/>
      <c r="S1440" s="230"/>
      <c r="T1440" s="230"/>
      <c r="U1440" s="230"/>
      <c r="V1440" s="230"/>
      <c r="W1440" s="230"/>
      <c r="X1440" s="230"/>
      <c r="Y1440" s="230"/>
      <c r="Z1440" s="230"/>
      <c r="AA1440" s="230"/>
      <c r="AB1440" s="230"/>
      <c r="AC1440" s="230"/>
      <c r="AD1440" s="230"/>
      <c r="AE1440" s="247"/>
      <c r="AF1440" s="1350"/>
      <c r="AG1440" s="1352"/>
      <c r="AH1440" s="1352"/>
      <c r="AI1440" s="1350"/>
      <c r="AJ1440" s="1352"/>
      <c r="AK1440" s="1352"/>
      <c r="AL1440" s="772"/>
    </row>
    <row r="1441" spans="1:59" ht="12" customHeight="1">
      <c r="A1441" s="1030" t="s">
        <v>1019</v>
      </c>
      <c r="E1441" s="557"/>
      <c r="F1441" s="1341"/>
      <c r="G1441" s="775"/>
      <c r="H1441" s="775"/>
      <c r="I1441" s="1337" t="s">
        <v>1070</v>
      </c>
      <c r="J1441" s="1337"/>
      <c r="K1441" s="1337"/>
      <c r="L1441" s="776"/>
      <c r="M1441" s="776"/>
      <c r="N1441" s="777"/>
      <c r="O1441" s="777"/>
      <c r="P1441" s="777"/>
      <c r="Q1441" s="777"/>
      <c r="R1441" s="777"/>
      <c r="S1441" s="777"/>
      <c r="T1441" s="777"/>
      <c r="U1441" s="777"/>
      <c r="V1441" s="777"/>
      <c r="W1441" s="777"/>
      <c r="X1441" s="777"/>
      <c r="Y1441" s="777"/>
      <c r="Z1441" s="777"/>
      <c r="AA1441" s="777"/>
      <c r="AB1441" s="777"/>
      <c r="AC1441" s="777"/>
      <c r="AD1441" s="777"/>
      <c r="AE1441" s="777"/>
      <c r="AF1441" s="777"/>
      <c r="AG1441" s="776"/>
      <c r="AH1441" s="776"/>
      <c r="AI1441" s="777"/>
      <c r="AJ1441" s="776"/>
      <c r="AK1441" s="777"/>
      <c r="AL1441" s="772"/>
    </row>
    <row r="1442" spans="1:59" ht="10.5" customHeight="1">
      <c r="BG1442" s="539">
        <v>10</v>
      </c>
    </row>
    <row r="1443" spans="1:59" ht="13.5" customHeight="1">
      <c r="F1443" s="601" t="s">
        <v>1205</v>
      </c>
      <c r="BG1443" s="539">
        <v>13</v>
      </c>
    </row>
    <row r="1444" spans="1:59" ht="10.5" customHeight="1">
      <c r="BG1444" s="539">
        <v>10</v>
      </c>
    </row>
    <row r="1445" spans="1:59" ht="10.5" customHeight="1">
      <c r="F1445" s="1038"/>
      <c r="G1445" s="1038"/>
      <c r="H1445" s="1038"/>
      <c r="I1445" s="1038"/>
      <c r="J1445" s="1038"/>
      <c r="BG1445" s="539">
        <v>10</v>
      </c>
    </row>
    <row r="1446" spans="1:59" ht="10.5" customHeight="1">
      <c r="F1446" s="1038"/>
      <c r="G1446" s="1038"/>
      <c r="H1446" s="1038"/>
      <c r="I1446" s="1038"/>
      <c r="J1446" s="1038"/>
      <c r="BG1446" s="539">
        <v>10</v>
      </c>
    </row>
    <row r="1447" spans="1:59" ht="10.5" customHeight="1">
      <c r="F1447" s="1038"/>
      <c r="G1447" s="1038"/>
      <c r="H1447" s="1038"/>
      <c r="I1447" s="1038"/>
      <c r="J1447" s="1038"/>
      <c r="BG1447" s="539">
        <v>10</v>
      </c>
    </row>
    <row r="1448" spans="1:59" ht="10.5" hidden="1" customHeight="1">
      <c r="A1448" s="457" t="s">
        <v>81</v>
      </c>
      <c r="B1448" s="457">
        <v>0</v>
      </c>
      <c r="C1448" s="457">
        <v>0</v>
      </c>
      <c r="D1448" s="556">
        <v>0</v>
      </c>
      <c r="E1448" s="539">
        <v>3</v>
      </c>
      <c r="F1448" s="539">
        <v>14</v>
      </c>
      <c r="G1448" s="539">
        <v>3</v>
      </c>
      <c r="H1448" s="539">
        <v>7</v>
      </c>
      <c r="I1448" s="539">
        <v>16</v>
      </c>
      <c r="J1448" s="539">
        <v>16</v>
      </c>
      <c r="K1448" s="539">
        <v>25</v>
      </c>
      <c r="L1448" s="539">
        <v>7</v>
      </c>
      <c r="M1448" s="539">
        <v>15</v>
      </c>
      <c r="N1448" s="539">
        <v>3</v>
      </c>
      <c r="O1448" s="539">
        <v>4</v>
      </c>
      <c r="P1448" s="539">
        <v>8</v>
      </c>
      <c r="Q1448" s="539">
        <v>21</v>
      </c>
      <c r="R1448" s="539">
        <v>14</v>
      </c>
      <c r="S1448" s="539">
        <v>17</v>
      </c>
      <c r="T1448" s="539">
        <v>17</v>
      </c>
      <c r="U1448" s="539">
        <v>9</v>
      </c>
      <c r="V1448" s="539">
        <v>12</v>
      </c>
      <c r="W1448" s="539">
        <v>9</v>
      </c>
      <c r="X1448" s="539">
        <v>21</v>
      </c>
      <c r="Y1448" s="539">
        <v>12</v>
      </c>
      <c r="Z1448" s="539">
        <v>3</v>
      </c>
      <c r="AA1448" s="539">
        <v>6</v>
      </c>
      <c r="AB1448" s="539">
        <v>38</v>
      </c>
      <c r="AC1448" s="539">
        <v>15</v>
      </c>
      <c r="AD1448" s="539">
        <v>0</v>
      </c>
      <c r="AE1448" s="539">
        <v>0</v>
      </c>
      <c r="AF1448" s="539">
        <v>16</v>
      </c>
      <c r="AG1448" s="539">
        <v>16</v>
      </c>
      <c r="AH1448" s="539">
        <v>16</v>
      </c>
      <c r="AI1448" s="539">
        <v>0</v>
      </c>
      <c r="AJ1448" s="539">
        <v>0</v>
      </c>
      <c r="AK1448" s="539">
        <v>0</v>
      </c>
      <c r="AL1448" s="539">
        <v>8</v>
      </c>
      <c r="AM1448" s="539">
        <v>8</v>
      </c>
      <c r="AN1448" s="539">
        <v>8</v>
      </c>
      <c r="AO1448" s="539">
        <v>8</v>
      </c>
      <c r="AP1448" s="539">
        <v>8</v>
      </c>
      <c r="AQ1448" s="539">
        <v>8</v>
      </c>
      <c r="AR1448" s="539">
        <v>8</v>
      </c>
      <c r="AS1448" s="539">
        <v>8</v>
      </c>
      <c r="AT1448" s="539">
        <v>8</v>
      </c>
      <c r="AU1448" s="539">
        <v>8</v>
      </c>
      <c r="AV1448" s="539">
        <v>8</v>
      </c>
      <c r="AW1448" s="539">
        <v>8</v>
      </c>
      <c r="AX1448" s="539">
        <v>8</v>
      </c>
      <c r="AY1448" s="539">
        <v>8</v>
      </c>
      <c r="AZ1448" s="539">
        <v>8</v>
      </c>
      <c r="BA1448" s="539">
        <v>8</v>
      </c>
      <c r="BB1448" s="539">
        <v>8</v>
      </c>
      <c r="BC1448" s="539">
        <v>8</v>
      </c>
      <c r="BD1448" s="539">
        <v>8</v>
      </c>
      <c r="BE1448" s="539">
        <v>8</v>
      </c>
      <c r="BF1448" s="539">
        <v>8</v>
      </c>
      <c r="BG1448" s="539">
        <v>10</v>
      </c>
    </row>
  </sheetData>
  <sheetProtection formatColumns="0" formatRows="0" insertRows="0" deleteColumns="0" deleteRows="0" sort="0" autoFilter="0"/>
  <mergeCells count="5812">
    <mergeCell ref="G1431:G1435"/>
    <mergeCell ref="H1436:H1440"/>
    <mergeCell ref="I1436:I1440"/>
    <mergeCell ref="J1436:J1440"/>
    <mergeCell ref="K1436:K1440"/>
    <mergeCell ref="L1436:L1440"/>
    <mergeCell ref="M1436:M1440"/>
    <mergeCell ref="AF1436:AF1440"/>
    <mergeCell ref="AG1436:AG1440"/>
    <mergeCell ref="AH1436:AH1440"/>
    <mergeCell ref="AI1436:AI1440"/>
    <mergeCell ref="AJ1436:AJ1440"/>
    <mergeCell ref="AK1436:AK1440"/>
    <mergeCell ref="N1437:N1439"/>
    <mergeCell ref="O1437:O1439"/>
    <mergeCell ref="P1437:P1439"/>
    <mergeCell ref="Q1437:Q1439"/>
    <mergeCell ref="R1437:R1439"/>
    <mergeCell ref="S1437:S1439"/>
    <mergeCell ref="T1437:T1439"/>
    <mergeCell ref="U1437:U1439"/>
    <mergeCell ref="V1437:V1439"/>
    <mergeCell ref="W1437:W1439"/>
    <mergeCell ref="X1437:X1439"/>
    <mergeCell ref="Y1437:Y1439"/>
    <mergeCell ref="G1436:G1440"/>
    <mergeCell ref="M1431:M1435"/>
    <mergeCell ref="AF1431:AF1435"/>
    <mergeCell ref="AG1431:AG1435"/>
    <mergeCell ref="AH1431:AH1435"/>
    <mergeCell ref="AI1431:AI1435"/>
    <mergeCell ref="AJ1431:AJ1435"/>
    <mergeCell ref="AK1431:AK1435"/>
    <mergeCell ref="N1432:N1434"/>
    <mergeCell ref="O1432:O1434"/>
    <mergeCell ref="P1432:P1434"/>
    <mergeCell ref="Q1432:Q1434"/>
    <mergeCell ref="R1432:R1434"/>
    <mergeCell ref="S1432:S1434"/>
    <mergeCell ref="T1432:T1434"/>
    <mergeCell ref="U1432:U1434"/>
    <mergeCell ref="V1432:V1434"/>
    <mergeCell ref="W1432:W1434"/>
    <mergeCell ref="X1432:X1434"/>
    <mergeCell ref="Y1432:Y1434"/>
    <mergeCell ref="G1415:G1419"/>
    <mergeCell ref="H1426:H1430"/>
    <mergeCell ref="I1426:I1430"/>
    <mergeCell ref="J1426:J1430"/>
    <mergeCell ref="K1426:K1430"/>
    <mergeCell ref="L1426:L1430"/>
    <mergeCell ref="M1426:M1430"/>
    <mergeCell ref="AF1426:AF1430"/>
    <mergeCell ref="AG1426:AG1430"/>
    <mergeCell ref="AH1426:AH1430"/>
    <mergeCell ref="AI1426:AI1430"/>
    <mergeCell ref="AJ1426:AJ1430"/>
    <mergeCell ref="AK1426:AK1430"/>
    <mergeCell ref="N1427:N1429"/>
    <mergeCell ref="O1427:O1429"/>
    <mergeCell ref="P1427:P1429"/>
    <mergeCell ref="Q1427:Q1429"/>
    <mergeCell ref="R1427:R1429"/>
    <mergeCell ref="S1427:S1429"/>
    <mergeCell ref="T1427:T1429"/>
    <mergeCell ref="U1427:U1429"/>
    <mergeCell ref="V1427:V1429"/>
    <mergeCell ref="W1427:W1429"/>
    <mergeCell ref="X1427:X1429"/>
    <mergeCell ref="Y1427:Y1429"/>
    <mergeCell ref="G1426:G1430"/>
    <mergeCell ref="H1415:H1419"/>
    <mergeCell ref="I1415:I1419"/>
    <mergeCell ref="J1415:J1419"/>
    <mergeCell ref="K1415:K1419"/>
    <mergeCell ref="L1415:L1419"/>
    <mergeCell ref="M1415:M1419"/>
    <mergeCell ref="AF1415:AF1419"/>
    <mergeCell ref="AG1415:AG1419"/>
    <mergeCell ref="AH1415:AH1419"/>
    <mergeCell ref="AI1415:AI1419"/>
    <mergeCell ref="AJ1415:AJ1419"/>
    <mergeCell ref="AK1415:AK1419"/>
    <mergeCell ref="N1416:N1418"/>
    <mergeCell ref="O1416:O1418"/>
    <mergeCell ref="P1416:P1418"/>
    <mergeCell ref="Q1416:Q1418"/>
    <mergeCell ref="R1416:R1418"/>
    <mergeCell ref="S1416:S1418"/>
    <mergeCell ref="T1416:T1418"/>
    <mergeCell ref="U1416:U1418"/>
    <mergeCell ref="V1416:V1418"/>
    <mergeCell ref="W1416:W1418"/>
    <mergeCell ref="X1416:X1418"/>
    <mergeCell ref="Y1416:Y1418"/>
    <mergeCell ref="G1405:G1409"/>
    <mergeCell ref="H1410:H1414"/>
    <mergeCell ref="I1410:I1414"/>
    <mergeCell ref="J1410:J1414"/>
    <mergeCell ref="K1410:K1414"/>
    <mergeCell ref="L1410:L1414"/>
    <mergeCell ref="M1410:M1414"/>
    <mergeCell ref="AF1410:AF1414"/>
    <mergeCell ref="AG1410:AG1414"/>
    <mergeCell ref="AH1410:AH1414"/>
    <mergeCell ref="AI1410:AI1414"/>
    <mergeCell ref="AJ1410:AJ1414"/>
    <mergeCell ref="AK1410:AK1414"/>
    <mergeCell ref="N1411:N1413"/>
    <mergeCell ref="O1411:O1413"/>
    <mergeCell ref="P1411:P1413"/>
    <mergeCell ref="Q1411:Q1413"/>
    <mergeCell ref="R1411:R1413"/>
    <mergeCell ref="S1411:S1413"/>
    <mergeCell ref="T1411:T1413"/>
    <mergeCell ref="U1411:U1413"/>
    <mergeCell ref="V1411:V1413"/>
    <mergeCell ref="W1411:W1413"/>
    <mergeCell ref="X1411:X1413"/>
    <mergeCell ref="Y1411:Y1413"/>
    <mergeCell ref="G1410:G1414"/>
    <mergeCell ref="M1405:M1409"/>
    <mergeCell ref="AF1405:AF1409"/>
    <mergeCell ref="AG1405:AG1409"/>
    <mergeCell ref="AH1405:AH1409"/>
    <mergeCell ref="AI1405:AI1409"/>
    <mergeCell ref="AJ1405:AJ1409"/>
    <mergeCell ref="AK1405:AK1409"/>
    <mergeCell ref="N1406:N1408"/>
    <mergeCell ref="O1406:O1408"/>
    <mergeCell ref="P1406:P1408"/>
    <mergeCell ref="Q1406:Q1408"/>
    <mergeCell ref="R1406:R1408"/>
    <mergeCell ref="S1406:S1408"/>
    <mergeCell ref="T1406:T1408"/>
    <mergeCell ref="U1406:U1408"/>
    <mergeCell ref="V1406:V1408"/>
    <mergeCell ref="W1406:W1408"/>
    <mergeCell ref="X1406:X1408"/>
    <mergeCell ref="Y1406:Y1408"/>
    <mergeCell ref="G1387:G1392"/>
    <mergeCell ref="H1393:H1398"/>
    <mergeCell ref="I1393:I1398"/>
    <mergeCell ref="J1393:J1398"/>
    <mergeCell ref="K1393:K1398"/>
    <mergeCell ref="L1393:L1398"/>
    <mergeCell ref="M1393:M1398"/>
    <mergeCell ref="AF1393:AF1398"/>
    <mergeCell ref="AG1393:AG1398"/>
    <mergeCell ref="AH1393:AH1398"/>
    <mergeCell ref="AI1393:AI1398"/>
    <mergeCell ref="AJ1393:AJ1398"/>
    <mergeCell ref="AK1393:AK1398"/>
    <mergeCell ref="N1394:N1397"/>
    <mergeCell ref="O1394:O1397"/>
    <mergeCell ref="P1394:P1397"/>
    <mergeCell ref="Q1394:Q1397"/>
    <mergeCell ref="R1394:R1397"/>
    <mergeCell ref="S1394:S1397"/>
    <mergeCell ref="T1394:T1397"/>
    <mergeCell ref="U1394:U1397"/>
    <mergeCell ref="V1394:V1397"/>
    <mergeCell ref="W1394:W1397"/>
    <mergeCell ref="X1394:X1397"/>
    <mergeCell ref="Y1394:Y1397"/>
    <mergeCell ref="G1393:G1398"/>
    <mergeCell ref="H1387:H1392"/>
    <mergeCell ref="I1387:I1392"/>
    <mergeCell ref="J1387:J1392"/>
    <mergeCell ref="K1387:K1392"/>
    <mergeCell ref="L1387:L1392"/>
    <mergeCell ref="M1387:M1392"/>
    <mergeCell ref="AF1387:AF1392"/>
    <mergeCell ref="AG1387:AG1392"/>
    <mergeCell ref="AH1387:AH1392"/>
    <mergeCell ref="AI1387:AI1392"/>
    <mergeCell ref="AJ1387:AJ1392"/>
    <mergeCell ref="AK1387:AK1392"/>
    <mergeCell ref="N1388:N1391"/>
    <mergeCell ref="O1388:O1391"/>
    <mergeCell ref="P1388:P1391"/>
    <mergeCell ref="Q1388:Q1391"/>
    <mergeCell ref="R1388:R1391"/>
    <mergeCell ref="S1388:S1391"/>
    <mergeCell ref="T1388:T1391"/>
    <mergeCell ref="U1388:U1391"/>
    <mergeCell ref="V1388:V1391"/>
    <mergeCell ref="W1388:W1391"/>
    <mergeCell ref="X1388:X1391"/>
    <mergeCell ref="Y1388:Y1391"/>
    <mergeCell ref="G1375:G1380"/>
    <mergeCell ref="H1381:H1386"/>
    <mergeCell ref="I1381:I1386"/>
    <mergeCell ref="J1381:J1386"/>
    <mergeCell ref="K1381:K1386"/>
    <mergeCell ref="L1381:L1386"/>
    <mergeCell ref="M1381:M1386"/>
    <mergeCell ref="AF1381:AF1386"/>
    <mergeCell ref="AG1381:AG1386"/>
    <mergeCell ref="AH1381:AH1386"/>
    <mergeCell ref="AI1381:AI1386"/>
    <mergeCell ref="AJ1381:AJ1386"/>
    <mergeCell ref="AK1381:AK1386"/>
    <mergeCell ref="N1382:N1385"/>
    <mergeCell ref="O1382:O1385"/>
    <mergeCell ref="P1382:P1385"/>
    <mergeCell ref="Q1382:Q1385"/>
    <mergeCell ref="R1382:R1385"/>
    <mergeCell ref="S1382:S1385"/>
    <mergeCell ref="T1382:T1385"/>
    <mergeCell ref="U1382:U1385"/>
    <mergeCell ref="V1382:V1385"/>
    <mergeCell ref="W1382:W1385"/>
    <mergeCell ref="X1382:X1385"/>
    <mergeCell ref="Y1382:Y1385"/>
    <mergeCell ref="G1381:G1386"/>
    <mergeCell ref="M1375:M1380"/>
    <mergeCell ref="AF1375:AF1380"/>
    <mergeCell ref="AG1375:AG1380"/>
    <mergeCell ref="AH1375:AH1380"/>
    <mergeCell ref="AI1375:AI1380"/>
    <mergeCell ref="AJ1375:AJ1380"/>
    <mergeCell ref="AK1375:AK1380"/>
    <mergeCell ref="N1376:N1379"/>
    <mergeCell ref="O1376:O1379"/>
    <mergeCell ref="P1376:P1379"/>
    <mergeCell ref="Q1376:Q1379"/>
    <mergeCell ref="R1376:R1379"/>
    <mergeCell ref="S1376:S1379"/>
    <mergeCell ref="T1376:T1379"/>
    <mergeCell ref="U1376:U1379"/>
    <mergeCell ref="V1376:V1379"/>
    <mergeCell ref="W1376:W1379"/>
    <mergeCell ref="X1376:X1379"/>
    <mergeCell ref="Y1376:Y1379"/>
    <mergeCell ref="G1356:G1362"/>
    <mergeCell ref="H1369:H1374"/>
    <mergeCell ref="I1369:I1374"/>
    <mergeCell ref="J1369:J1374"/>
    <mergeCell ref="K1369:K1374"/>
    <mergeCell ref="L1369:L1374"/>
    <mergeCell ref="M1369:M1374"/>
    <mergeCell ref="AF1369:AF1374"/>
    <mergeCell ref="AG1369:AG1374"/>
    <mergeCell ref="AH1369:AH1374"/>
    <mergeCell ref="AI1369:AI1374"/>
    <mergeCell ref="AJ1369:AJ1374"/>
    <mergeCell ref="AK1369:AK1374"/>
    <mergeCell ref="N1370:N1373"/>
    <mergeCell ref="O1370:O1373"/>
    <mergeCell ref="P1370:P1373"/>
    <mergeCell ref="Q1370:Q1373"/>
    <mergeCell ref="R1370:R1373"/>
    <mergeCell ref="S1370:S1373"/>
    <mergeCell ref="T1370:T1373"/>
    <mergeCell ref="U1370:U1373"/>
    <mergeCell ref="V1370:V1373"/>
    <mergeCell ref="W1370:W1373"/>
    <mergeCell ref="X1370:X1373"/>
    <mergeCell ref="Y1370:Y1373"/>
    <mergeCell ref="G1369:G1374"/>
    <mergeCell ref="H1356:H1362"/>
    <mergeCell ref="I1356:I1362"/>
    <mergeCell ref="J1356:J1362"/>
    <mergeCell ref="K1356:K1362"/>
    <mergeCell ref="L1356:L1362"/>
    <mergeCell ref="M1356:M1362"/>
    <mergeCell ref="AF1356:AF1362"/>
    <mergeCell ref="AG1356:AG1362"/>
    <mergeCell ref="AH1356:AH1362"/>
    <mergeCell ref="AI1356:AI1362"/>
    <mergeCell ref="AJ1356:AJ1362"/>
    <mergeCell ref="AK1356:AK1362"/>
    <mergeCell ref="N1357:N1361"/>
    <mergeCell ref="O1357:O1361"/>
    <mergeCell ref="P1357:P1361"/>
    <mergeCell ref="Q1357:Q1361"/>
    <mergeCell ref="R1357:R1361"/>
    <mergeCell ref="S1357:S1361"/>
    <mergeCell ref="T1357:T1361"/>
    <mergeCell ref="U1357:U1361"/>
    <mergeCell ref="V1357:V1361"/>
    <mergeCell ref="W1357:W1361"/>
    <mergeCell ref="X1357:X1361"/>
    <mergeCell ref="Y1357:Y1361"/>
    <mergeCell ref="G1342:G1348"/>
    <mergeCell ref="H1349:H1355"/>
    <mergeCell ref="I1349:I1355"/>
    <mergeCell ref="J1349:J1355"/>
    <mergeCell ref="K1349:K1355"/>
    <mergeCell ref="L1349:L1355"/>
    <mergeCell ref="M1349:M1355"/>
    <mergeCell ref="AF1349:AF1355"/>
    <mergeCell ref="AG1349:AG1355"/>
    <mergeCell ref="AH1349:AH1355"/>
    <mergeCell ref="AI1349:AI1355"/>
    <mergeCell ref="AJ1349:AJ1355"/>
    <mergeCell ref="AK1349:AK1355"/>
    <mergeCell ref="N1350:N1354"/>
    <mergeCell ref="O1350:O1354"/>
    <mergeCell ref="P1350:P1354"/>
    <mergeCell ref="Q1350:Q1354"/>
    <mergeCell ref="R1350:R1354"/>
    <mergeCell ref="S1350:S1354"/>
    <mergeCell ref="T1350:T1354"/>
    <mergeCell ref="U1350:U1354"/>
    <mergeCell ref="V1350:V1354"/>
    <mergeCell ref="W1350:W1354"/>
    <mergeCell ref="X1350:X1354"/>
    <mergeCell ref="Y1350:Y1354"/>
    <mergeCell ref="G1349:G1355"/>
    <mergeCell ref="H1342:H1348"/>
    <mergeCell ref="I1342:I1348"/>
    <mergeCell ref="J1342:J1348"/>
    <mergeCell ref="K1342:K1348"/>
    <mergeCell ref="L1342:L1348"/>
    <mergeCell ref="M1342:M1348"/>
    <mergeCell ref="AF1342:AF1348"/>
    <mergeCell ref="AG1342:AG1348"/>
    <mergeCell ref="AH1342:AH1348"/>
    <mergeCell ref="AI1342:AI1348"/>
    <mergeCell ref="AJ1342:AJ1348"/>
    <mergeCell ref="AK1342:AK1348"/>
    <mergeCell ref="N1343:N1347"/>
    <mergeCell ref="O1343:O1347"/>
    <mergeCell ref="P1343:P1347"/>
    <mergeCell ref="Q1343:Q1347"/>
    <mergeCell ref="R1343:R1347"/>
    <mergeCell ref="S1343:S1347"/>
    <mergeCell ref="T1343:T1347"/>
    <mergeCell ref="U1343:U1347"/>
    <mergeCell ref="V1343:V1347"/>
    <mergeCell ref="W1343:W1347"/>
    <mergeCell ref="X1343:X1347"/>
    <mergeCell ref="Y1343:Y1347"/>
    <mergeCell ref="G1328:G1334"/>
    <mergeCell ref="H1335:H1341"/>
    <mergeCell ref="I1335:I1341"/>
    <mergeCell ref="J1335:J1341"/>
    <mergeCell ref="K1335:K1341"/>
    <mergeCell ref="L1335:L1341"/>
    <mergeCell ref="M1335:M1341"/>
    <mergeCell ref="AF1335:AF1341"/>
    <mergeCell ref="AG1335:AG1341"/>
    <mergeCell ref="AH1335:AH1341"/>
    <mergeCell ref="AI1335:AI1341"/>
    <mergeCell ref="AJ1335:AJ1341"/>
    <mergeCell ref="AK1335:AK1341"/>
    <mergeCell ref="N1336:N1340"/>
    <mergeCell ref="O1336:O1340"/>
    <mergeCell ref="P1336:P1340"/>
    <mergeCell ref="Q1336:Q1340"/>
    <mergeCell ref="R1336:R1340"/>
    <mergeCell ref="S1336:S1340"/>
    <mergeCell ref="T1336:T1340"/>
    <mergeCell ref="U1336:U1340"/>
    <mergeCell ref="V1336:V1340"/>
    <mergeCell ref="W1336:W1340"/>
    <mergeCell ref="X1336:X1340"/>
    <mergeCell ref="Y1336:Y1340"/>
    <mergeCell ref="G1335:G1341"/>
    <mergeCell ref="H1328:H1334"/>
    <mergeCell ref="I1328:I1334"/>
    <mergeCell ref="J1328:J1334"/>
    <mergeCell ref="K1328:K1334"/>
    <mergeCell ref="L1328:L1334"/>
    <mergeCell ref="M1328:M1334"/>
    <mergeCell ref="AF1328:AF1334"/>
    <mergeCell ref="AG1328:AG1334"/>
    <mergeCell ref="AH1328:AH1334"/>
    <mergeCell ref="AI1328:AI1334"/>
    <mergeCell ref="AJ1328:AJ1334"/>
    <mergeCell ref="AK1328:AK1334"/>
    <mergeCell ref="N1329:N1333"/>
    <mergeCell ref="O1329:O1333"/>
    <mergeCell ref="P1329:P1333"/>
    <mergeCell ref="Q1329:Q1333"/>
    <mergeCell ref="R1329:R1333"/>
    <mergeCell ref="S1329:S1333"/>
    <mergeCell ref="T1329:T1333"/>
    <mergeCell ref="U1329:U1333"/>
    <mergeCell ref="V1329:V1333"/>
    <mergeCell ref="W1329:W1333"/>
    <mergeCell ref="X1329:X1333"/>
    <mergeCell ref="Y1329:Y1333"/>
    <mergeCell ref="G1314:G1320"/>
    <mergeCell ref="H1321:H1327"/>
    <mergeCell ref="I1321:I1327"/>
    <mergeCell ref="J1321:J1327"/>
    <mergeCell ref="K1321:K1327"/>
    <mergeCell ref="L1321:L1327"/>
    <mergeCell ref="M1321:M1327"/>
    <mergeCell ref="AF1321:AF1327"/>
    <mergeCell ref="AG1321:AG1327"/>
    <mergeCell ref="AH1321:AH1327"/>
    <mergeCell ref="AI1321:AI1327"/>
    <mergeCell ref="AJ1321:AJ1327"/>
    <mergeCell ref="AK1321:AK1327"/>
    <mergeCell ref="N1322:N1326"/>
    <mergeCell ref="O1322:O1326"/>
    <mergeCell ref="P1322:P1326"/>
    <mergeCell ref="Q1322:Q1326"/>
    <mergeCell ref="R1322:R1326"/>
    <mergeCell ref="S1322:S1326"/>
    <mergeCell ref="T1322:T1326"/>
    <mergeCell ref="U1322:U1326"/>
    <mergeCell ref="V1322:V1326"/>
    <mergeCell ref="W1322:W1326"/>
    <mergeCell ref="X1322:X1326"/>
    <mergeCell ref="Y1322:Y1326"/>
    <mergeCell ref="G1321:G1327"/>
    <mergeCell ref="H1314:H1320"/>
    <mergeCell ref="I1314:I1320"/>
    <mergeCell ref="J1314:J1320"/>
    <mergeCell ref="K1314:K1320"/>
    <mergeCell ref="L1314:L1320"/>
    <mergeCell ref="M1314:M1320"/>
    <mergeCell ref="AF1314:AF1320"/>
    <mergeCell ref="AG1314:AG1320"/>
    <mergeCell ref="AH1314:AH1320"/>
    <mergeCell ref="AI1314:AI1320"/>
    <mergeCell ref="AJ1314:AJ1320"/>
    <mergeCell ref="AK1314:AK1320"/>
    <mergeCell ref="N1315:N1319"/>
    <mergeCell ref="O1315:O1319"/>
    <mergeCell ref="P1315:P1319"/>
    <mergeCell ref="Q1315:Q1319"/>
    <mergeCell ref="R1315:R1319"/>
    <mergeCell ref="S1315:S1319"/>
    <mergeCell ref="T1315:T1319"/>
    <mergeCell ref="U1315:U1319"/>
    <mergeCell ref="V1315:V1319"/>
    <mergeCell ref="W1315:W1319"/>
    <mergeCell ref="X1315:X1319"/>
    <mergeCell ref="Y1315:Y1319"/>
    <mergeCell ref="G1300:G1306"/>
    <mergeCell ref="H1307:H1313"/>
    <mergeCell ref="I1307:I1313"/>
    <mergeCell ref="J1307:J1313"/>
    <mergeCell ref="K1307:K1313"/>
    <mergeCell ref="L1307:L1313"/>
    <mergeCell ref="M1307:M1313"/>
    <mergeCell ref="AF1307:AF1313"/>
    <mergeCell ref="AG1307:AG1313"/>
    <mergeCell ref="AH1307:AH1313"/>
    <mergeCell ref="AI1307:AI1313"/>
    <mergeCell ref="AJ1307:AJ1313"/>
    <mergeCell ref="AK1307:AK1313"/>
    <mergeCell ref="N1308:N1312"/>
    <mergeCell ref="O1308:O1312"/>
    <mergeCell ref="P1308:P1312"/>
    <mergeCell ref="Q1308:Q1312"/>
    <mergeCell ref="R1308:R1312"/>
    <mergeCell ref="S1308:S1312"/>
    <mergeCell ref="T1308:T1312"/>
    <mergeCell ref="U1308:U1312"/>
    <mergeCell ref="V1308:V1312"/>
    <mergeCell ref="W1308:W1312"/>
    <mergeCell ref="X1308:X1312"/>
    <mergeCell ref="Y1308:Y1312"/>
    <mergeCell ref="G1307:G1313"/>
    <mergeCell ref="H1300:H1306"/>
    <mergeCell ref="I1300:I1306"/>
    <mergeCell ref="J1300:J1306"/>
    <mergeCell ref="K1300:K1306"/>
    <mergeCell ref="L1300:L1306"/>
    <mergeCell ref="M1300:M1306"/>
    <mergeCell ref="AF1300:AF1306"/>
    <mergeCell ref="AG1300:AG1306"/>
    <mergeCell ref="AH1300:AH1306"/>
    <mergeCell ref="AI1300:AI1306"/>
    <mergeCell ref="AJ1300:AJ1306"/>
    <mergeCell ref="AK1300:AK1306"/>
    <mergeCell ref="N1301:N1305"/>
    <mergeCell ref="O1301:O1305"/>
    <mergeCell ref="P1301:P1305"/>
    <mergeCell ref="Q1301:Q1305"/>
    <mergeCell ref="R1301:R1305"/>
    <mergeCell ref="S1301:S1305"/>
    <mergeCell ref="T1301:T1305"/>
    <mergeCell ref="U1301:U1305"/>
    <mergeCell ref="V1301:V1305"/>
    <mergeCell ref="W1301:W1305"/>
    <mergeCell ref="X1301:X1305"/>
    <mergeCell ref="Y1301:Y1305"/>
    <mergeCell ref="G1286:G1292"/>
    <mergeCell ref="H1293:H1299"/>
    <mergeCell ref="I1293:I1299"/>
    <mergeCell ref="J1293:J1299"/>
    <mergeCell ref="K1293:K1299"/>
    <mergeCell ref="L1293:L1299"/>
    <mergeCell ref="M1293:M1299"/>
    <mergeCell ref="AF1293:AF1299"/>
    <mergeCell ref="AG1293:AG1299"/>
    <mergeCell ref="AH1293:AH1299"/>
    <mergeCell ref="AI1293:AI1299"/>
    <mergeCell ref="AJ1293:AJ1299"/>
    <mergeCell ref="AK1293:AK1299"/>
    <mergeCell ref="N1294:N1298"/>
    <mergeCell ref="O1294:O1298"/>
    <mergeCell ref="P1294:P1298"/>
    <mergeCell ref="Q1294:Q1298"/>
    <mergeCell ref="R1294:R1298"/>
    <mergeCell ref="S1294:S1298"/>
    <mergeCell ref="T1294:T1298"/>
    <mergeCell ref="U1294:U1298"/>
    <mergeCell ref="V1294:V1298"/>
    <mergeCell ref="W1294:W1298"/>
    <mergeCell ref="X1294:X1298"/>
    <mergeCell ref="Y1294:Y1298"/>
    <mergeCell ref="G1293:G1299"/>
    <mergeCell ref="M1286:M1292"/>
    <mergeCell ref="AF1286:AF1292"/>
    <mergeCell ref="AG1286:AG1292"/>
    <mergeCell ref="AH1286:AH1292"/>
    <mergeCell ref="AI1286:AI1292"/>
    <mergeCell ref="AJ1286:AJ1292"/>
    <mergeCell ref="AK1286:AK1292"/>
    <mergeCell ref="N1287:N1291"/>
    <mergeCell ref="O1287:O1291"/>
    <mergeCell ref="P1287:P1291"/>
    <mergeCell ref="Q1287:Q1291"/>
    <mergeCell ref="R1287:R1291"/>
    <mergeCell ref="S1287:S1291"/>
    <mergeCell ref="T1287:T1291"/>
    <mergeCell ref="U1287:U1291"/>
    <mergeCell ref="V1287:V1291"/>
    <mergeCell ref="W1287:W1291"/>
    <mergeCell ref="X1287:X1291"/>
    <mergeCell ref="Y1287:Y1291"/>
    <mergeCell ref="G1266:G1272"/>
    <mergeCell ref="H1273:H1279"/>
    <mergeCell ref="I1273:I1279"/>
    <mergeCell ref="J1273:J1279"/>
    <mergeCell ref="K1273:K1279"/>
    <mergeCell ref="L1273:L1279"/>
    <mergeCell ref="M1273:M1279"/>
    <mergeCell ref="AF1273:AF1279"/>
    <mergeCell ref="AG1273:AG1279"/>
    <mergeCell ref="AH1273:AH1279"/>
    <mergeCell ref="AI1273:AI1279"/>
    <mergeCell ref="AJ1273:AJ1279"/>
    <mergeCell ref="AK1273:AK1279"/>
    <mergeCell ref="N1274:N1278"/>
    <mergeCell ref="O1274:O1278"/>
    <mergeCell ref="P1274:P1278"/>
    <mergeCell ref="Q1274:Q1278"/>
    <mergeCell ref="R1274:R1278"/>
    <mergeCell ref="S1274:S1278"/>
    <mergeCell ref="T1274:T1278"/>
    <mergeCell ref="U1274:U1278"/>
    <mergeCell ref="V1274:V1278"/>
    <mergeCell ref="W1274:W1278"/>
    <mergeCell ref="X1274:X1278"/>
    <mergeCell ref="Y1274:Y1278"/>
    <mergeCell ref="G1273:G1279"/>
    <mergeCell ref="H1266:H1272"/>
    <mergeCell ref="I1266:I1272"/>
    <mergeCell ref="J1266:J1272"/>
    <mergeCell ref="K1266:K1272"/>
    <mergeCell ref="L1266:L1272"/>
    <mergeCell ref="M1266:M1272"/>
    <mergeCell ref="AF1266:AF1272"/>
    <mergeCell ref="AG1266:AG1272"/>
    <mergeCell ref="AH1266:AH1272"/>
    <mergeCell ref="AI1266:AI1272"/>
    <mergeCell ref="AJ1266:AJ1272"/>
    <mergeCell ref="AK1266:AK1272"/>
    <mergeCell ref="N1267:N1271"/>
    <mergeCell ref="O1267:O1271"/>
    <mergeCell ref="P1267:P1271"/>
    <mergeCell ref="Q1267:Q1271"/>
    <mergeCell ref="R1267:R1271"/>
    <mergeCell ref="S1267:S1271"/>
    <mergeCell ref="T1267:T1271"/>
    <mergeCell ref="U1267:U1271"/>
    <mergeCell ref="V1267:V1271"/>
    <mergeCell ref="W1267:W1271"/>
    <mergeCell ref="X1267:X1271"/>
    <mergeCell ref="Y1267:Y1271"/>
    <mergeCell ref="G1252:G1258"/>
    <mergeCell ref="H1259:H1265"/>
    <mergeCell ref="I1259:I1265"/>
    <mergeCell ref="J1259:J1265"/>
    <mergeCell ref="K1259:K1265"/>
    <mergeCell ref="L1259:L1265"/>
    <mergeCell ref="M1259:M1265"/>
    <mergeCell ref="AF1259:AF1265"/>
    <mergeCell ref="AG1259:AG1265"/>
    <mergeCell ref="AH1259:AH1265"/>
    <mergeCell ref="AI1259:AI1265"/>
    <mergeCell ref="AJ1259:AJ1265"/>
    <mergeCell ref="AK1259:AK1265"/>
    <mergeCell ref="N1260:N1264"/>
    <mergeCell ref="O1260:O1264"/>
    <mergeCell ref="P1260:P1264"/>
    <mergeCell ref="Q1260:Q1264"/>
    <mergeCell ref="R1260:R1264"/>
    <mergeCell ref="S1260:S1264"/>
    <mergeCell ref="T1260:T1264"/>
    <mergeCell ref="U1260:U1264"/>
    <mergeCell ref="V1260:V1264"/>
    <mergeCell ref="W1260:W1264"/>
    <mergeCell ref="X1260:X1264"/>
    <mergeCell ref="Y1260:Y1264"/>
    <mergeCell ref="G1259:G1265"/>
    <mergeCell ref="H1252:H1258"/>
    <mergeCell ref="I1252:I1258"/>
    <mergeCell ref="J1252:J1258"/>
    <mergeCell ref="K1252:K1258"/>
    <mergeCell ref="L1252:L1258"/>
    <mergeCell ref="M1252:M1258"/>
    <mergeCell ref="AF1252:AF1258"/>
    <mergeCell ref="AG1252:AG1258"/>
    <mergeCell ref="AH1252:AH1258"/>
    <mergeCell ref="AI1252:AI1258"/>
    <mergeCell ref="AJ1252:AJ1258"/>
    <mergeCell ref="AK1252:AK1258"/>
    <mergeCell ref="N1253:N1257"/>
    <mergeCell ref="O1253:O1257"/>
    <mergeCell ref="P1253:P1257"/>
    <mergeCell ref="Q1253:Q1257"/>
    <mergeCell ref="R1253:R1257"/>
    <mergeCell ref="S1253:S1257"/>
    <mergeCell ref="T1253:T1257"/>
    <mergeCell ref="U1253:U1257"/>
    <mergeCell ref="V1253:V1257"/>
    <mergeCell ref="W1253:W1257"/>
    <mergeCell ref="X1253:X1257"/>
    <mergeCell ref="Y1253:Y1257"/>
    <mergeCell ref="G1238:G1244"/>
    <mergeCell ref="H1245:H1251"/>
    <mergeCell ref="I1245:I1251"/>
    <mergeCell ref="J1245:J1251"/>
    <mergeCell ref="K1245:K1251"/>
    <mergeCell ref="L1245:L1251"/>
    <mergeCell ref="M1245:M1251"/>
    <mergeCell ref="AF1245:AF1251"/>
    <mergeCell ref="AG1245:AG1251"/>
    <mergeCell ref="AH1245:AH1251"/>
    <mergeCell ref="AI1245:AI1251"/>
    <mergeCell ref="AJ1245:AJ1251"/>
    <mergeCell ref="AK1245:AK1251"/>
    <mergeCell ref="N1246:N1250"/>
    <mergeCell ref="O1246:O1250"/>
    <mergeCell ref="P1246:P1250"/>
    <mergeCell ref="Q1246:Q1250"/>
    <mergeCell ref="R1246:R1250"/>
    <mergeCell ref="S1246:S1250"/>
    <mergeCell ref="T1246:T1250"/>
    <mergeCell ref="U1246:U1250"/>
    <mergeCell ref="V1246:V1250"/>
    <mergeCell ref="W1246:W1250"/>
    <mergeCell ref="X1246:X1250"/>
    <mergeCell ref="Y1246:Y1250"/>
    <mergeCell ref="G1245:G1251"/>
    <mergeCell ref="H1238:H1244"/>
    <mergeCell ref="I1238:I1244"/>
    <mergeCell ref="J1238:J1244"/>
    <mergeCell ref="K1238:K1244"/>
    <mergeCell ref="L1238:L1244"/>
    <mergeCell ref="M1238:M1244"/>
    <mergeCell ref="AF1238:AF1244"/>
    <mergeCell ref="AG1238:AG1244"/>
    <mergeCell ref="AH1238:AH1244"/>
    <mergeCell ref="AI1238:AI1244"/>
    <mergeCell ref="AJ1238:AJ1244"/>
    <mergeCell ref="AK1238:AK1244"/>
    <mergeCell ref="N1239:N1243"/>
    <mergeCell ref="O1239:O1243"/>
    <mergeCell ref="P1239:P1243"/>
    <mergeCell ref="Q1239:Q1243"/>
    <mergeCell ref="R1239:R1243"/>
    <mergeCell ref="S1239:S1243"/>
    <mergeCell ref="T1239:T1243"/>
    <mergeCell ref="U1239:U1243"/>
    <mergeCell ref="V1239:V1243"/>
    <mergeCell ref="W1239:W1243"/>
    <mergeCell ref="X1239:X1243"/>
    <mergeCell ref="Y1239:Y1243"/>
    <mergeCell ref="G1224:G1230"/>
    <mergeCell ref="H1231:H1237"/>
    <mergeCell ref="I1231:I1237"/>
    <mergeCell ref="J1231:J1237"/>
    <mergeCell ref="K1231:K1237"/>
    <mergeCell ref="L1231:L1237"/>
    <mergeCell ref="M1231:M1237"/>
    <mergeCell ref="AF1231:AF1237"/>
    <mergeCell ref="AG1231:AG1237"/>
    <mergeCell ref="AH1231:AH1237"/>
    <mergeCell ref="AI1231:AI1237"/>
    <mergeCell ref="AJ1231:AJ1237"/>
    <mergeCell ref="AK1231:AK1237"/>
    <mergeCell ref="N1232:N1236"/>
    <mergeCell ref="O1232:O1236"/>
    <mergeCell ref="P1232:P1236"/>
    <mergeCell ref="Q1232:Q1236"/>
    <mergeCell ref="R1232:R1236"/>
    <mergeCell ref="S1232:S1236"/>
    <mergeCell ref="T1232:T1236"/>
    <mergeCell ref="U1232:U1236"/>
    <mergeCell ref="V1232:V1236"/>
    <mergeCell ref="W1232:W1236"/>
    <mergeCell ref="X1232:X1236"/>
    <mergeCell ref="Y1232:Y1236"/>
    <mergeCell ref="G1231:G1237"/>
    <mergeCell ref="H1224:H1230"/>
    <mergeCell ref="I1224:I1230"/>
    <mergeCell ref="J1224:J1230"/>
    <mergeCell ref="K1224:K1230"/>
    <mergeCell ref="L1224:L1230"/>
    <mergeCell ref="M1224:M1230"/>
    <mergeCell ref="AF1224:AF1230"/>
    <mergeCell ref="AG1224:AG1230"/>
    <mergeCell ref="AH1224:AH1230"/>
    <mergeCell ref="AI1224:AI1230"/>
    <mergeCell ref="AJ1224:AJ1230"/>
    <mergeCell ref="AK1224:AK1230"/>
    <mergeCell ref="N1225:N1229"/>
    <mergeCell ref="O1225:O1229"/>
    <mergeCell ref="P1225:P1229"/>
    <mergeCell ref="Q1225:Q1229"/>
    <mergeCell ref="R1225:R1229"/>
    <mergeCell ref="S1225:S1229"/>
    <mergeCell ref="T1225:T1229"/>
    <mergeCell ref="U1225:U1229"/>
    <mergeCell ref="V1225:V1229"/>
    <mergeCell ref="W1225:W1229"/>
    <mergeCell ref="X1225:X1229"/>
    <mergeCell ref="Y1225:Y1229"/>
    <mergeCell ref="G1210:G1216"/>
    <mergeCell ref="H1217:H1223"/>
    <mergeCell ref="I1217:I1223"/>
    <mergeCell ref="J1217:J1223"/>
    <mergeCell ref="K1217:K1223"/>
    <mergeCell ref="L1217:L1223"/>
    <mergeCell ref="M1217:M1223"/>
    <mergeCell ref="AF1217:AF1223"/>
    <mergeCell ref="AG1217:AG1223"/>
    <mergeCell ref="AH1217:AH1223"/>
    <mergeCell ref="AI1217:AI1223"/>
    <mergeCell ref="AJ1217:AJ1223"/>
    <mergeCell ref="AK1217:AK1223"/>
    <mergeCell ref="N1218:N1222"/>
    <mergeCell ref="O1218:O1222"/>
    <mergeCell ref="P1218:P1222"/>
    <mergeCell ref="Q1218:Q1222"/>
    <mergeCell ref="R1218:R1222"/>
    <mergeCell ref="S1218:S1222"/>
    <mergeCell ref="T1218:T1222"/>
    <mergeCell ref="U1218:U1222"/>
    <mergeCell ref="V1218:V1222"/>
    <mergeCell ref="W1218:W1222"/>
    <mergeCell ref="X1218:X1222"/>
    <mergeCell ref="Y1218:Y1222"/>
    <mergeCell ref="G1217:G1223"/>
    <mergeCell ref="M1210:M1216"/>
    <mergeCell ref="AF1210:AF1216"/>
    <mergeCell ref="AG1210:AG1216"/>
    <mergeCell ref="AH1210:AH1216"/>
    <mergeCell ref="AI1210:AI1216"/>
    <mergeCell ref="AJ1210:AJ1216"/>
    <mergeCell ref="AK1210:AK1216"/>
    <mergeCell ref="N1211:N1215"/>
    <mergeCell ref="O1211:O1215"/>
    <mergeCell ref="P1211:P1215"/>
    <mergeCell ref="Q1211:Q1215"/>
    <mergeCell ref="R1211:R1215"/>
    <mergeCell ref="S1211:S1215"/>
    <mergeCell ref="T1211:T1215"/>
    <mergeCell ref="U1211:U1215"/>
    <mergeCell ref="V1211:V1215"/>
    <mergeCell ref="W1211:W1215"/>
    <mergeCell ref="X1211:X1215"/>
    <mergeCell ref="Y1211:Y1215"/>
    <mergeCell ref="G1190:G1196"/>
    <mergeCell ref="H1203:H1209"/>
    <mergeCell ref="I1203:I1209"/>
    <mergeCell ref="J1203:J1209"/>
    <mergeCell ref="K1203:K1209"/>
    <mergeCell ref="L1203:L1209"/>
    <mergeCell ref="M1203:M1209"/>
    <mergeCell ref="AF1203:AF1209"/>
    <mergeCell ref="AG1203:AG1209"/>
    <mergeCell ref="AH1203:AH1209"/>
    <mergeCell ref="AI1203:AI1209"/>
    <mergeCell ref="AJ1203:AJ1209"/>
    <mergeCell ref="AK1203:AK1209"/>
    <mergeCell ref="N1204:N1208"/>
    <mergeCell ref="O1204:O1208"/>
    <mergeCell ref="P1204:P1208"/>
    <mergeCell ref="Q1204:Q1208"/>
    <mergeCell ref="R1204:R1208"/>
    <mergeCell ref="S1204:S1208"/>
    <mergeCell ref="T1204:T1208"/>
    <mergeCell ref="U1204:U1208"/>
    <mergeCell ref="V1204:V1208"/>
    <mergeCell ref="W1204:W1208"/>
    <mergeCell ref="X1204:X1208"/>
    <mergeCell ref="Y1204:Y1208"/>
    <mergeCell ref="G1203:G1209"/>
    <mergeCell ref="H1190:H1196"/>
    <mergeCell ref="I1190:I1196"/>
    <mergeCell ref="J1190:J1196"/>
    <mergeCell ref="K1190:K1196"/>
    <mergeCell ref="L1190:L1196"/>
    <mergeCell ref="M1190:M1196"/>
    <mergeCell ref="AF1190:AF1196"/>
    <mergeCell ref="AG1190:AG1196"/>
    <mergeCell ref="AH1190:AH1196"/>
    <mergeCell ref="AI1190:AI1196"/>
    <mergeCell ref="AJ1190:AJ1196"/>
    <mergeCell ref="AK1190:AK1196"/>
    <mergeCell ref="N1191:N1195"/>
    <mergeCell ref="O1191:O1195"/>
    <mergeCell ref="P1191:P1195"/>
    <mergeCell ref="Q1191:Q1195"/>
    <mergeCell ref="R1191:R1195"/>
    <mergeCell ref="S1191:S1195"/>
    <mergeCell ref="T1191:T1195"/>
    <mergeCell ref="U1191:U1195"/>
    <mergeCell ref="V1191:V1195"/>
    <mergeCell ref="W1191:W1195"/>
    <mergeCell ref="X1191:X1195"/>
    <mergeCell ref="Y1191:Y1195"/>
    <mergeCell ref="G1176:G1182"/>
    <mergeCell ref="H1183:H1189"/>
    <mergeCell ref="I1183:I1189"/>
    <mergeCell ref="J1183:J1189"/>
    <mergeCell ref="K1183:K1189"/>
    <mergeCell ref="L1183:L1189"/>
    <mergeCell ref="M1183:M1189"/>
    <mergeCell ref="AF1183:AF1189"/>
    <mergeCell ref="AG1183:AG1189"/>
    <mergeCell ref="AH1183:AH1189"/>
    <mergeCell ref="AI1183:AI1189"/>
    <mergeCell ref="AJ1183:AJ1189"/>
    <mergeCell ref="AK1183:AK1189"/>
    <mergeCell ref="N1184:N1188"/>
    <mergeCell ref="O1184:O1188"/>
    <mergeCell ref="P1184:P1188"/>
    <mergeCell ref="Q1184:Q1188"/>
    <mergeCell ref="R1184:R1188"/>
    <mergeCell ref="S1184:S1188"/>
    <mergeCell ref="T1184:T1188"/>
    <mergeCell ref="U1184:U1188"/>
    <mergeCell ref="V1184:V1188"/>
    <mergeCell ref="W1184:W1188"/>
    <mergeCell ref="X1184:X1188"/>
    <mergeCell ref="Y1184:Y1188"/>
    <mergeCell ref="G1183:G1189"/>
    <mergeCell ref="H1176:H1182"/>
    <mergeCell ref="I1176:I1182"/>
    <mergeCell ref="J1176:J1182"/>
    <mergeCell ref="K1176:K1182"/>
    <mergeCell ref="L1176:L1182"/>
    <mergeCell ref="M1176:M1182"/>
    <mergeCell ref="AF1176:AF1182"/>
    <mergeCell ref="AG1176:AG1182"/>
    <mergeCell ref="AH1176:AH1182"/>
    <mergeCell ref="AI1176:AI1182"/>
    <mergeCell ref="AJ1176:AJ1182"/>
    <mergeCell ref="AK1176:AK1182"/>
    <mergeCell ref="N1177:N1181"/>
    <mergeCell ref="O1177:O1181"/>
    <mergeCell ref="P1177:P1181"/>
    <mergeCell ref="Q1177:Q1181"/>
    <mergeCell ref="R1177:R1181"/>
    <mergeCell ref="S1177:S1181"/>
    <mergeCell ref="T1177:T1181"/>
    <mergeCell ref="U1177:U1181"/>
    <mergeCell ref="V1177:V1181"/>
    <mergeCell ref="W1177:W1181"/>
    <mergeCell ref="X1177:X1181"/>
    <mergeCell ref="Y1177:Y1181"/>
    <mergeCell ref="G1162:G1168"/>
    <mergeCell ref="H1169:H1175"/>
    <mergeCell ref="I1169:I1175"/>
    <mergeCell ref="J1169:J1175"/>
    <mergeCell ref="K1169:K1175"/>
    <mergeCell ref="L1169:L1175"/>
    <mergeCell ref="M1169:M1175"/>
    <mergeCell ref="AF1169:AF1175"/>
    <mergeCell ref="AG1169:AG1175"/>
    <mergeCell ref="AH1169:AH1175"/>
    <mergeCell ref="AI1169:AI1175"/>
    <mergeCell ref="AJ1169:AJ1175"/>
    <mergeCell ref="AK1169:AK1175"/>
    <mergeCell ref="N1170:N1174"/>
    <mergeCell ref="O1170:O1174"/>
    <mergeCell ref="P1170:P1174"/>
    <mergeCell ref="Q1170:Q1174"/>
    <mergeCell ref="R1170:R1174"/>
    <mergeCell ref="S1170:S1174"/>
    <mergeCell ref="T1170:T1174"/>
    <mergeCell ref="U1170:U1174"/>
    <mergeCell ref="V1170:V1174"/>
    <mergeCell ref="W1170:W1174"/>
    <mergeCell ref="X1170:X1174"/>
    <mergeCell ref="Y1170:Y1174"/>
    <mergeCell ref="G1169:G1175"/>
    <mergeCell ref="M1162:M1168"/>
    <mergeCell ref="AF1162:AF1168"/>
    <mergeCell ref="AG1162:AG1168"/>
    <mergeCell ref="AH1162:AH1168"/>
    <mergeCell ref="AI1162:AI1168"/>
    <mergeCell ref="AJ1162:AJ1168"/>
    <mergeCell ref="AK1162:AK1168"/>
    <mergeCell ref="N1163:N1167"/>
    <mergeCell ref="O1163:O1167"/>
    <mergeCell ref="P1163:P1167"/>
    <mergeCell ref="Q1163:Q1167"/>
    <mergeCell ref="R1163:R1167"/>
    <mergeCell ref="S1163:S1167"/>
    <mergeCell ref="T1163:T1167"/>
    <mergeCell ref="U1163:U1167"/>
    <mergeCell ref="V1163:V1167"/>
    <mergeCell ref="W1163:W1167"/>
    <mergeCell ref="X1163:X1167"/>
    <mergeCell ref="Y1163:Y1167"/>
    <mergeCell ref="G1142:G1148"/>
    <mergeCell ref="H1149:H1155"/>
    <mergeCell ref="I1149:I1155"/>
    <mergeCell ref="J1149:J1155"/>
    <mergeCell ref="K1149:K1155"/>
    <mergeCell ref="L1149:L1155"/>
    <mergeCell ref="M1149:M1155"/>
    <mergeCell ref="AF1149:AF1155"/>
    <mergeCell ref="AG1149:AG1155"/>
    <mergeCell ref="AH1149:AH1155"/>
    <mergeCell ref="AI1149:AI1155"/>
    <mergeCell ref="AJ1149:AJ1155"/>
    <mergeCell ref="AK1149:AK1155"/>
    <mergeCell ref="N1150:N1154"/>
    <mergeCell ref="O1150:O1154"/>
    <mergeCell ref="P1150:P1154"/>
    <mergeCell ref="Q1150:Q1154"/>
    <mergeCell ref="R1150:R1154"/>
    <mergeCell ref="S1150:S1154"/>
    <mergeCell ref="T1150:T1154"/>
    <mergeCell ref="U1150:U1154"/>
    <mergeCell ref="V1150:V1154"/>
    <mergeCell ref="W1150:W1154"/>
    <mergeCell ref="X1150:X1154"/>
    <mergeCell ref="Y1150:Y1154"/>
    <mergeCell ref="G1149:G1155"/>
    <mergeCell ref="H1142:H1148"/>
    <mergeCell ref="I1142:I1148"/>
    <mergeCell ref="J1142:J1148"/>
    <mergeCell ref="K1142:K1148"/>
    <mergeCell ref="L1142:L1148"/>
    <mergeCell ref="M1142:M1148"/>
    <mergeCell ref="AF1142:AF1148"/>
    <mergeCell ref="AG1142:AG1148"/>
    <mergeCell ref="AH1142:AH1148"/>
    <mergeCell ref="AI1142:AI1148"/>
    <mergeCell ref="AJ1142:AJ1148"/>
    <mergeCell ref="AK1142:AK1148"/>
    <mergeCell ref="N1143:N1147"/>
    <mergeCell ref="O1143:O1147"/>
    <mergeCell ref="P1143:P1147"/>
    <mergeCell ref="Q1143:Q1147"/>
    <mergeCell ref="R1143:R1147"/>
    <mergeCell ref="S1143:S1147"/>
    <mergeCell ref="T1143:T1147"/>
    <mergeCell ref="U1143:U1147"/>
    <mergeCell ref="V1143:V1147"/>
    <mergeCell ref="W1143:W1147"/>
    <mergeCell ref="X1143:X1147"/>
    <mergeCell ref="Y1143:Y1147"/>
    <mergeCell ref="G1128:G1134"/>
    <mergeCell ref="H1135:H1141"/>
    <mergeCell ref="I1135:I1141"/>
    <mergeCell ref="J1135:J1141"/>
    <mergeCell ref="K1135:K1141"/>
    <mergeCell ref="L1135:L1141"/>
    <mergeCell ref="M1135:M1141"/>
    <mergeCell ref="AF1135:AF1141"/>
    <mergeCell ref="AG1135:AG1141"/>
    <mergeCell ref="AH1135:AH1141"/>
    <mergeCell ref="AI1135:AI1141"/>
    <mergeCell ref="AJ1135:AJ1141"/>
    <mergeCell ref="AK1135:AK1141"/>
    <mergeCell ref="N1136:N1140"/>
    <mergeCell ref="O1136:O1140"/>
    <mergeCell ref="P1136:P1140"/>
    <mergeCell ref="Q1136:Q1140"/>
    <mergeCell ref="R1136:R1140"/>
    <mergeCell ref="S1136:S1140"/>
    <mergeCell ref="T1136:T1140"/>
    <mergeCell ref="U1136:U1140"/>
    <mergeCell ref="V1136:V1140"/>
    <mergeCell ref="W1136:W1140"/>
    <mergeCell ref="X1136:X1140"/>
    <mergeCell ref="Y1136:Y1140"/>
    <mergeCell ref="G1135:G1141"/>
    <mergeCell ref="H1128:H1134"/>
    <mergeCell ref="I1128:I1134"/>
    <mergeCell ref="J1128:J1134"/>
    <mergeCell ref="K1128:K1134"/>
    <mergeCell ref="L1128:L1134"/>
    <mergeCell ref="M1128:M1134"/>
    <mergeCell ref="AF1128:AF1134"/>
    <mergeCell ref="AG1128:AG1134"/>
    <mergeCell ref="AH1128:AH1134"/>
    <mergeCell ref="AI1128:AI1134"/>
    <mergeCell ref="AJ1128:AJ1134"/>
    <mergeCell ref="AK1128:AK1134"/>
    <mergeCell ref="N1129:N1133"/>
    <mergeCell ref="O1129:O1133"/>
    <mergeCell ref="P1129:P1133"/>
    <mergeCell ref="Q1129:Q1133"/>
    <mergeCell ref="R1129:R1133"/>
    <mergeCell ref="S1129:S1133"/>
    <mergeCell ref="T1129:T1133"/>
    <mergeCell ref="U1129:U1133"/>
    <mergeCell ref="V1129:V1133"/>
    <mergeCell ref="W1129:W1133"/>
    <mergeCell ref="X1129:X1133"/>
    <mergeCell ref="Y1129:Y1133"/>
    <mergeCell ref="G1118:G1122"/>
    <mergeCell ref="H1123:H1127"/>
    <mergeCell ref="I1123:I1127"/>
    <mergeCell ref="J1123:J1127"/>
    <mergeCell ref="K1123:K1127"/>
    <mergeCell ref="L1123:L1127"/>
    <mergeCell ref="M1123:M1127"/>
    <mergeCell ref="AF1123:AF1127"/>
    <mergeCell ref="AG1123:AG1127"/>
    <mergeCell ref="AH1123:AH1127"/>
    <mergeCell ref="AI1123:AI1127"/>
    <mergeCell ref="AJ1123:AJ1127"/>
    <mergeCell ref="AK1123:AK1127"/>
    <mergeCell ref="N1124:N1126"/>
    <mergeCell ref="O1124:O1126"/>
    <mergeCell ref="P1124:P1126"/>
    <mergeCell ref="Q1124:Q1126"/>
    <mergeCell ref="R1124:R1126"/>
    <mergeCell ref="S1124:S1126"/>
    <mergeCell ref="T1124:T1126"/>
    <mergeCell ref="U1124:U1126"/>
    <mergeCell ref="V1124:V1126"/>
    <mergeCell ref="W1124:W1126"/>
    <mergeCell ref="X1124:X1126"/>
    <mergeCell ref="Y1124:Y1126"/>
    <mergeCell ref="G1123:G1127"/>
    <mergeCell ref="H1118:H1122"/>
    <mergeCell ref="I1118:I1122"/>
    <mergeCell ref="J1118:J1122"/>
    <mergeCell ref="K1118:K1122"/>
    <mergeCell ref="L1118:L1122"/>
    <mergeCell ref="M1118:M1122"/>
    <mergeCell ref="AF1118:AF1122"/>
    <mergeCell ref="AG1118:AG1122"/>
    <mergeCell ref="AH1118:AH1122"/>
    <mergeCell ref="AI1118:AI1122"/>
    <mergeCell ref="AJ1118:AJ1122"/>
    <mergeCell ref="AK1118:AK1122"/>
    <mergeCell ref="N1119:N1121"/>
    <mergeCell ref="O1119:O1121"/>
    <mergeCell ref="P1119:P1121"/>
    <mergeCell ref="Q1119:Q1121"/>
    <mergeCell ref="R1119:R1121"/>
    <mergeCell ref="S1119:S1121"/>
    <mergeCell ref="T1119:T1121"/>
    <mergeCell ref="U1119:U1121"/>
    <mergeCell ref="V1119:V1121"/>
    <mergeCell ref="W1119:W1121"/>
    <mergeCell ref="X1119:X1121"/>
    <mergeCell ref="Y1119:Y1121"/>
    <mergeCell ref="G1108:G1112"/>
    <mergeCell ref="H1113:H1117"/>
    <mergeCell ref="I1113:I1117"/>
    <mergeCell ref="J1113:J1117"/>
    <mergeCell ref="K1113:K1117"/>
    <mergeCell ref="L1113:L1117"/>
    <mergeCell ref="M1113:M1117"/>
    <mergeCell ref="AF1113:AF1117"/>
    <mergeCell ref="AG1113:AG1117"/>
    <mergeCell ref="AH1113:AH1117"/>
    <mergeCell ref="AI1113:AI1117"/>
    <mergeCell ref="AJ1113:AJ1117"/>
    <mergeCell ref="AK1113:AK1117"/>
    <mergeCell ref="N1114:N1116"/>
    <mergeCell ref="O1114:O1116"/>
    <mergeCell ref="P1114:P1116"/>
    <mergeCell ref="Q1114:Q1116"/>
    <mergeCell ref="R1114:R1116"/>
    <mergeCell ref="S1114:S1116"/>
    <mergeCell ref="T1114:T1116"/>
    <mergeCell ref="U1114:U1116"/>
    <mergeCell ref="V1114:V1116"/>
    <mergeCell ref="W1114:W1116"/>
    <mergeCell ref="X1114:X1116"/>
    <mergeCell ref="Y1114:Y1116"/>
    <mergeCell ref="G1113:G1117"/>
    <mergeCell ref="H1108:H1112"/>
    <mergeCell ref="I1108:I1112"/>
    <mergeCell ref="J1108:J1112"/>
    <mergeCell ref="K1108:K1112"/>
    <mergeCell ref="L1108:L1112"/>
    <mergeCell ref="M1108:M1112"/>
    <mergeCell ref="AF1108:AF1112"/>
    <mergeCell ref="AG1108:AG1112"/>
    <mergeCell ref="AH1108:AH1112"/>
    <mergeCell ref="AI1108:AI1112"/>
    <mergeCell ref="AJ1108:AJ1112"/>
    <mergeCell ref="AK1108:AK1112"/>
    <mergeCell ref="N1109:N1111"/>
    <mergeCell ref="O1109:O1111"/>
    <mergeCell ref="P1109:P1111"/>
    <mergeCell ref="Q1109:Q1111"/>
    <mergeCell ref="R1109:R1111"/>
    <mergeCell ref="S1109:S1111"/>
    <mergeCell ref="T1109:T1111"/>
    <mergeCell ref="U1109:U1111"/>
    <mergeCell ref="V1109:V1111"/>
    <mergeCell ref="W1109:W1111"/>
    <mergeCell ref="X1109:X1111"/>
    <mergeCell ref="Y1109:Y1111"/>
    <mergeCell ref="G1094:G1100"/>
    <mergeCell ref="H1101:H1107"/>
    <mergeCell ref="I1101:I1107"/>
    <mergeCell ref="J1101:J1107"/>
    <mergeCell ref="K1101:K1107"/>
    <mergeCell ref="L1101:L1107"/>
    <mergeCell ref="M1101:M1107"/>
    <mergeCell ref="AF1101:AF1107"/>
    <mergeCell ref="AG1101:AG1107"/>
    <mergeCell ref="AH1101:AH1107"/>
    <mergeCell ref="AI1101:AI1107"/>
    <mergeCell ref="AJ1101:AJ1107"/>
    <mergeCell ref="AK1101:AK1107"/>
    <mergeCell ref="N1102:N1106"/>
    <mergeCell ref="O1102:O1106"/>
    <mergeCell ref="P1102:P1106"/>
    <mergeCell ref="Q1102:Q1106"/>
    <mergeCell ref="R1102:R1106"/>
    <mergeCell ref="S1102:S1106"/>
    <mergeCell ref="T1102:T1106"/>
    <mergeCell ref="U1102:U1106"/>
    <mergeCell ref="V1102:V1106"/>
    <mergeCell ref="W1102:W1106"/>
    <mergeCell ref="X1102:X1106"/>
    <mergeCell ref="Y1102:Y1106"/>
    <mergeCell ref="G1101:G1107"/>
    <mergeCell ref="H1094:H1100"/>
    <mergeCell ref="I1094:I1100"/>
    <mergeCell ref="J1094:J1100"/>
    <mergeCell ref="K1094:K1100"/>
    <mergeCell ref="L1094:L1100"/>
    <mergeCell ref="M1094:M1100"/>
    <mergeCell ref="AF1094:AF1100"/>
    <mergeCell ref="AG1094:AG1100"/>
    <mergeCell ref="AH1094:AH1100"/>
    <mergeCell ref="AI1094:AI1100"/>
    <mergeCell ref="AJ1094:AJ1100"/>
    <mergeCell ref="AK1094:AK1100"/>
    <mergeCell ref="N1095:N1099"/>
    <mergeCell ref="O1095:O1099"/>
    <mergeCell ref="P1095:P1099"/>
    <mergeCell ref="Q1095:Q1099"/>
    <mergeCell ref="R1095:R1099"/>
    <mergeCell ref="S1095:S1099"/>
    <mergeCell ref="T1095:T1099"/>
    <mergeCell ref="U1095:U1099"/>
    <mergeCell ref="V1095:V1099"/>
    <mergeCell ref="W1095:W1099"/>
    <mergeCell ref="X1095:X1099"/>
    <mergeCell ref="Y1095:Y1099"/>
    <mergeCell ref="G1080:G1086"/>
    <mergeCell ref="H1087:H1093"/>
    <mergeCell ref="I1087:I1093"/>
    <mergeCell ref="J1087:J1093"/>
    <mergeCell ref="K1087:K1093"/>
    <mergeCell ref="L1087:L1093"/>
    <mergeCell ref="M1087:M1093"/>
    <mergeCell ref="AF1087:AF1093"/>
    <mergeCell ref="AG1087:AG1093"/>
    <mergeCell ref="AH1087:AH1093"/>
    <mergeCell ref="AI1087:AI1093"/>
    <mergeCell ref="AJ1087:AJ1093"/>
    <mergeCell ref="AK1087:AK1093"/>
    <mergeCell ref="N1088:N1092"/>
    <mergeCell ref="O1088:O1092"/>
    <mergeCell ref="P1088:P1092"/>
    <mergeCell ref="Q1088:Q1092"/>
    <mergeCell ref="R1088:R1092"/>
    <mergeCell ref="S1088:S1092"/>
    <mergeCell ref="T1088:T1092"/>
    <mergeCell ref="U1088:U1092"/>
    <mergeCell ref="V1088:V1092"/>
    <mergeCell ref="W1088:W1092"/>
    <mergeCell ref="X1088:X1092"/>
    <mergeCell ref="Y1088:Y1092"/>
    <mergeCell ref="G1087:G1093"/>
    <mergeCell ref="H1080:H1086"/>
    <mergeCell ref="I1080:I1086"/>
    <mergeCell ref="J1080:J1086"/>
    <mergeCell ref="K1080:K1086"/>
    <mergeCell ref="L1080:L1086"/>
    <mergeCell ref="M1080:M1086"/>
    <mergeCell ref="AF1080:AF1086"/>
    <mergeCell ref="AG1080:AG1086"/>
    <mergeCell ref="AH1080:AH1086"/>
    <mergeCell ref="AI1080:AI1086"/>
    <mergeCell ref="AJ1080:AJ1086"/>
    <mergeCell ref="AK1080:AK1086"/>
    <mergeCell ref="N1081:N1085"/>
    <mergeCell ref="O1081:O1085"/>
    <mergeCell ref="P1081:P1085"/>
    <mergeCell ref="Q1081:Q1085"/>
    <mergeCell ref="R1081:R1085"/>
    <mergeCell ref="S1081:S1085"/>
    <mergeCell ref="T1081:T1085"/>
    <mergeCell ref="U1081:U1085"/>
    <mergeCell ref="V1081:V1085"/>
    <mergeCell ref="W1081:W1085"/>
    <mergeCell ref="X1081:X1085"/>
    <mergeCell ref="Y1081:Y1085"/>
    <mergeCell ref="G1066:G1072"/>
    <mergeCell ref="H1073:H1079"/>
    <mergeCell ref="I1073:I1079"/>
    <mergeCell ref="J1073:J1079"/>
    <mergeCell ref="K1073:K1079"/>
    <mergeCell ref="L1073:L1079"/>
    <mergeCell ref="M1073:M1079"/>
    <mergeCell ref="AF1073:AF1079"/>
    <mergeCell ref="AG1073:AG1079"/>
    <mergeCell ref="AH1073:AH1079"/>
    <mergeCell ref="AI1073:AI1079"/>
    <mergeCell ref="AJ1073:AJ1079"/>
    <mergeCell ref="AK1073:AK1079"/>
    <mergeCell ref="N1074:N1078"/>
    <mergeCell ref="O1074:O1078"/>
    <mergeCell ref="P1074:P1078"/>
    <mergeCell ref="Q1074:Q1078"/>
    <mergeCell ref="R1074:R1078"/>
    <mergeCell ref="S1074:S1078"/>
    <mergeCell ref="T1074:T1078"/>
    <mergeCell ref="U1074:U1078"/>
    <mergeCell ref="V1074:V1078"/>
    <mergeCell ref="W1074:W1078"/>
    <mergeCell ref="X1074:X1078"/>
    <mergeCell ref="Y1074:Y1078"/>
    <mergeCell ref="G1073:G1079"/>
    <mergeCell ref="H1066:H1072"/>
    <mergeCell ref="I1066:I1072"/>
    <mergeCell ref="J1066:J1072"/>
    <mergeCell ref="K1066:K1072"/>
    <mergeCell ref="L1066:L1072"/>
    <mergeCell ref="M1066:M1072"/>
    <mergeCell ref="AF1066:AF1072"/>
    <mergeCell ref="AG1066:AG1072"/>
    <mergeCell ref="AH1066:AH1072"/>
    <mergeCell ref="AI1066:AI1072"/>
    <mergeCell ref="AJ1066:AJ1072"/>
    <mergeCell ref="AK1066:AK1072"/>
    <mergeCell ref="N1067:N1071"/>
    <mergeCell ref="O1067:O1071"/>
    <mergeCell ref="P1067:P1071"/>
    <mergeCell ref="Q1067:Q1071"/>
    <mergeCell ref="R1067:R1071"/>
    <mergeCell ref="S1067:S1071"/>
    <mergeCell ref="T1067:T1071"/>
    <mergeCell ref="U1067:U1071"/>
    <mergeCell ref="V1067:V1071"/>
    <mergeCell ref="W1067:W1071"/>
    <mergeCell ref="X1067:X1071"/>
    <mergeCell ref="Y1067:Y1071"/>
    <mergeCell ref="G1052:G1058"/>
    <mergeCell ref="H1059:H1065"/>
    <mergeCell ref="I1059:I1065"/>
    <mergeCell ref="J1059:J1065"/>
    <mergeCell ref="K1059:K1065"/>
    <mergeCell ref="L1059:L1065"/>
    <mergeCell ref="M1059:M1065"/>
    <mergeCell ref="AF1059:AF1065"/>
    <mergeCell ref="AG1059:AG1065"/>
    <mergeCell ref="AH1059:AH1065"/>
    <mergeCell ref="AI1059:AI1065"/>
    <mergeCell ref="AJ1059:AJ1065"/>
    <mergeCell ref="AK1059:AK1065"/>
    <mergeCell ref="N1060:N1064"/>
    <mergeCell ref="O1060:O1064"/>
    <mergeCell ref="P1060:P1064"/>
    <mergeCell ref="Q1060:Q1064"/>
    <mergeCell ref="R1060:R1064"/>
    <mergeCell ref="S1060:S1064"/>
    <mergeCell ref="T1060:T1064"/>
    <mergeCell ref="U1060:U1064"/>
    <mergeCell ref="V1060:V1064"/>
    <mergeCell ref="W1060:W1064"/>
    <mergeCell ref="X1060:X1064"/>
    <mergeCell ref="Y1060:Y1064"/>
    <mergeCell ref="G1059:G1065"/>
    <mergeCell ref="H1052:H1058"/>
    <mergeCell ref="I1052:I1058"/>
    <mergeCell ref="J1052:J1058"/>
    <mergeCell ref="K1052:K1058"/>
    <mergeCell ref="L1052:L1058"/>
    <mergeCell ref="M1052:M1058"/>
    <mergeCell ref="AF1052:AF1058"/>
    <mergeCell ref="AG1052:AG1058"/>
    <mergeCell ref="AH1052:AH1058"/>
    <mergeCell ref="AI1052:AI1058"/>
    <mergeCell ref="AJ1052:AJ1058"/>
    <mergeCell ref="AK1052:AK1058"/>
    <mergeCell ref="N1053:N1057"/>
    <mergeCell ref="O1053:O1057"/>
    <mergeCell ref="P1053:P1057"/>
    <mergeCell ref="Q1053:Q1057"/>
    <mergeCell ref="R1053:R1057"/>
    <mergeCell ref="S1053:S1057"/>
    <mergeCell ref="T1053:T1057"/>
    <mergeCell ref="U1053:U1057"/>
    <mergeCell ref="V1053:V1057"/>
    <mergeCell ref="W1053:W1057"/>
    <mergeCell ref="X1053:X1057"/>
    <mergeCell ref="Y1053:Y1057"/>
    <mergeCell ref="G1038:G1044"/>
    <mergeCell ref="H1045:H1051"/>
    <mergeCell ref="I1045:I1051"/>
    <mergeCell ref="J1045:J1051"/>
    <mergeCell ref="K1045:K1051"/>
    <mergeCell ref="L1045:L1051"/>
    <mergeCell ref="M1045:M1051"/>
    <mergeCell ref="AF1045:AF1051"/>
    <mergeCell ref="AG1045:AG1051"/>
    <mergeCell ref="AH1045:AH1051"/>
    <mergeCell ref="AI1045:AI1051"/>
    <mergeCell ref="AJ1045:AJ1051"/>
    <mergeCell ref="AK1045:AK1051"/>
    <mergeCell ref="N1046:N1050"/>
    <mergeCell ref="O1046:O1050"/>
    <mergeCell ref="P1046:P1050"/>
    <mergeCell ref="Q1046:Q1050"/>
    <mergeCell ref="R1046:R1050"/>
    <mergeCell ref="S1046:S1050"/>
    <mergeCell ref="T1046:T1050"/>
    <mergeCell ref="U1046:U1050"/>
    <mergeCell ref="V1046:V1050"/>
    <mergeCell ref="W1046:W1050"/>
    <mergeCell ref="X1046:X1050"/>
    <mergeCell ref="Y1046:Y1050"/>
    <mergeCell ref="G1045:G1051"/>
    <mergeCell ref="H1038:H1044"/>
    <mergeCell ref="I1038:I1044"/>
    <mergeCell ref="J1038:J1044"/>
    <mergeCell ref="K1038:K1044"/>
    <mergeCell ref="L1038:L1044"/>
    <mergeCell ref="M1038:M1044"/>
    <mergeCell ref="AF1038:AF1044"/>
    <mergeCell ref="AG1038:AG1044"/>
    <mergeCell ref="AH1038:AH1044"/>
    <mergeCell ref="AI1038:AI1044"/>
    <mergeCell ref="AJ1038:AJ1044"/>
    <mergeCell ref="AK1038:AK1044"/>
    <mergeCell ref="N1039:N1043"/>
    <mergeCell ref="O1039:O1043"/>
    <mergeCell ref="P1039:P1043"/>
    <mergeCell ref="Q1039:Q1043"/>
    <mergeCell ref="R1039:R1043"/>
    <mergeCell ref="S1039:S1043"/>
    <mergeCell ref="T1039:T1043"/>
    <mergeCell ref="U1039:U1043"/>
    <mergeCell ref="V1039:V1043"/>
    <mergeCell ref="W1039:W1043"/>
    <mergeCell ref="X1039:X1043"/>
    <mergeCell ref="Y1039:Y1043"/>
    <mergeCell ref="G1024:G1030"/>
    <mergeCell ref="H1031:H1037"/>
    <mergeCell ref="I1031:I1037"/>
    <mergeCell ref="J1031:J1037"/>
    <mergeCell ref="K1031:K1037"/>
    <mergeCell ref="L1031:L1037"/>
    <mergeCell ref="M1031:M1037"/>
    <mergeCell ref="AF1031:AF1037"/>
    <mergeCell ref="AG1031:AG1037"/>
    <mergeCell ref="AH1031:AH1037"/>
    <mergeCell ref="AI1031:AI1037"/>
    <mergeCell ref="AJ1031:AJ1037"/>
    <mergeCell ref="AK1031:AK1037"/>
    <mergeCell ref="N1032:N1036"/>
    <mergeCell ref="O1032:O1036"/>
    <mergeCell ref="P1032:P1036"/>
    <mergeCell ref="Q1032:Q1036"/>
    <mergeCell ref="R1032:R1036"/>
    <mergeCell ref="S1032:S1036"/>
    <mergeCell ref="T1032:T1036"/>
    <mergeCell ref="U1032:U1036"/>
    <mergeCell ref="V1032:V1036"/>
    <mergeCell ref="W1032:W1036"/>
    <mergeCell ref="X1032:X1036"/>
    <mergeCell ref="Y1032:Y1036"/>
    <mergeCell ref="G1031:G1037"/>
    <mergeCell ref="H1024:H1030"/>
    <mergeCell ref="I1024:I1030"/>
    <mergeCell ref="J1024:J1030"/>
    <mergeCell ref="K1024:K1030"/>
    <mergeCell ref="L1024:L1030"/>
    <mergeCell ref="M1024:M1030"/>
    <mergeCell ref="AF1024:AF1030"/>
    <mergeCell ref="AG1024:AG1030"/>
    <mergeCell ref="AH1024:AH1030"/>
    <mergeCell ref="AI1024:AI1030"/>
    <mergeCell ref="AJ1024:AJ1030"/>
    <mergeCell ref="AK1024:AK1030"/>
    <mergeCell ref="N1025:N1029"/>
    <mergeCell ref="O1025:O1029"/>
    <mergeCell ref="P1025:P1029"/>
    <mergeCell ref="Q1025:Q1029"/>
    <mergeCell ref="R1025:R1029"/>
    <mergeCell ref="S1025:S1029"/>
    <mergeCell ref="T1025:T1029"/>
    <mergeCell ref="U1025:U1029"/>
    <mergeCell ref="V1025:V1029"/>
    <mergeCell ref="W1025:W1029"/>
    <mergeCell ref="X1025:X1029"/>
    <mergeCell ref="Y1025:Y1029"/>
    <mergeCell ref="G1010:G1016"/>
    <mergeCell ref="H1017:H1023"/>
    <mergeCell ref="I1017:I1023"/>
    <mergeCell ref="J1017:J1023"/>
    <mergeCell ref="K1017:K1023"/>
    <mergeCell ref="L1017:L1023"/>
    <mergeCell ref="M1017:M1023"/>
    <mergeCell ref="AF1017:AF1023"/>
    <mergeCell ref="AG1017:AG1023"/>
    <mergeCell ref="AH1017:AH1023"/>
    <mergeCell ref="AI1017:AI1023"/>
    <mergeCell ref="AJ1017:AJ1023"/>
    <mergeCell ref="AK1017:AK1023"/>
    <mergeCell ref="N1018:N1022"/>
    <mergeCell ref="O1018:O1022"/>
    <mergeCell ref="P1018:P1022"/>
    <mergeCell ref="Q1018:Q1022"/>
    <mergeCell ref="R1018:R1022"/>
    <mergeCell ref="S1018:S1022"/>
    <mergeCell ref="T1018:T1022"/>
    <mergeCell ref="U1018:U1022"/>
    <mergeCell ref="V1018:V1022"/>
    <mergeCell ref="W1018:W1022"/>
    <mergeCell ref="X1018:X1022"/>
    <mergeCell ref="Y1018:Y1022"/>
    <mergeCell ref="G1017:G1023"/>
    <mergeCell ref="H1010:H1016"/>
    <mergeCell ref="I1010:I1016"/>
    <mergeCell ref="J1010:J1016"/>
    <mergeCell ref="K1010:K1016"/>
    <mergeCell ref="L1010:L1016"/>
    <mergeCell ref="M1010:M1016"/>
    <mergeCell ref="AF1010:AF1016"/>
    <mergeCell ref="AG1010:AG1016"/>
    <mergeCell ref="AH1010:AH1016"/>
    <mergeCell ref="AI1010:AI1016"/>
    <mergeCell ref="AJ1010:AJ1016"/>
    <mergeCell ref="AK1010:AK1016"/>
    <mergeCell ref="N1011:N1015"/>
    <mergeCell ref="O1011:O1015"/>
    <mergeCell ref="P1011:P1015"/>
    <mergeCell ref="Q1011:Q1015"/>
    <mergeCell ref="R1011:R1015"/>
    <mergeCell ref="S1011:S1015"/>
    <mergeCell ref="T1011:T1015"/>
    <mergeCell ref="U1011:U1015"/>
    <mergeCell ref="V1011:V1015"/>
    <mergeCell ref="W1011:W1015"/>
    <mergeCell ref="X1011:X1015"/>
    <mergeCell ref="Y1011:Y1015"/>
    <mergeCell ref="G996:G1002"/>
    <mergeCell ref="H1003:H1009"/>
    <mergeCell ref="I1003:I1009"/>
    <mergeCell ref="J1003:J1009"/>
    <mergeCell ref="K1003:K1009"/>
    <mergeCell ref="L1003:L1009"/>
    <mergeCell ref="M1003:M1009"/>
    <mergeCell ref="AF1003:AF1009"/>
    <mergeCell ref="AG1003:AG1009"/>
    <mergeCell ref="AH1003:AH1009"/>
    <mergeCell ref="AI1003:AI1009"/>
    <mergeCell ref="AJ1003:AJ1009"/>
    <mergeCell ref="AK1003:AK1009"/>
    <mergeCell ref="N1004:N1008"/>
    <mergeCell ref="O1004:O1008"/>
    <mergeCell ref="P1004:P1008"/>
    <mergeCell ref="Q1004:Q1008"/>
    <mergeCell ref="R1004:R1008"/>
    <mergeCell ref="S1004:S1008"/>
    <mergeCell ref="T1004:T1008"/>
    <mergeCell ref="U1004:U1008"/>
    <mergeCell ref="V1004:V1008"/>
    <mergeCell ref="W1004:W1008"/>
    <mergeCell ref="X1004:X1008"/>
    <mergeCell ref="Y1004:Y1008"/>
    <mergeCell ref="G1003:G1009"/>
    <mergeCell ref="H996:H1002"/>
    <mergeCell ref="I996:I1002"/>
    <mergeCell ref="J996:J1002"/>
    <mergeCell ref="K996:K1002"/>
    <mergeCell ref="L996:L1002"/>
    <mergeCell ref="M996:M1002"/>
    <mergeCell ref="AF996:AF1002"/>
    <mergeCell ref="AG996:AG1002"/>
    <mergeCell ref="AH996:AH1002"/>
    <mergeCell ref="AI996:AI1002"/>
    <mergeCell ref="AJ996:AJ1002"/>
    <mergeCell ref="AK996:AK1002"/>
    <mergeCell ref="N997:N1001"/>
    <mergeCell ref="O997:O1001"/>
    <mergeCell ref="P997:P1001"/>
    <mergeCell ref="Q997:Q1001"/>
    <mergeCell ref="R997:R1001"/>
    <mergeCell ref="S997:S1001"/>
    <mergeCell ref="T997:T1001"/>
    <mergeCell ref="U997:U1001"/>
    <mergeCell ref="V997:V1001"/>
    <mergeCell ref="W997:W1001"/>
    <mergeCell ref="X997:X1001"/>
    <mergeCell ref="Y997:Y1001"/>
    <mergeCell ref="G982:G988"/>
    <mergeCell ref="H989:H995"/>
    <mergeCell ref="I989:I995"/>
    <mergeCell ref="J989:J995"/>
    <mergeCell ref="K989:K995"/>
    <mergeCell ref="L989:L995"/>
    <mergeCell ref="M989:M995"/>
    <mergeCell ref="AF989:AF995"/>
    <mergeCell ref="AG989:AG995"/>
    <mergeCell ref="AH989:AH995"/>
    <mergeCell ref="AI989:AI995"/>
    <mergeCell ref="AJ989:AJ995"/>
    <mergeCell ref="AK989:AK995"/>
    <mergeCell ref="N990:N994"/>
    <mergeCell ref="O990:O994"/>
    <mergeCell ref="P990:P994"/>
    <mergeCell ref="Q990:Q994"/>
    <mergeCell ref="R990:R994"/>
    <mergeCell ref="S990:S994"/>
    <mergeCell ref="T990:T994"/>
    <mergeCell ref="U990:U994"/>
    <mergeCell ref="V990:V994"/>
    <mergeCell ref="W990:W994"/>
    <mergeCell ref="X990:X994"/>
    <mergeCell ref="Y990:Y994"/>
    <mergeCell ref="G989:G995"/>
    <mergeCell ref="M982:M988"/>
    <mergeCell ref="AF982:AF988"/>
    <mergeCell ref="AG982:AG988"/>
    <mergeCell ref="AH982:AH988"/>
    <mergeCell ref="AI982:AI988"/>
    <mergeCell ref="AJ982:AJ988"/>
    <mergeCell ref="AK982:AK988"/>
    <mergeCell ref="N983:N987"/>
    <mergeCell ref="O983:O987"/>
    <mergeCell ref="P983:P987"/>
    <mergeCell ref="Q983:Q987"/>
    <mergeCell ref="R983:R987"/>
    <mergeCell ref="S983:S987"/>
    <mergeCell ref="T983:T987"/>
    <mergeCell ref="U983:U987"/>
    <mergeCell ref="V983:V987"/>
    <mergeCell ref="W983:W987"/>
    <mergeCell ref="X983:X987"/>
    <mergeCell ref="Y983:Y987"/>
    <mergeCell ref="G963:G969"/>
    <mergeCell ref="H970:H975"/>
    <mergeCell ref="I970:I975"/>
    <mergeCell ref="J970:J975"/>
    <mergeCell ref="K970:K975"/>
    <mergeCell ref="L970:L975"/>
    <mergeCell ref="M970:M975"/>
    <mergeCell ref="AF970:AF975"/>
    <mergeCell ref="AG970:AG975"/>
    <mergeCell ref="AH970:AH975"/>
    <mergeCell ref="AI970:AI975"/>
    <mergeCell ref="AJ970:AJ975"/>
    <mergeCell ref="AK970:AK975"/>
    <mergeCell ref="N971:N974"/>
    <mergeCell ref="O971:O974"/>
    <mergeCell ref="P971:P974"/>
    <mergeCell ref="Q971:Q974"/>
    <mergeCell ref="R971:R974"/>
    <mergeCell ref="S971:S974"/>
    <mergeCell ref="T971:T974"/>
    <mergeCell ref="U971:U974"/>
    <mergeCell ref="V971:V974"/>
    <mergeCell ref="W971:W974"/>
    <mergeCell ref="X971:X974"/>
    <mergeCell ref="Y971:Y974"/>
    <mergeCell ref="G970:G975"/>
    <mergeCell ref="H963:H969"/>
    <mergeCell ref="I963:I969"/>
    <mergeCell ref="J963:J969"/>
    <mergeCell ref="K963:K969"/>
    <mergeCell ref="L963:L969"/>
    <mergeCell ref="M963:M969"/>
    <mergeCell ref="AF963:AF969"/>
    <mergeCell ref="AG963:AG969"/>
    <mergeCell ref="AH963:AH969"/>
    <mergeCell ref="AI963:AI969"/>
    <mergeCell ref="AJ963:AJ969"/>
    <mergeCell ref="AK963:AK969"/>
    <mergeCell ref="N964:N968"/>
    <mergeCell ref="O964:O968"/>
    <mergeCell ref="P964:P968"/>
    <mergeCell ref="Q964:Q968"/>
    <mergeCell ref="R964:R968"/>
    <mergeCell ref="S964:S968"/>
    <mergeCell ref="T964:T968"/>
    <mergeCell ref="U964:U968"/>
    <mergeCell ref="V964:V968"/>
    <mergeCell ref="W964:W968"/>
    <mergeCell ref="X964:X968"/>
    <mergeCell ref="Y964:Y968"/>
    <mergeCell ref="G949:G955"/>
    <mergeCell ref="H956:H962"/>
    <mergeCell ref="I956:I962"/>
    <mergeCell ref="J956:J962"/>
    <mergeCell ref="K956:K962"/>
    <mergeCell ref="L956:L962"/>
    <mergeCell ref="M956:M962"/>
    <mergeCell ref="AF956:AF962"/>
    <mergeCell ref="AG956:AG962"/>
    <mergeCell ref="AH956:AH962"/>
    <mergeCell ref="AI956:AI962"/>
    <mergeCell ref="AJ956:AJ962"/>
    <mergeCell ref="AK956:AK962"/>
    <mergeCell ref="N957:N961"/>
    <mergeCell ref="O957:O961"/>
    <mergeCell ref="P957:P961"/>
    <mergeCell ref="Q957:Q961"/>
    <mergeCell ref="R957:R961"/>
    <mergeCell ref="S957:S961"/>
    <mergeCell ref="T957:T961"/>
    <mergeCell ref="U957:U961"/>
    <mergeCell ref="V957:V961"/>
    <mergeCell ref="W957:W961"/>
    <mergeCell ref="X957:X961"/>
    <mergeCell ref="Y957:Y961"/>
    <mergeCell ref="G956:G962"/>
    <mergeCell ref="H949:H955"/>
    <mergeCell ref="I949:I955"/>
    <mergeCell ref="J949:J955"/>
    <mergeCell ref="K949:K955"/>
    <mergeCell ref="L949:L955"/>
    <mergeCell ref="M949:M955"/>
    <mergeCell ref="AF949:AF955"/>
    <mergeCell ref="AG949:AG955"/>
    <mergeCell ref="AH949:AH955"/>
    <mergeCell ref="AI949:AI955"/>
    <mergeCell ref="AJ949:AJ955"/>
    <mergeCell ref="AK949:AK955"/>
    <mergeCell ref="N950:N954"/>
    <mergeCell ref="O950:O954"/>
    <mergeCell ref="P950:P954"/>
    <mergeCell ref="Q950:Q954"/>
    <mergeCell ref="R950:R954"/>
    <mergeCell ref="S950:S954"/>
    <mergeCell ref="T950:T954"/>
    <mergeCell ref="U950:U954"/>
    <mergeCell ref="V950:V954"/>
    <mergeCell ref="W950:W954"/>
    <mergeCell ref="X950:X954"/>
    <mergeCell ref="Y950:Y954"/>
    <mergeCell ref="G933:G940"/>
    <mergeCell ref="H941:H948"/>
    <mergeCell ref="I941:I948"/>
    <mergeCell ref="J941:J948"/>
    <mergeCell ref="K941:K948"/>
    <mergeCell ref="L941:L948"/>
    <mergeCell ref="M941:M948"/>
    <mergeCell ref="AF941:AF948"/>
    <mergeCell ref="AG941:AG948"/>
    <mergeCell ref="AH941:AH948"/>
    <mergeCell ref="AI941:AI948"/>
    <mergeCell ref="AJ941:AJ948"/>
    <mergeCell ref="AK941:AK948"/>
    <mergeCell ref="N942:N947"/>
    <mergeCell ref="O942:O947"/>
    <mergeCell ref="P942:P947"/>
    <mergeCell ref="Q942:Q947"/>
    <mergeCell ref="R942:R947"/>
    <mergeCell ref="S942:S947"/>
    <mergeCell ref="T942:T947"/>
    <mergeCell ref="U942:U947"/>
    <mergeCell ref="V942:V947"/>
    <mergeCell ref="W942:W947"/>
    <mergeCell ref="X942:X947"/>
    <mergeCell ref="Y942:Y947"/>
    <mergeCell ref="G941:G948"/>
    <mergeCell ref="H933:H940"/>
    <mergeCell ref="I933:I940"/>
    <mergeCell ref="J933:J940"/>
    <mergeCell ref="K933:K940"/>
    <mergeCell ref="L933:L940"/>
    <mergeCell ref="M933:M940"/>
    <mergeCell ref="AF933:AF940"/>
    <mergeCell ref="AG933:AG940"/>
    <mergeCell ref="AH933:AH940"/>
    <mergeCell ref="AI933:AI940"/>
    <mergeCell ref="AJ933:AJ940"/>
    <mergeCell ref="AK933:AK940"/>
    <mergeCell ref="N934:N939"/>
    <mergeCell ref="O934:O939"/>
    <mergeCell ref="P934:P939"/>
    <mergeCell ref="Q934:Q939"/>
    <mergeCell ref="R934:R939"/>
    <mergeCell ref="S934:S939"/>
    <mergeCell ref="T934:T939"/>
    <mergeCell ref="U934:U939"/>
    <mergeCell ref="V934:V939"/>
    <mergeCell ref="W934:W939"/>
    <mergeCell ref="X934:X939"/>
    <mergeCell ref="Y934:Y939"/>
    <mergeCell ref="G921:G926"/>
    <mergeCell ref="H927:H932"/>
    <mergeCell ref="I927:I932"/>
    <mergeCell ref="J927:J932"/>
    <mergeCell ref="K927:K932"/>
    <mergeCell ref="L927:L932"/>
    <mergeCell ref="M927:M932"/>
    <mergeCell ref="AF927:AF932"/>
    <mergeCell ref="AG927:AG932"/>
    <mergeCell ref="AH927:AH932"/>
    <mergeCell ref="AI927:AI932"/>
    <mergeCell ref="AJ927:AJ932"/>
    <mergeCell ref="AK927:AK932"/>
    <mergeCell ref="N928:N931"/>
    <mergeCell ref="O928:O931"/>
    <mergeCell ref="P928:P931"/>
    <mergeCell ref="Q928:Q931"/>
    <mergeCell ref="R928:R931"/>
    <mergeCell ref="S928:S931"/>
    <mergeCell ref="T928:T931"/>
    <mergeCell ref="U928:U931"/>
    <mergeCell ref="V928:V931"/>
    <mergeCell ref="W928:W931"/>
    <mergeCell ref="X928:X931"/>
    <mergeCell ref="Y928:Y931"/>
    <mergeCell ref="G927:G932"/>
    <mergeCell ref="H921:H926"/>
    <mergeCell ref="I921:I926"/>
    <mergeCell ref="J921:J926"/>
    <mergeCell ref="K921:K926"/>
    <mergeCell ref="L921:L926"/>
    <mergeCell ref="M921:M926"/>
    <mergeCell ref="AF921:AF926"/>
    <mergeCell ref="AG921:AG926"/>
    <mergeCell ref="AH921:AH926"/>
    <mergeCell ref="AI921:AI926"/>
    <mergeCell ref="AJ921:AJ926"/>
    <mergeCell ref="AK921:AK926"/>
    <mergeCell ref="N922:N925"/>
    <mergeCell ref="O922:O925"/>
    <mergeCell ref="P922:P925"/>
    <mergeCell ref="Q922:Q925"/>
    <mergeCell ref="R922:R925"/>
    <mergeCell ref="S922:S925"/>
    <mergeCell ref="T922:T925"/>
    <mergeCell ref="U922:U925"/>
    <mergeCell ref="V922:V925"/>
    <mergeCell ref="W922:W925"/>
    <mergeCell ref="X922:X925"/>
    <mergeCell ref="Y922:Y925"/>
    <mergeCell ref="G909:G914"/>
    <mergeCell ref="H915:H920"/>
    <mergeCell ref="I915:I920"/>
    <mergeCell ref="J915:J920"/>
    <mergeCell ref="K915:K920"/>
    <mergeCell ref="L915:L920"/>
    <mergeCell ref="M915:M920"/>
    <mergeCell ref="AF915:AF920"/>
    <mergeCell ref="AG915:AG920"/>
    <mergeCell ref="AH915:AH920"/>
    <mergeCell ref="AI915:AI920"/>
    <mergeCell ref="AJ915:AJ920"/>
    <mergeCell ref="AK915:AK920"/>
    <mergeCell ref="N916:N919"/>
    <mergeCell ref="O916:O919"/>
    <mergeCell ref="P916:P919"/>
    <mergeCell ref="Q916:Q919"/>
    <mergeCell ref="R916:R919"/>
    <mergeCell ref="S916:S919"/>
    <mergeCell ref="T916:T919"/>
    <mergeCell ref="U916:U919"/>
    <mergeCell ref="V916:V919"/>
    <mergeCell ref="W916:W919"/>
    <mergeCell ref="X916:X919"/>
    <mergeCell ref="Y916:Y919"/>
    <mergeCell ref="G915:G920"/>
    <mergeCell ref="H909:H914"/>
    <mergeCell ref="I909:I914"/>
    <mergeCell ref="J909:J914"/>
    <mergeCell ref="K909:K914"/>
    <mergeCell ref="L909:L914"/>
    <mergeCell ref="M909:M914"/>
    <mergeCell ref="AF909:AF914"/>
    <mergeCell ref="AG909:AG914"/>
    <mergeCell ref="AH909:AH914"/>
    <mergeCell ref="AI909:AI914"/>
    <mergeCell ref="AJ909:AJ914"/>
    <mergeCell ref="AK909:AK914"/>
    <mergeCell ref="N910:N913"/>
    <mergeCell ref="O910:O913"/>
    <mergeCell ref="P910:P913"/>
    <mergeCell ref="Q910:Q913"/>
    <mergeCell ref="R910:R913"/>
    <mergeCell ref="S910:S913"/>
    <mergeCell ref="T910:T913"/>
    <mergeCell ref="U910:U913"/>
    <mergeCell ref="V910:V913"/>
    <mergeCell ref="W910:W913"/>
    <mergeCell ref="X910:X913"/>
    <mergeCell ref="Y910:Y913"/>
    <mergeCell ref="G897:G902"/>
    <mergeCell ref="H903:H908"/>
    <mergeCell ref="I903:I908"/>
    <mergeCell ref="J903:J908"/>
    <mergeCell ref="K903:K908"/>
    <mergeCell ref="L903:L908"/>
    <mergeCell ref="M903:M908"/>
    <mergeCell ref="AF903:AF908"/>
    <mergeCell ref="AG903:AG908"/>
    <mergeCell ref="AH903:AH908"/>
    <mergeCell ref="AI903:AI908"/>
    <mergeCell ref="AJ903:AJ908"/>
    <mergeCell ref="AK903:AK908"/>
    <mergeCell ref="N904:N907"/>
    <mergeCell ref="O904:O907"/>
    <mergeCell ref="P904:P907"/>
    <mergeCell ref="Q904:Q907"/>
    <mergeCell ref="R904:R907"/>
    <mergeCell ref="S904:S907"/>
    <mergeCell ref="T904:T907"/>
    <mergeCell ref="U904:U907"/>
    <mergeCell ref="V904:V907"/>
    <mergeCell ref="W904:W907"/>
    <mergeCell ref="X904:X907"/>
    <mergeCell ref="Y904:Y907"/>
    <mergeCell ref="G903:G908"/>
    <mergeCell ref="H897:H902"/>
    <mergeCell ref="I897:I902"/>
    <mergeCell ref="J897:J902"/>
    <mergeCell ref="K897:K902"/>
    <mergeCell ref="L897:L902"/>
    <mergeCell ref="M897:M902"/>
    <mergeCell ref="AF897:AF902"/>
    <mergeCell ref="AG897:AG902"/>
    <mergeCell ref="AH897:AH902"/>
    <mergeCell ref="AI897:AI902"/>
    <mergeCell ref="AJ897:AJ902"/>
    <mergeCell ref="AK897:AK902"/>
    <mergeCell ref="N898:N901"/>
    <mergeCell ref="O898:O901"/>
    <mergeCell ref="P898:P901"/>
    <mergeCell ref="Q898:Q901"/>
    <mergeCell ref="R898:R901"/>
    <mergeCell ref="S898:S901"/>
    <mergeCell ref="T898:T901"/>
    <mergeCell ref="U898:U901"/>
    <mergeCell ref="V898:V901"/>
    <mergeCell ref="W898:W901"/>
    <mergeCell ref="X898:X901"/>
    <mergeCell ref="Y898:Y901"/>
    <mergeCell ref="G885:G890"/>
    <mergeCell ref="H891:H896"/>
    <mergeCell ref="I891:I896"/>
    <mergeCell ref="J891:J896"/>
    <mergeCell ref="K891:K896"/>
    <mergeCell ref="L891:L896"/>
    <mergeCell ref="M891:M896"/>
    <mergeCell ref="AF891:AF896"/>
    <mergeCell ref="AG891:AG896"/>
    <mergeCell ref="AH891:AH896"/>
    <mergeCell ref="AI891:AI896"/>
    <mergeCell ref="AJ891:AJ896"/>
    <mergeCell ref="AK891:AK896"/>
    <mergeCell ref="N892:N895"/>
    <mergeCell ref="O892:O895"/>
    <mergeCell ref="P892:P895"/>
    <mergeCell ref="Q892:Q895"/>
    <mergeCell ref="R892:R895"/>
    <mergeCell ref="S892:S895"/>
    <mergeCell ref="T892:T895"/>
    <mergeCell ref="U892:U895"/>
    <mergeCell ref="V892:V895"/>
    <mergeCell ref="W892:W895"/>
    <mergeCell ref="X892:X895"/>
    <mergeCell ref="Y892:Y895"/>
    <mergeCell ref="G891:G896"/>
    <mergeCell ref="H885:H890"/>
    <mergeCell ref="I885:I890"/>
    <mergeCell ref="J885:J890"/>
    <mergeCell ref="K885:K890"/>
    <mergeCell ref="L885:L890"/>
    <mergeCell ref="M885:M890"/>
    <mergeCell ref="AF885:AF890"/>
    <mergeCell ref="AG885:AG890"/>
    <mergeCell ref="AH885:AH890"/>
    <mergeCell ref="AI885:AI890"/>
    <mergeCell ref="AJ885:AJ890"/>
    <mergeCell ref="AK885:AK890"/>
    <mergeCell ref="N886:N889"/>
    <mergeCell ref="O886:O889"/>
    <mergeCell ref="P886:P889"/>
    <mergeCell ref="Q886:Q889"/>
    <mergeCell ref="R886:R889"/>
    <mergeCell ref="S886:S889"/>
    <mergeCell ref="T886:T889"/>
    <mergeCell ref="U886:U889"/>
    <mergeCell ref="V886:V889"/>
    <mergeCell ref="W886:W889"/>
    <mergeCell ref="X886:X889"/>
    <mergeCell ref="Y886:Y889"/>
    <mergeCell ref="G873:G878"/>
    <mergeCell ref="H879:H884"/>
    <mergeCell ref="I879:I884"/>
    <mergeCell ref="J879:J884"/>
    <mergeCell ref="K879:K884"/>
    <mergeCell ref="L879:L884"/>
    <mergeCell ref="M879:M884"/>
    <mergeCell ref="AF879:AF884"/>
    <mergeCell ref="AG879:AG884"/>
    <mergeCell ref="AH879:AH884"/>
    <mergeCell ref="AI879:AI884"/>
    <mergeCell ref="AJ879:AJ884"/>
    <mergeCell ref="AK879:AK884"/>
    <mergeCell ref="N880:N883"/>
    <mergeCell ref="O880:O883"/>
    <mergeCell ref="P880:P883"/>
    <mergeCell ref="Q880:Q883"/>
    <mergeCell ref="R880:R883"/>
    <mergeCell ref="S880:S883"/>
    <mergeCell ref="T880:T883"/>
    <mergeCell ref="U880:U883"/>
    <mergeCell ref="V880:V883"/>
    <mergeCell ref="W880:W883"/>
    <mergeCell ref="X880:X883"/>
    <mergeCell ref="Y880:Y883"/>
    <mergeCell ref="G879:G884"/>
    <mergeCell ref="H873:H878"/>
    <mergeCell ref="I873:I878"/>
    <mergeCell ref="J873:J878"/>
    <mergeCell ref="K873:K878"/>
    <mergeCell ref="L873:L878"/>
    <mergeCell ref="M873:M878"/>
    <mergeCell ref="AF873:AF878"/>
    <mergeCell ref="AG873:AG878"/>
    <mergeCell ref="AH873:AH878"/>
    <mergeCell ref="AI873:AI878"/>
    <mergeCell ref="AJ873:AJ878"/>
    <mergeCell ref="AK873:AK878"/>
    <mergeCell ref="N874:N877"/>
    <mergeCell ref="O874:O877"/>
    <mergeCell ref="P874:P877"/>
    <mergeCell ref="Q874:Q877"/>
    <mergeCell ref="R874:R877"/>
    <mergeCell ref="S874:S877"/>
    <mergeCell ref="T874:T877"/>
    <mergeCell ref="U874:U877"/>
    <mergeCell ref="V874:V877"/>
    <mergeCell ref="W874:W877"/>
    <mergeCell ref="X874:X877"/>
    <mergeCell ref="Y874:Y877"/>
    <mergeCell ref="G861:G866"/>
    <mergeCell ref="H867:H872"/>
    <mergeCell ref="I867:I872"/>
    <mergeCell ref="J867:J872"/>
    <mergeCell ref="K867:K872"/>
    <mergeCell ref="L867:L872"/>
    <mergeCell ref="M867:M872"/>
    <mergeCell ref="AF867:AF872"/>
    <mergeCell ref="AG867:AG872"/>
    <mergeCell ref="AH867:AH872"/>
    <mergeCell ref="AI867:AI872"/>
    <mergeCell ref="AJ867:AJ872"/>
    <mergeCell ref="AK867:AK872"/>
    <mergeCell ref="N868:N871"/>
    <mergeCell ref="O868:O871"/>
    <mergeCell ref="P868:P871"/>
    <mergeCell ref="Q868:Q871"/>
    <mergeCell ref="R868:R871"/>
    <mergeCell ref="S868:S871"/>
    <mergeCell ref="T868:T871"/>
    <mergeCell ref="U868:U871"/>
    <mergeCell ref="V868:V871"/>
    <mergeCell ref="W868:W871"/>
    <mergeCell ref="X868:X871"/>
    <mergeCell ref="Y868:Y871"/>
    <mergeCell ref="G867:G872"/>
    <mergeCell ref="H861:H866"/>
    <mergeCell ref="I861:I866"/>
    <mergeCell ref="J861:J866"/>
    <mergeCell ref="K861:K866"/>
    <mergeCell ref="L861:L866"/>
    <mergeCell ref="M861:M866"/>
    <mergeCell ref="AF861:AF866"/>
    <mergeCell ref="AG861:AG866"/>
    <mergeCell ref="AH861:AH866"/>
    <mergeCell ref="AI861:AI866"/>
    <mergeCell ref="AJ861:AJ866"/>
    <mergeCell ref="AK861:AK866"/>
    <mergeCell ref="N862:N865"/>
    <mergeCell ref="O862:O865"/>
    <mergeCell ref="P862:P865"/>
    <mergeCell ref="Q862:Q865"/>
    <mergeCell ref="R862:R865"/>
    <mergeCell ref="S862:S865"/>
    <mergeCell ref="T862:T865"/>
    <mergeCell ref="U862:U865"/>
    <mergeCell ref="V862:V865"/>
    <mergeCell ref="W862:W865"/>
    <mergeCell ref="X862:X865"/>
    <mergeCell ref="Y862:Y865"/>
    <mergeCell ref="G849:G854"/>
    <mergeCell ref="H855:H860"/>
    <mergeCell ref="I855:I860"/>
    <mergeCell ref="J855:J860"/>
    <mergeCell ref="K855:K860"/>
    <mergeCell ref="L855:L860"/>
    <mergeCell ref="M855:M860"/>
    <mergeCell ref="AF855:AF860"/>
    <mergeCell ref="AG855:AG860"/>
    <mergeCell ref="AH855:AH860"/>
    <mergeCell ref="AI855:AI860"/>
    <mergeCell ref="AJ855:AJ860"/>
    <mergeCell ref="AK855:AK860"/>
    <mergeCell ref="N856:N859"/>
    <mergeCell ref="O856:O859"/>
    <mergeCell ref="P856:P859"/>
    <mergeCell ref="Q856:Q859"/>
    <mergeCell ref="R856:R859"/>
    <mergeCell ref="S856:S859"/>
    <mergeCell ref="T856:T859"/>
    <mergeCell ref="U856:U859"/>
    <mergeCell ref="V856:V859"/>
    <mergeCell ref="W856:W859"/>
    <mergeCell ref="X856:X859"/>
    <mergeCell ref="Y856:Y859"/>
    <mergeCell ref="G855:G860"/>
    <mergeCell ref="H849:H854"/>
    <mergeCell ref="I849:I854"/>
    <mergeCell ref="J849:J854"/>
    <mergeCell ref="K849:K854"/>
    <mergeCell ref="L849:L854"/>
    <mergeCell ref="M849:M854"/>
    <mergeCell ref="AF849:AF854"/>
    <mergeCell ref="AG849:AG854"/>
    <mergeCell ref="AH849:AH854"/>
    <mergeCell ref="AI849:AI854"/>
    <mergeCell ref="AJ849:AJ854"/>
    <mergeCell ref="AK849:AK854"/>
    <mergeCell ref="N850:N853"/>
    <mergeCell ref="O850:O853"/>
    <mergeCell ref="P850:P853"/>
    <mergeCell ref="Q850:Q853"/>
    <mergeCell ref="R850:R853"/>
    <mergeCell ref="S850:S853"/>
    <mergeCell ref="T850:T853"/>
    <mergeCell ref="U850:U853"/>
    <mergeCell ref="V850:V853"/>
    <mergeCell ref="W850:W853"/>
    <mergeCell ref="X850:X853"/>
    <mergeCell ref="Y850:Y853"/>
    <mergeCell ref="G834:G841"/>
    <mergeCell ref="H842:H848"/>
    <mergeCell ref="I842:I848"/>
    <mergeCell ref="J842:J848"/>
    <mergeCell ref="K842:K848"/>
    <mergeCell ref="L842:L848"/>
    <mergeCell ref="M842:M848"/>
    <mergeCell ref="AF842:AF848"/>
    <mergeCell ref="AG842:AG848"/>
    <mergeCell ref="AH842:AH848"/>
    <mergeCell ref="AI842:AI848"/>
    <mergeCell ref="AJ842:AJ848"/>
    <mergeCell ref="AK842:AK848"/>
    <mergeCell ref="N843:N847"/>
    <mergeCell ref="O843:O847"/>
    <mergeCell ref="P843:P847"/>
    <mergeCell ref="Q843:Q847"/>
    <mergeCell ref="R843:R847"/>
    <mergeCell ref="S843:S847"/>
    <mergeCell ref="T843:T847"/>
    <mergeCell ref="U843:U847"/>
    <mergeCell ref="V843:V847"/>
    <mergeCell ref="W843:W847"/>
    <mergeCell ref="X843:X847"/>
    <mergeCell ref="Y843:Y847"/>
    <mergeCell ref="G842:G848"/>
    <mergeCell ref="H834:H841"/>
    <mergeCell ref="I834:I841"/>
    <mergeCell ref="J834:J841"/>
    <mergeCell ref="K834:K841"/>
    <mergeCell ref="L834:L841"/>
    <mergeCell ref="M834:M841"/>
    <mergeCell ref="AF834:AF841"/>
    <mergeCell ref="AG834:AG841"/>
    <mergeCell ref="AH834:AH841"/>
    <mergeCell ref="AI834:AI841"/>
    <mergeCell ref="AJ834:AJ841"/>
    <mergeCell ref="AK834:AK841"/>
    <mergeCell ref="N835:N840"/>
    <mergeCell ref="O835:O840"/>
    <mergeCell ref="P835:P840"/>
    <mergeCell ref="Q835:Q840"/>
    <mergeCell ref="R835:R840"/>
    <mergeCell ref="S835:S840"/>
    <mergeCell ref="T835:T840"/>
    <mergeCell ref="U835:U840"/>
    <mergeCell ref="V835:V840"/>
    <mergeCell ref="W835:W840"/>
    <mergeCell ref="X835:X840"/>
    <mergeCell ref="Y835:Y840"/>
    <mergeCell ref="G820:G826"/>
    <mergeCell ref="H827:H833"/>
    <mergeCell ref="I827:I833"/>
    <mergeCell ref="J827:J833"/>
    <mergeCell ref="K827:K833"/>
    <mergeCell ref="L827:L833"/>
    <mergeCell ref="M827:M833"/>
    <mergeCell ref="AF827:AF833"/>
    <mergeCell ref="AG827:AG833"/>
    <mergeCell ref="AH827:AH833"/>
    <mergeCell ref="AI827:AI833"/>
    <mergeCell ref="AJ827:AJ833"/>
    <mergeCell ref="AK827:AK833"/>
    <mergeCell ref="N828:N832"/>
    <mergeCell ref="O828:O832"/>
    <mergeCell ref="P828:P832"/>
    <mergeCell ref="Q828:Q832"/>
    <mergeCell ref="R828:R832"/>
    <mergeCell ref="S828:S832"/>
    <mergeCell ref="T828:T832"/>
    <mergeCell ref="U828:U832"/>
    <mergeCell ref="V828:V832"/>
    <mergeCell ref="W828:W832"/>
    <mergeCell ref="X828:X832"/>
    <mergeCell ref="Y828:Y832"/>
    <mergeCell ref="G827:G833"/>
    <mergeCell ref="H820:H826"/>
    <mergeCell ref="I820:I826"/>
    <mergeCell ref="J820:J826"/>
    <mergeCell ref="K820:K826"/>
    <mergeCell ref="L820:L826"/>
    <mergeCell ref="M820:M826"/>
    <mergeCell ref="AF820:AF826"/>
    <mergeCell ref="AG820:AG826"/>
    <mergeCell ref="AH820:AH826"/>
    <mergeCell ref="AI820:AI826"/>
    <mergeCell ref="AJ820:AJ826"/>
    <mergeCell ref="AK820:AK826"/>
    <mergeCell ref="N821:N825"/>
    <mergeCell ref="O821:O825"/>
    <mergeCell ref="P821:P825"/>
    <mergeCell ref="Q821:Q825"/>
    <mergeCell ref="R821:R825"/>
    <mergeCell ref="S821:S825"/>
    <mergeCell ref="T821:T825"/>
    <mergeCell ref="U821:U825"/>
    <mergeCell ref="V821:V825"/>
    <mergeCell ref="W821:W825"/>
    <mergeCell ref="X821:X825"/>
    <mergeCell ref="Y821:Y825"/>
    <mergeCell ref="G805:G811"/>
    <mergeCell ref="H812:H819"/>
    <mergeCell ref="I812:I819"/>
    <mergeCell ref="J812:J819"/>
    <mergeCell ref="K812:K819"/>
    <mergeCell ref="L812:L819"/>
    <mergeCell ref="M812:M819"/>
    <mergeCell ref="AF812:AF819"/>
    <mergeCell ref="AG812:AG819"/>
    <mergeCell ref="AH812:AH819"/>
    <mergeCell ref="AI812:AI819"/>
    <mergeCell ref="AJ812:AJ819"/>
    <mergeCell ref="AK812:AK819"/>
    <mergeCell ref="N813:N818"/>
    <mergeCell ref="O813:O818"/>
    <mergeCell ref="P813:P818"/>
    <mergeCell ref="Q813:Q818"/>
    <mergeCell ref="R813:R818"/>
    <mergeCell ref="S813:S818"/>
    <mergeCell ref="T813:T818"/>
    <mergeCell ref="U813:U818"/>
    <mergeCell ref="V813:V818"/>
    <mergeCell ref="W813:W818"/>
    <mergeCell ref="X813:X818"/>
    <mergeCell ref="Y813:Y818"/>
    <mergeCell ref="G812:G819"/>
    <mergeCell ref="H805:H811"/>
    <mergeCell ref="I805:I811"/>
    <mergeCell ref="J805:J811"/>
    <mergeCell ref="K805:K811"/>
    <mergeCell ref="L805:L811"/>
    <mergeCell ref="M805:M811"/>
    <mergeCell ref="AF805:AF811"/>
    <mergeCell ref="AG805:AG811"/>
    <mergeCell ref="AH805:AH811"/>
    <mergeCell ref="AI805:AI811"/>
    <mergeCell ref="AJ805:AJ811"/>
    <mergeCell ref="AK805:AK811"/>
    <mergeCell ref="N806:N810"/>
    <mergeCell ref="O806:O810"/>
    <mergeCell ref="P806:P810"/>
    <mergeCell ref="Q806:Q810"/>
    <mergeCell ref="R806:R810"/>
    <mergeCell ref="S806:S810"/>
    <mergeCell ref="T806:T810"/>
    <mergeCell ref="U806:U810"/>
    <mergeCell ref="V806:V810"/>
    <mergeCell ref="W806:W810"/>
    <mergeCell ref="X806:X810"/>
    <mergeCell ref="Y806:Y810"/>
    <mergeCell ref="G790:G797"/>
    <mergeCell ref="H798:H804"/>
    <mergeCell ref="I798:I804"/>
    <mergeCell ref="J798:J804"/>
    <mergeCell ref="K798:K804"/>
    <mergeCell ref="L798:L804"/>
    <mergeCell ref="M798:M804"/>
    <mergeCell ref="AF798:AF804"/>
    <mergeCell ref="AG798:AG804"/>
    <mergeCell ref="AH798:AH804"/>
    <mergeCell ref="AI798:AI804"/>
    <mergeCell ref="AJ798:AJ804"/>
    <mergeCell ref="AK798:AK804"/>
    <mergeCell ref="N799:N803"/>
    <mergeCell ref="O799:O803"/>
    <mergeCell ref="P799:P803"/>
    <mergeCell ref="Q799:Q803"/>
    <mergeCell ref="R799:R803"/>
    <mergeCell ref="S799:S803"/>
    <mergeCell ref="T799:T803"/>
    <mergeCell ref="U799:U803"/>
    <mergeCell ref="V799:V803"/>
    <mergeCell ref="W799:W803"/>
    <mergeCell ref="X799:X803"/>
    <mergeCell ref="Y799:Y803"/>
    <mergeCell ref="G798:G804"/>
    <mergeCell ref="H790:H797"/>
    <mergeCell ref="I790:I797"/>
    <mergeCell ref="J790:J797"/>
    <mergeCell ref="K790:K797"/>
    <mergeCell ref="L790:L797"/>
    <mergeCell ref="M790:M797"/>
    <mergeCell ref="AF790:AF797"/>
    <mergeCell ref="AG790:AG797"/>
    <mergeCell ref="AH790:AH797"/>
    <mergeCell ref="AI790:AI797"/>
    <mergeCell ref="AJ790:AJ797"/>
    <mergeCell ref="AK790:AK797"/>
    <mergeCell ref="N791:N796"/>
    <mergeCell ref="O791:O796"/>
    <mergeCell ref="P791:P796"/>
    <mergeCell ref="Q791:Q796"/>
    <mergeCell ref="R791:R796"/>
    <mergeCell ref="S791:S796"/>
    <mergeCell ref="T791:T796"/>
    <mergeCell ref="U791:U796"/>
    <mergeCell ref="V791:V796"/>
    <mergeCell ref="W791:W796"/>
    <mergeCell ref="X791:X796"/>
    <mergeCell ref="Y791:Y796"/>
    <mergeCell ref="G775:G782"/>
    <mergeCell ref="H783:H789"/>
    <mergeCell ref="I783:I789"/>
    <mergeCell ref="J783:J789"/>
    <mergeCell ref="K783:K789"/>
    <mergeCell ref="L783:L789"/>
    <mergeCell ref="M783:M789"/>
    <mergeCell ref="AF783:AF789"/>
    <mergeCell ref="AG783:AG789"/>
    <mergeCell ref="AH783:AH789"/>
    <mergeCell ref="AI783:AI789"/>
    <mergeCell ref="AJ783:AJ789"/>
    <mergeCell ref="AK783:AK789"/>
    <mergeCell ref="N784:N788"/>
    <mergeCell ref="O784:O788"/>
    <mergeCell ref="P784:P788"/>
    <mergeCell ref="Q784:Q788"/>
    <mergeCell ref="R784:R788"/>
    <mergeCell ref="S784:S788"/>
    <mergeCell ref="T784:T788"/>
    <mergeCell ref="U784:U788"/>
    <mergeCell ref="V784:V788"/>
    <mergeCell ref="W784:W788"/>
    <mergeCell ref="X784:X788"/>
    <mergeCell ref="Y784:Y788"/>
    <mergeCell ref="G783:G789"/>
    <mergeCell ref="H775:H782"/>
    <mergeCell ref="I775:I782"/>
    <mergeCell ref="J775:J782"/>
    <mergeCell ref="K775:K782"/>
    <mergeCell ref="L775:L782"/>
    <mergeCell ref="M775:M782"/>
    <mergeCell ref="AF775:AF782"/>
    <mergeCell ref="AG775:AG782"/>
    <mergeCell ref="AH775:AH782"/>
    <mergeCell ref="AI775:AI782"/>
    <mergeCell ref="AJ775:AJ782"/>
    <mergeCell ref="AK775:AK782"/>
    <mergeCell ref="N776:N781"/>
    <mergeCell ref="O776:O781"/>
    <mergeCell ref="P776:P781"/>
    <mergeCell ref="Q776:Q781"/>
    <mergeCell ref="R776:R781"/>
    <mergeCell ref="S776:S781"/>
    <mergeCell ref="T776:T781"/>
    <mergeCell ref="U776:U781"/>
    <mergeCell ref="V776:V781"/>
    <mergeCell ref="W776:W781"/>
    <mergeCell ref="X776:X781"/>
    <mergeCell ref="Y776:Y781"/>
    <mergeCell ref="G760:G766"/>
    <mergeCell ref="H767:H774"/>
    <mergeCell ref="I767:I774"/>
    <mergeCell ref="J767:J774"/>
    <mergeCell ref="K767:K774"/>
    <mergeCell ref="L767:L774"/>
    <mergeCell ref="M767:M774"/>
    <mergeCell ref="AF767:AF774"/>
    <mergeCell ref="AG767:AG774"/>
    <mergeCell ref="AH767:AH774"/>
    <mergeCell ref="AI767:AI774"/>
    <mergeCell ref="AJ767:AJ774"/>
    <mergeCell ref="AK767:AK774"/>
    <mergeCell ref="N768:N773"/>
    <mergeCell ref="O768:O773"/>
    <mergeCell ref="P768:P773"/>
    <mergeCell ref="Q768:Q773"/>
    <mergeCell ref="R768:R773"/>
    <mergeCell ref="S768:S773"/>
    <mergeCell ref="T768:T773"/>
    <mergeCell ref="U768:U773"/>
    <mergeCell ref="V768:V773"/>
    <mergeCell ref="W768:W773"/>
    <mergeCell ref="X768:X773"/>
    <mergeCell ref="Y768:Y773"/>
    <mergeCell ref="G767:G774"/>
    <mergeCell ref="H760:H766"/>
    <mergeCell ref="I760:I766"/>
    <mergeCell ref="J760:J766"/>
    <mergeCell ref="K760:K766"/>
    <mergeCell ref="L760:L766"/>
    <mergeCell ref="M760:M766"/>
    <mergeCell ref="AF760:AF766"/>
    <mergeCell ref="AG760:AG766"/>
    <mergeCell ref="AH760:AH766"/>
    <mergeCell ref="AI760:AI766"/>
    <mergeCell ref="AJ760:AJ766"/>
    <mergeCell ref="AK760:AK766"/>
    <mergeCell ref="N761:N765"/>
    <mergeCell ref="O761:O765"/>
    <mergeCell ref="P761:P765"/>
    <mergeCell ref="Q761:Q765"/>
    <mergeCell ref="R761:R765"/>
    <mergeCell ref="S761:S765"/>
    <mergeCell ref="T761:T765"/>
    <mergeCell ref="U761:U765"/>
    <mergeCell ref="V761:V765"/>
    <mergeCell ref="W761:W765"/>
    <mergeCell ref="X761:X765"/>
    <mergeCell ref="Y761:Y765"/>
    <mergeCell ref="G745:G752"/>
    <mergeCell ref="H753:H759"/>
    <mergeCell ref="I753:I759"/>
    <mergeCell ref="J753:J759"/>
    <mergeCell ref="K753:K759"/>
    <mergeCell ref="L753:L759"/>
    <mergeCell ref="M753:M759"/>
    <mergeCell ref="AF753:AF759"/>
    <mergeCell ref="AG753:AG759"/>
    <mergeCell ref="AH753:AH759"/>
    <mergeCell ref="AI753:AI759"/>
    <mergeCell ref="AJ753:AJ759"/>
    <mergeCell ref="AK753:AK759"/>
    <mergeCell ref="N754:N758"/>
    <mergeCell ref="O754:O758"/>
    <mergeCell ref="P754:P758"/>
    <mergeCell ref="Q754:Q758"/>
    <mergeCell ref="R754:R758"/>
    <mergeCell ref="S754:S758"/>
    <mergeCell ref="T754:T758"/>
    <mergeCell ref="U754:U758"/>
    <mergeCell ref="V754:V758"/>
    <mergeCell ref="W754:W758"/>
    <mergeCell ref="X754:X758"/>
    <mergeCell ref="Y754:Y758"/>
    <mergeCell ref="G753:G759"/>
    <mergeCell ref="H745:H752"/>
    <mergeCell ref="I745:I752"/>
    <mergeCell ref="J745:J752"/>
    <mergeCell ref="K745:K752"/>
    <mergeCell ref="L745:L752"/>
    <mergeCell ref="M745:M752"/>
    <mergeCell ref="AF745:AF752"/>
    <mergeCell ref="AG745:AG752"/>
    <mergeCell ref="AH745:AH752"/>
    <mergeCell ref="AI745:AI752"/>
    <mergeCell ref="AJ745:AJ752"/>
    <mergeCell ref="AK745:AK752"/>
    <mergeCell ref="N746:N751"/>
    <mergeCell ref="O746:O751"/>
    <mergeCell ref="P746:P751"/>
    <mergeCell ref="Q746:Q751"/>
    <mergeCell ref="R746:R751"/>
    <mergeCell ref="S746:S751"/>
    <mergeCell ref="T746:T751"/>
    <mergeCell ref="U746:U751"/>
    <mergeCell ref="V746:V751"/>
    <mergeCell ref="W746:W751"/>
    <mergeCell ref="X746:X751"/>
    <mergeCell ref="Y746:Y751"/>
    <mergeCell ref="G729:G736"/>
    <mergeCell ref="H737:H744"/>
    <mergeCell ref="I737:I744"/>
    <mergeCell ref="J737:J744"/>
    <mergeCell ref="K737:K744"/>
    <mergeCell ref="L737:L744"/>
    <mergeCell ref="M737:M744"/>
    <mergeCell ref="AF737:AF744"/>
    <mergeCell ref="AG737:AG744"/>
    <mergeCell ref="AH737:AH744"/>
    <mergeCell ref="AI737:AI744"/>
    <mergeCell ref="AJ737:AJ744"/>
    <mergeCell ref="AK737:AK744"/>
    <mergeCell ref="N738:N743"/>
    <mergeCell ref="O738:O743"/>
    <mergeCell ref="P738:P743"/>
    <mergeCell ref="Q738:Q743"/>
    <mergeCell ref="R738:R743"/>
    <mergeCell ref="S738:S743"/>
    <mergeCell ref="T738:T743"/>
    <mergeCell ref="U738:U743"/>
    <mergeCell ref="V738:V743"/>
    <mergeCell ref="W738:W743"/>
    <mergeCell ref="X738:X743"/>
    <mergeCell ref="Y738:Y743"/>
    <mergeCell ref="G737:G744"/>
    <mergeCell ref="H729:H736"/>
    <mergeCell ref="I729:I736"/>
    <mergeCell ref="J729:J736"/>
    <mergeCell ref="K729:K736"/>
    <mergeCell ref="L729:L736"/>
    <mergeCell ref="M729:M736"/>
    <mergeCell ref="AF729:AF736"/>
    <mergeCell ref="AG729:AG736"/>
    <mergeCell ref="AH729:AH736"/>
    <mergeCell ref="AI729:AI736"/>
    <mergeCell ref="AJ729:AJ736"/>
    <mergeCell ref="AK729:AK736"/>
    <mergeCell ref="N730:N735"/>
    <mergeCell ref="O730:O735"/>
    <mergeCell ref="P730:P735"/>
    <mergeCell ref="Q730:Q735"/>
    <mergeCell ref="R730:R735"/>
    <mergeCell ref="S730:S735"/>
    <mergeCell ref="T730:T735"/>
    <mergeCell ref="U730:U735"/>
    <mergeCell ref="V730:V735"/>
    <mergeCell ref="W730:W735"/>
    <mergeCell ref="X730:X735"/>
    <mergeCell ref="Y730:Y735"/>
    <mergeCell ref="G713:G720"/>
    <mergeCell ref="H721:H728"/>
    <mergeCell ref="I721:I728"/>
    <mergeCell ref="J721:J728"/>
    <mergeCell ref="K721:K728"/>
    <mergeCell ref="L721:L728"/>
    <mergeCell ref="M721:M728"/>
    <mergeCell ref="AF721:AF728"/>
    <mergeCell ref="AG721:AG728"/>
    <mergeCell ref="AH721:AH728"/>
    <mergeCell ref="AI721:AI728"/>
    <mergeCell ref="AJ721:AJ728"/>
    <mergeCell ref="AK721:AK728"/>
    <mergeCell ref="N722:N727"/>
    <mergeCell ref="O722:O727"/>
    <mergeCell ref="P722:P727"/>
    <mergeCell ref="Q722:Q727"/>
    <mergeCell ref="R722:R727"/>
    <mergeCell ref="S722:S727"/>
    <mergeCell ref="T722:T727"/>
    <mergeCell ref="U722:U727"/>
    <mergeCell ref="V722:V727"/>
    <mergeCell ref="W722:W727"/>
    <mergeCell ref="X722:X727"/>
    <mergeCell ref="Y722:Y727"/>
    <mergeCell ref="G721:G728"/>
    <mergeCell ref="H713:H720"/>
    <mergeCell ref="I713:I720"/>
    <mergeCell ref="J713:J720"/>
    <mergeCell ref="K713:K720"/>
    <mergeCell ref="L713:L720"/>
    <mergeCell ref="M713:M720"/>
    <mergeCell ref="AF713:AF720"/>
    <mergeCell ref="AG713:AG720"/>
    <mergeCell ref="AH713:AH720"/>
    <mergeCell ref="AI713:AI720"/>
    <mergeCell ref="AJ713:AJ720"/>
    <mergeCell ref="AK713:AK720"/>
    <mergeCell ref="N714:N719"/>
    <mergeCell ref="O714:O719"/>
    <mergeCell ref="P714:P719"/>
    <mergeCell ref="Q714:Q719"/>
    <mergeCell ref="R714:R719"/>
    <mergeCell ref="S714:S719"/>
    <mergeCell ref="T714:T719"/>
    <mergeCell ref="U714:U719"/>
    <mergeCell ref="V714:V719"/>
    <mergeCell ref="W714:W719"/>
    <mergeCell ref="X714:X719"/>
    <mergeCell ref="Y714:Y719"/>
    <mergeCell ref="G698:G705"/>
    <mergeCell ref="H706:H712"/>
    <mergeCell ref="I706:I712"/>
    <mergeCell ref="J706:J712"/>
    <mergeCell ref="K706:K712"/>
    <mergeCell ref="L706:L712"/>
    <mergeCell ref="M706:M712"/>
    <mergeCell ref="AF706:AF712"/>
    <mergeCell ref="AG706:AG712"/>
    <mergeCell ref="AH706:AH712"/>
    <mergeCell ref="AI706:AI712"/>
    <mergeCell ref="AJ706:AJ712"/>
    <mergeCell ref="AK706:AK712"/>
    <mergeCell ref="N707:N711"/>
    <mergeCell ref="O707:O711"/>
    <mergeCell ref="P707:P711"/>
    <mergeCell ref="Q707:Q711"/>
    <mergeCell ref="R707:R711"/>
    <mergeCell ref="S707:S711"/>
    <mergeCell ref="T707:T711"/>
    <mergeCell ref="U707:U711"/>
    <mergeCell ref="V707:V711"/>
    <mergeCell ref="W707:W711"/>
    <mergeCell ref="X707:X711"/>
    <mergeCell ref="Y707:Y711"/>
    <mergeCell ref="G706:G712"/>
    <mergeCell ref="H698:H705"/>
    <mergeCell ref="I698:I705"/>
    <mergeCell ref="J698:J705"/>
    <mergeCell ref="K698:K705"/>
    <mergeCell ref="L698:L705"/>
    <mergeCell ref="M698:M705"/>
    <mergeCell ref="AF698:AF705"/>
    <mergeCell ref="AG698:AG705"/>
    <mergeCell ref="AH698:AH705"/>
    <mergeCell ref="AI698:AI705"/>
    <mergeCell ref="AJ698:AJ705"/>
    <mergeCell ref="AK698:AK705"/>
    <mergeCell ref="N699:N704"/>
    <mergeCell ref="O699:O704"/>
    <mergeCell ref="P699:P704"/>
    <mergeCell ref="Q699:Q704"/>
    <mergeCell ref="R699:R704"/>
    <mergeCell ref="S699:S704"/>
    <mergeCell ref="T699:T704"/>
    <mergeCell ref="U699:U704"/>
    <mergeCell ref="V699:V704"/>
    <mergeCell ref="W699:W704"/>
    <mergeCell ref="X699:X704"/>
    <mergeCell ref="Y699:Y704"/>
    <mergeCell ref="G683:G690"/>
    <mergeCell ref="H691:H697"/>
    <mergeCell ref="I691:I697"/>
    <mergeCell ref="J691:J697"/>
    <mergeCell ref="K691:K697"/>
    <mergeCell ref="L691:L697"/>
    <mergeCell ref="M691:M697"/>
    <mergeCell ref="AF691:AF697"/>
    <mergeCell ref="AG691:AG697"/>
    <mergeCell ref="AH691:AH697"/>
    <mergeCell ref="AI691:AI697"/>
    <mergeCell ref="AJ691:AJ697"/>
    <mergeCell ref="AK691:AK697"/>
    <mergeCell ref="N692:N696"/>
    <mergeCell ref="O692:O696"/>
    <mergeCell ref="P692:P696"/>
    <mergeCell ref="Q692:Q696"/>
    <mergeCell ref="R692:R696"/>
    <mergeCell ref="S692:S696"/>
    <mergeCell ref="T692:T696"/>
    <mergeCell ref="U692:U696"/>
    <mergeCell ref="V692:V696"/>
    <mergeCell ref="W692:W696"/>
    <mergeCell ref="X692:X696"/>
    <mergeCell ref="Y692:Y696"/>
    <mergeCell ref="G691:G697"/>
    <mergeCell ref="M683:M690"/>
    <mergeCell ref="AF683:AF690"/>
    <mergeCell ref="AG683:AG690"/>
    <mergeCell ref="AH683:AH690"/>
    <mergeCell ref="AI683:AI690"/>
    <mergeCell ref="AJ683:AJ690"/>
    <mergeCell ref="AK683:AK690"/>
    <mergeCell ref="N684:N689"/>
    <mergeCell ref="O684:O689"/>
    <mergeCell ref="P684:P689"/>
    <mergeCell ref="Q684:Q689"/>
    <mergeCell ref="R684:R689"/>
    <mergeCell ref="S684:S689"/>
    <mergeCell ref="T684:T689"/>
    <mergeCell ref="U684:U689"/>
    <mergeCell ref="V684:V689"/>
    <mergeCell ref="W684:W689"/>
    <mergeCell ref="X684:X689"/>
    <mergeCell ref="Y684:Y689"/>
    <mergeCell ref="G663:G669"/>
    <mergeCell ref="H676:H682"/>
    <mergeCell ref="I676:I682"/>
    <mergeCell ref="J676:J682"/>
    <mergeCell ref="K676:K682"/>
    <mergeCell ref="L676:L682"/>
    <mergeCell ref="M676:M682"/>
    <mergeCell ref="AF676:AF682"/>
    <mergeCell ref="AG676:AG682"/>
    <mergeCell ref="AH676:AH682"/>
    <mergeCell ref="AI676:AI682"/>
    <mergeCell ref="AJ676:AJ682"/>
    <mergeCell ref="AK676:AK682"/>
    <mergeCell ref="N677:N681"/>
    <mergeCell ref="O677:O681"/>
    <mergeCell ref="P677:P681"/>
    <mergeCell ref="Q677:Q681"/>
    <mergeCell ref="R677:R681"/>
    <mergeCell ref="S677:S681"/>
    <mergeCell ref="T677:T681"/>
    <mergeCell ref="U677:U681"/>
    <mergeCell ref="V677:V681"/>
    <mergeCell ref="W677:W681"/>
    <mergeCell ref="X677:X681"/>
    <mergeCell ref="Y677:Y681"/>
    <mergeCell ref="G676:G682"/>
    <mergeCell ref="H663:H669"/>
    <mergeCell ref="I663:I669"/>
    <mergeCell ref="J663:J669"/>
    <mergeCell ref="K663:K669"/>
    <mergeCell ref="L663:L669"/>
    <mergeCell ref="M663:M669"/>
    <mergeCell ref="AF663:AF669"/>
    <mergeCell ref="AG663:AG669"/>
    <mergeCell ref="AH663:AH669"/>
    <mergeCell ref="AI663:AI669"/>
    <mergeCell ref="AJ663:AJ669"/>
    <mergeCell ref="AK663:AK669"/>
    <mergeCell ref="N664:N668"/>
    <mergeCell ref="O664:O668"/>
    <mergeCell ref="P664:P668"/>
    <mergeCell ref="Q664:Q668"/>
    <mergeCell ref="R664:R668"/>
    <mergeCell ref="S664:S668"/>
    <mergeCell ref="T664:T668"/>
    <mergeCell ref="U664:U668"/>
    <mergeCell ref="V664:V668"/>
    <mergeCell ref="W664:W668"/>
    <mergeCell ref="X664:X668"/>
    <mergeCell ref="Y664:Y668"/>
    <mergeCell ref="G649:G655"/>
    <mergeCell ref="H656:H662"/>
    <mergeCell ref="I656:I662"/>
    <mergeCell ref="J656:J662"/>
    <mergeCell ref="K656:K662"/>
    <mergeCell ref="L656:L662"/>
    <mergeCell ref="M656:M662"/>
    <mergeCell ref="AF656:AF662"/>
    <mergeCell ref="AG656:AG662"/>
    <mergeCell ref="AH656:AH662"/>
    <mergeCell ref="AI656:AI662"/>
    <mergeCell ref="AJ656:AJ662"/>
    <mergeCell ref="AK656:AK662"/>
    <mergeCell ref="N657:N661"/>
    <mergeCell ref="O657:O661"/>
    <mergeCell ref="P657:P661"/>
    <mergeCell ref="Q657:Q661"/>
    <mergeCell ref="R657:R661"/>
    <mergeCell ref="S657:S661"/>
    <mergeCell ref="T657:T661"/>
    <mergeCell ref="U657:U661"/>
    <mergeCell ref="V657:V661"/>
    <mergeCell ref="W657:W661"/>
    <mergeCell ref="X657:X661"/>
    <mergeCell ref="Y657:Y661"/>
    <mergeCell ref="G656:G662"/>
    <mergeCell ref="H649:H655"/>
    <mergeCell ref="I649:I655"/>
    <mergeCell ref="J649:J655"/>
    <mergeCell ref="K649:K655"/>
    <mergeCell ref="L649:L655"/>
    <mergeCell ref="M649:M655"/>
    <mergeCell ref="AF649:AF655"/>
    <mergeCell ref="AG649:AG655"/>
    <mergeCell ref="AH649:AH655"/>
    <mergeCell ref="AI649:AI655"/>
    <mergeCell ref="AJ649:AJ655"/>
    <mergeCell ref="AK649:AK655"/>
    <mergeCell ref="N650:N654"/>
    <mergeCell ref="O650:O654"/>
    <mergeCell ref="P650:P654"/>
    <mergeCell ref="Q650:Q654"/>
    <mergeCell ref="R650:R654"/>
    <mergeCell ref="S650:S654"/>
    <mergeCell ref="T650:T654"/>
    <mergeCell ref="U650:U654"/>
    <mergeCell ref="V650:V654"/>
    <mergeCell ref="W650:W654"/>
    <mergeCell ref="X650:X654"/>
    <mergeCell ref="Y650:Y654"/>
    <mergeCell ref="G637:G643"/>
    <mergeCell ref="H644:H648"/>
    <mergeCell ref="I644:I648"/>
    <mergeCell ref="J644:J648"/>
    <mergeCell ref="K644:K648"/>
    <mergeCell ref="L644:L648"/>
    <mergeCell ref="M644:M648"/>
    <mergeCell ref="AF644:AF648"/>
    <mergeCell ref="AG644:AG648"/>
    <mergeCell ref="AH644:AH648"/>
    <mergeCell ref="AI644:AI648"/>
    <mergeCell ref="AJ644:AJ648"/>
    <mergeCell ref="AK644:AK648"/>
    <mergeCell ref="N645:N647"/>
    <mergeCell ref="O645:O647"/>
    <mergeCell ref="P645:P647"/>
    <mergeCell ref="Q645:Q647"/>
    <mergeCell ref="R645:R647"/>
    <mergeCell ref="S645:S647"/>
    <mergeCell ref="T645:T647"/>
    <mergeCell ref="U645:U647"/>
    <mergeCell ref="V645:V647"/>
    <mergeCell ref="W645:W647"/>
    <mergeCell ref="X645:X647"/>
    <mergeCell ref="Y645:Y647"/>
    <mergeCell ref="G644:G648"/>
    <mergeCell ref="H637:H643"/>
    <mergeCell ref="I637:I643"/>
    <mergeCell ref="J637:J643"/>
    <mergeCell ref="K637:K643"/>
    <mergeCell ref="L637:L643"/>
    <mergeCell ref="M637:M643"/>
    <mergeCell ref="AF637:AF643"/>
    <mergeCell ref="AG637:AG643"/>
    <mergeCell ref="AH637:AH643"/>
    <mergeCell ref="AI637:AI643"/>
    <mergeCell ref="AJ637:AJ643"/>
    <mergeCell ref="AK637:AK643"/>
    <mergeCell ref="N638:N642"/>
    <mergeCell ref="O638:O642"/>
    <mergeCell ref="P638:P642"/>
    <mergeCell ref="Q638:Q642"/>
    <mergeCell ref="R638:R642"/>
    <mergeCell ref="S638:S642"/>
    <mergeCell ref="T638:T642"/>
    <mergeCell ref="U638:U642"/>
    <mergeCell ref="V638:V642"/>
    <mergeCell ref="W638:W642"/>
    <mergeCell ref="X638:X642"/>
    <mergeCell ref="Y638:Y642"/>
    <mergeCell ref="G625:G631"/>
    <mergeCell ref="H632:H636"/>
    <mergeCell ref="I632:I636"/>
    <mergeCell ref="J632:J636"/>
    <mergeCell ref="K632:K636"/>
    <mergeCell ref="L632:L636"/>
    <mergeCell ref="M632:M636"/>
    <mergeCell ref="AF632:AF636"/>
    <mergeCell ref="AG632:AG636"/>
    <mergeCell ref="AH632:AH636"/>
    <mergeCell ref="AI632:AI636"/>
    <mergeCell ref="AJ632:AJ636"/>
    <mergeCell ref="AK632:AK636"/>
    <mergeCell ref="N633:N635"/>
    <mergeCell ref="O633:O635"/>
    <mergeCell ref="P633:P635"/>
    <mergeCell ref="Q633:Q635"/>
    <mergeCell ref="R633:R635"/>
    <mergeCell ref="S633:S635"/>
    <mergeCell ref="T633:T635"/>
    <mergeCell ref="U633:U635"/>
    <mergeCell ref="V633:V635"/>
    <mergeCell ref="W633:W635"/>
    <mergeCell ref="X633:X635"/>
    <mergeCell ref="Y633:Y635"/>
    <mergeCell ref="G632:G636"/>
    <mergeCell ref="H625:H631"/>
    <mergeCell ref="I625:I631"/>
    <mergeCell ref="J625:J631"/>
    <mergeCell ref="K625:K631"/>
    <mergeCell ref="L625:L631"/>
    <mergeCell ref="M625:M631"/>
    <mergeCell ref="AF625:AF631"/>
    <mergeCell ref="AG625:AG631"/>
    <mergeCell ref="AH625:AH631"/>
    <mergeCell ref="AI625:AI631"/>
    <mergeCell ref="AJ625:AJ631"/>
    <mergeCell ref="AK625:AK631"/>
    <mergeCell ref="N626:N630"/>
    <mergeCell ref="O626:O630"/>
    <mergeCell ref="P626:P630"/>
    <mergeCell ref="Q626:Q630"/>
    <mergeCell ref="R626:R630"/>
    <mergeCell ref="S626:S630"/>
    <mergeCell ref="T626:T630"/>
    <mergeCell ref="U626:U630"/>
    <mergeCell ref="V626:V630"/>
    <mergeCell ref="W626:W630"/>
    <mergeCell ref="X626:X630"/>
    <mergeCell ref="Y626:Y630"/>
    <mergeCell ref="G611:G617"/>
    <mergeCell ref="H618:H624"/>
    <mergeCell ref="I618:I624"/>
    <mergeCell ref="J618:J624"/>
    <mergeCell ref="K618:K624"/>
    <mergeCell ref="L618:L624"/>
    <mergeCell ref="M618:M624"/>
    <mergeCell ref="AF618:AF624"/>
    <mergeCell ref="AG618:AG624"/>
    <mergeCell ref="AH618:AH624"/>
    <mergeCell ref="AI618:AI624"/>
    <mergeCell ref="AJ618:AJ624"/>
    <mergeCell ref="AK618:AK624"/>
    <mergeCell ref="N619:N623"/>
    <mergeCell ref="O619:O623"/>
    <mergeCell ref="P619:P623"/>
    <mergeCell ref="Q619:Q623"/>
    <mergeCell ref="R619:R623"/>
    <mergeCell ref="S619:S623"/>
    <mergeCell ref="T619:T623"/>
    <mergeCell ref="U619:U623"/>
    <mergeCell ref="V619:V623"/>
    <mergeCell ref="W619:W623"/>
    <mergeCell ref="X619:X623"/>
    <mergeCell ref="Y619:Y623"/>
    <mergeCell ref="G618:G624"/>
    <mergeCell ref="H611:H617"/>
    <mergeCell ref="I611:I617"/>
    <mergeCell ref="J611:J617"/>
    <mergeCell ref="K611:K617"/>
    <mergeCell ref="L611:L617"/>
    <mergeCell ref="M611:M617"/>
    <mergeCell ref="AF611:AF617"/>
    <mergeCell ref="AG611:AG617"/>
    <mergeCell ref="AH611:AH617"/>
    <mergeCell ref="AI611:AI617"/>
    <mergeCell ref="AJ611:AJ617"/>
    <mergeCell ref="AK611:AK617"/>
    <mergeCell ref="N612:N616"/>
    <mergeCell ref="O612:O616"/>
    <mergeCell ref="P612:P616"/>
    <mergeCell ref="Q612:Q616"/>
    <mergeCell ref="R612:R616"/>
    <mergeCell ref="S612:S616"/>
    <mergeCell ref="T612:T616"/>
    <mergeCell ref="U612:U616"/>
    <mergeCell ref="V612:V616"/>
    <mergeCell ref="W612:W616"/>
    <mergeCell ref="X612:X616"/>
    <mergeCell ref="Y612:Y616"/>
    <mergeCell ref="G597:G603"/>
    <mergeCell ref="H604:H610"/>
    <mergeCell ref="I604:I610"/>
    <mergeCell ref="J604:J610"/>
    <mergeCell ref="K604:K610"/>
    <mergeCell ref="L604:L610"/>
    <mergeCell ref="M604:M610"/>
    <mergeCell ref="AF604:AF610"/>
    <mergeCell ref="AG604:AG610"/>
    <mergeCell ref="AH604:AH610"/>
    <mergeCell ref="AI604:AI610"/>
    <mergeCell ref="AJ604:AJ610"/>
    <mergeCell ref="AK604:AK610"/>
    <mergeCell ref="N605:N609"/>
    <mergeCell ref="O605:O609"/>
    <mergeCell ref="P605:P609"/>
    <mergeCell ref="Q605:Q609"/>
    <mergeCell ref="R605:R609"/>
    <mergeCell ref="S605:S609"/>
    <mergeCell ref="T605:T609"/>
    <mergeCell ref="U605:U609"/>
    <mergeCell ref="V605:V609"/>
    <mergeCell ref="W605:W609"/>
    <mergeCell ref="X605:X609"/>
    <mergeCell ref="Y605:Y609"/>
    <mergeCell ref="G604:G610"/>
    <mergeCell ref="H597:H603"/>
    <mergeCell ref="I597:I603"/>
    <mergeCell ref="J597:J603"/>
    <mergeCell ref="K597:K603"/>
    <mergeCell ref="L597:L603"/>
    <mergeCell ref="M597:M603"/>
    <mergeCell ref="AF597:AF603"/>
    <mergeCell ref="AG597:AG603"/>
    <mergeCell ref="AH597:AH603"/>
    <mergeCell ref="AI597:AI603"/>
    <mergeCell ref="AJ597:AJ603"/>
    <mergeCell ref="AK597:AK603"/>
    <mergeCell ref="N598:N602"/>
    <mergeCell ref="O598:O602"/>
    <mergeCell ref="P598:P602"/>
    <mergeCell ref="Q598:Q602"/>
    <mergeCell ref="R598:R602"/>
    <mergeCell ref="S598:S602"/>
    <mergeCell ref="T598:T602"/>
    <mergeCell ref="U598:U602"/>
    <mergeCell ref="V598:V602"/>
    <mergeCell ref="W598:W602"/>
    <mergeCell ref="X598:X602"/>
    <mergeCell ref="Y598:Y602"/>
    <mergeCell ref="G583:G589"/>
    <mergeCell ref="H590:H596"/>
    <mergeCell ref="I590:I596"/>
    <mergeCell ref="J590:J596"/>
    <mergeCell ref="K590:K596"/>
    <mergeCell ref="L590:L596"/>
    <mergeCell ref="M590:M596"/>
    <mergeCell ref="AF590:AF596"/>
    <mergeCell ref="AG590:AG596"/>
    <mergeCell ref="AH590:AH596"/>
    <mergeCell ref="AI590:AI596"/>
    <mergeCell ref="AJ590:AJ596"/>
    <mergeCell ref="AK590:AK596"/>
    <mergeCell ref="N591:N595"/>
    <mergeCell ref="O591:O595"/>
    <mergeCell ref="P591:P595"/>
    <mergeCell ref="Q591:Q595"/>
    <mergeCell ref="R591:R595"/>
    <mergeCell ref="S591:S595"/>
    <mergeCell ref="T591:T595"/>
    <mergeCell ref="U591:U595"/>
    <mergeCell ref="V591:V595"/>
    <mergeCell ref="W591:W595"/>
    <mergeCell ref="X591:X595"/>
    <mergeCell ref="Y591:Y595"/>
    <mergeCell ref="G590:G596"/>
    <mergeCell ref="H583:H589"/>
    <mergeCell ref="I583:I589"/>
    <mergeCell ref="J583:J589"/>
    <mergeCell ref="K583:K589"/>
    <mergeCell ref="L583:L589"/>
    <mergeCell ref="M583:M589"/>
    <mergeCell ref="AF583:AF589"/>
    <mergeCell ref="AG583:AG589"/>
    <mergeCell ref="AH583:AH589"/>
    <mergeCell ref="AI583:AI589"/>
    <mergeCell ref="AJ583:AJ589"/>
    <mergeCell ref="AK583:AK589"/>
    <mergeCell ref="N584:N588"/>
    <mergeCell ref="O584:O588"/>
    <mergeCell ref="P584:P588"/>
    <mergeCell ref="Q584:Q588"/>
    <mergeCell ref="R584:R588"/>
    <mergeCell ref="S584:S588"/>
    <mergeCell ref="T584:T588"/>
    <mergeCell ref="U584:U588"/>
    <mergeCell ref="V584:V588"/>
    <mergeCell ref="W584:W588"/>
    <mergeCell ref="X584:X588"/>
    <mergeCell ref="Y584:Y588"/>
    <mergeCell ref="G569:G575"/>
    <mergeCell ref="H576:H582"/>
    <mergeCell ref="I576:I582"/>
    <mergeCell ref="J576:J582"/>
    <mergeCell ref="K576:K582"/>
    <mergeCell ref="L576:L582"/>
    <mergeCell ref="M576:M582"/>
    <mergeCell ref="AF576:AF582"/>
    <mergeCell ref="AG576:AG582"/>
    <mergeCell ref="AH576:AH582"/>
    <mergeCell ref="AI576:AI582"/>
    <mergeCell ref="AJ576:AJ582"/>
    <mergeCell ref="AK576:AK582"/>
    <mergeCell ref="N577:N581"/>
    <mergeCell ref="O577:O581"/>
    <mergeCell ref="P577:P581"/>
    <mergeCell ref="Q577:Q581"/>
    <mergeCell ref="R577:R581"/>
    <mergeCell ref="S577:S581"/>
    <mergeCell ref="T577:T581"/>
    <mergeCell ref="U577:U581"/>
    <mergeCell ref="V577:V581"/>
    <mergeCell ref="W577:W581"/>
    <mergeCell ref="X577:X581"/>
    <mergeCell ref="Y577:Y581"/>
    <mergeCell ref="G576:G582"/>
    <mergeCell ref="H569:H575"/>
    <mergeCell ref="I569:I575"/>
    <mergeCell ref="J569:J575"/>
    <mergeCell ref="K569:K575"/>
    <mergeCell ref="L569:L575"/>
    <mergeCell ref="M569:M575"/>
    <mergeCell ref="AF569:AF575"/>
    <mergeCell ref="AG569:AG575"/>
    <mergeCell ref="AH569:AH575"/>
    <mergeCell ref="AI569:AI575"/>
    <mergeCell ref="AJ569:AJ575"/>
    <mergeCell ref="AK569:AK575"/>
    <mergeCell ref="N570:N574"/>
    <mergeCell ref="O570:O574"/>
    <mergeCell ref="P570:P574"/>
    <mergeCell ref="Q570:Q574"/>
    <mergeCell ref="R570:R574"/>
    <mergeCell ref="S570:S574"/>
    <mergeCell ref="T570:T574"/>
    <mergeCell ref="U570:U574"/>
    <mergeCell ref="V570:V574"/>
    <mergeCell ref="W570:W574"/>
    <mergeCell ref="X570:X574"/>
    <mergeCell ref="Y570:Y574"/>
    <mergeCell ref="G555:G561"/>
    <mergeCell ref="H562:H568"/>
    <mergeCell ref="I562:I568"/>
    <mergeCell ref="J562:J568"/>
    <mergeCell ref="K562:K568"/>
    <mergeCell ref="L562:L568"/>
    <mergeCell ref="M562:M568"/>
    <mergeCell ref="AF562:AF568"/>
    <mergeCell ref="AG562:AG568"/>
    <mergeCell ref="AH562:AH568"/>
    <mergeCell ref="AI562:AI568"/>
    <mergeCell ref="AJ562:AJ568"/>
    <mergeCell ref="AK562:AK568"/>
    <mergeCell ref="N563:N567"/>
    <mergeCell ref="O563:O567"/>
    <mergeCell ref="P563:P567"/>
    <mergeCell ref="Q563:Q567"/>
    <mergeCell ref="R563:R567"/>
    <mergeCell ref="S563:S567"/>
    <mergeCell ref="T563:T567"/>
    <mergeCell ref="U563:U567"/>
    <mergeCell ref="V563:V567"/>
    <mergeCell ref="W563:W567"/>
    <mergeCell ref="X563:X567"/>
    <mergeCell ref="Y563:Y567"/>
    <mergeCell ref="G562:G568"/>
    <mergeCell ref="H555:H561"/>
    <mergeCell ref="I555:I561"/>
    <mergeCell ref="J555:J561"/>
    <mergeCell ref="K555:K561"/>
    <mergeCell ref="L555:L561"/>
    <mergeCell ref="M555:M561"/>
    <mergeCell ref="AF555:AF561"/>
    <mergeCell ref="AG555:AG561"/>
    <mergeCell ref="AH555:AH561"/>
    <mergeCell ref="AI555:AI561"/>
    <mergeCell ref="AJ555:AJ561"/>
    <mergeCell ref="AK555:AK561"/>
    <mergeCell ref="N556:N560"/>
    <mergeCell ref="O556:O560"/>
    <mergeCell ref="P556:P560"/>
    <mergeCell ref="Q556:Q560"/>
    <mergeCell ref="R556:R560"/>
    <mergeCell ref="S556:S560"/>
    <mergeCell ref="T556:T560"/>
    <mergeCell ref="U556:U560"/>
    <mergeCell ref="V556:V560"/>
    <mergeCell ref="W556:W560"/>
    <mergeCell ref="X556:X560"/>
    <mergeCell ref="Y556:Y560"/>
    <mergeCell ref="G541:G547"/>
    <mergeCell ref="H548:H554"/>
    <mergeCell ref="I548:I554"/>
    <mergeCell ref="J548:J554"/>
    <mergeCell ref="K548:K554"/>
    <mergeCell ref="L548:L554"/>
    <mergeCell ref="M548:M554"/>
    <mergeCell ref="AF548:AF554"/>
    <mergeCell ref="AG548:AG554"/>
    <mergeCell ref="AH548:AH554"/>
    <mergeCell ref="AI548:AI554"/>
    <mergeCell ref="AJ548:AJ554"/>
    <mergeCell ref="AK548:AK554"/>
    <mergeCell ref="N549:N553"/>
    <mergeCell ref="O549:O553"/>
    <mergeCell ref="P549:P553"/>
    <mergeCell ref="Q549:Q553"/>
    <mergeCell ref="R549:R553"/>
    <mergeCell ref="S549:S553"/>
    <mergeCell ref="T549:T553"/>
    <mergeCell ref="U549:U553"/>
    <mergeCell ref="V549:V553"/>
    <mergeCell ref="W549:W553"/>
    <mergeCell ref="X549:X553"/>
    <mergeCell ref="Y549:Y553"/>
    <mergeCell ref="G548:G554"/>
    <mergeCell ref="H541:H547"/>
    <mergeCell ref="I541:I547"/>
    <mergeCell ref="J541:J547"/>
    <mergeCell ref="K541:K547"/>
    <mergeCell ref="L541:L547"/>
    <mergeCell ref="M541:M547"/>
    <mergeCell ref="AF541:AF547"/>
    <mergeCell ref="AG541:AG547"/>
    <mergeCell ref="AH541:AH547"/>
    <mergeCell ref="AI541:AI547"/>
    <mergeCell ref="AJ541:AJ547"/>
    <mergeCell ref="AK541:AK547"/>
    <mergeCell ref="N542:N546"/>
    <mergeCell ref="O542:O546"/>
    <mergeCell ref="P542:P546"/>
    <mergeCell ref="Q542:Q546"/>
    <mergeCell ref="R542:R546"/>
    <mergeCell ref="S542:S546"/>
    <mergeCell ref="T542:T546"/>
    <mergeCell ref="U542:U546"/>
    <mergeCell ref="V542:V546"/>
    <mergeCell ref="W542:W546"/>
    <mergeCell ref="X542:X546"/>
    <mergeCell ref="Y542:Y546"/>
    <mergeCell ref="G527:G533"/>
    <mergeCell ref="H534:H540"/>
    <mergeCell ref="I534:I540"/>
    <mergeCell ref="J534:J540"/>
    <mergeCell ref="K534:K540"/>
    <mergeCell ref="L534:L540"/>
    <mergeCell ref="M534:M540"/>
    <mergeCell ref="AF534:AF540"/>
    <mergeCell ref="AG534:AG540"/>
    <mergeCell ref="AH534:AH540"/>
    <mergeCell ref="AI534:AI540"/>
    <mergeCell ref="AJ534:AJ540"/>
    <mergeCell ref="AK534:AK540"/>
    <mergeCell ref="N535:N539"/>
    <mergeCell ref="O535:O539"/>
    <mergeCell ref="P535:P539"/>
    <mergeCell ref="Q535:Q539"/>
    <mergeCell ref="R535:R539"/>
    <mergeCell ref="S535:S539"/>
    <mergeCell ref="T535:T539"/>
    <mergeCell ref="U535:U539"/>
    <mergeCell ref="V535:V539"/>
    <mergeCell ref="W535:W539"/>
    <mergeCell ref="X535:X539"/>
    <mergeCell ref="Y535:Y539"/>
    <mergeCell ref="G534:G540"/>
    <mergeCell ref="H527:H533"/>
    <mergeCell ref="I527:I533"/>
    <mergeCell ref="J527:J533"/>
    <mergeCell ref="K527:K533"/>
    <mergeCell ref="L527:L533"/>
    <mergeCell ref="M527:M533"/>
    <mergeCell ref="AF527:AF533"/>
    <mergeCell ref="AG527:AG533"/>
    <mergeCell ref="AH527:AH533"/>
    <mergeCell ref="AI527:AI533"/>
    <mergeCell ref="AJ527:AJ533"/>
    <mergeCell ref="AK527:AK533"/>
    <mergeCell ref="N528:N532"/>
    <mergeCell ref="O528:O532"/>
    <mergeCell ref="P528:P532"/>
    <mergeCell ref="Q528:Q532"/>
    <mergeCell ref="R528:R532"/>
    <mergeCell ref="S528:S532"/>
    <mergeCell ref="T528:T532"/>
    <mergeCell ref="U528:U532"/>
    <mergeCell ref="V528:V532"/>
    <mergeCell ref="W528:W532"/>
    <mergeCell ref="X528:X532"/>
    <mergeCell ref="Y528:Y532"/>
    <mergeCell ref="G513:G519"/>
    <mergeCell ref="H520:H526"/>
    <mergeCell ref="I520:I526"/>
    <mergeCell ref="J520:J526"/>
    <mergeCell ref="K520:K526"/>
    <mergeCell ref="L520:L526"/>
    <mergeCell ref="M520:M526"/>
    <mergeCell ref="AF520:AF526"/>
    <mergeCell ref="AG520:AG526"/>
    <mergeCell ref="AH520:AH526"/>
    <mergeCell ref="AI520:AI526"/>
    <mergeCell ref="AJ520:AJ526"/>
    <mergeCell ref="AK520:AK526"/>
    <mergeCell ref="N521:N525"/>
    <mergeCell ref="O521:O525"/>
    <mergeCell ref="P521:P525"/>
    <mergeCell ref="Q521:Q525"/>
    <mergeCell ref="R521:R525"/>
    <mergeCell ref="S521:S525"/>
    <mergeCell ref="T521:T525"/>
    <mergeCell ref="U521:U525"/>
    <mergeCell ref="V521:V525"/>
    <mergeCell ref="W521:W525"/>
    <mergeCell ref="X521:X525"/>
    <mergeCell ref="Y521:Y525"/>
    <mergeCell ref="G520:G526"/>
    <mergeCell ref="M513:M519"/>
    <mergeCell ref="AF513:AF519"/>
    <mergeCell ref="AG513:AG519"/>
    <mergeCell ref="AH513:AH519"/>
    <mergeCell ref="AI513:AI519"/>
    <mergeCell ref="AJ513:AJ519"/>
    <mergeCell ref="AK513:AK519"/>
    <mergeCell ref="N514:N518"/>
    <mergeCell ref="O514:O518"/>
    <mergeCell ref="P514:P518"/>
    <mergeCell ref="Q514:Q518"/>
    <mergeCell ref="R514:R518"/>
    <mergeCell ref="S514:S518"/>
    <mergeCell ref="T514:T518"/>
    <mergeCell ref="U514:U518"/>
    <mergeCell ref="V514:V518"/>
    <mergeCell ref="W514:W518"/>
    <mergeCell ref="X514:X518"/>
    <mergeCell ref="Y514:Y518"/>
    <mergeCell ref="G494:G499"/>
    <mergeCell ref="H506:H512"/>
    <mergeCell ref="I506:I512"/>
    <mergeCell ref="J506:J512"/>
    <mergeCell ref="K506:K512"/>
    <mergeCell ref="L506:L512"/>
    <mergeCell ref="M506:M512"/>
    <mergeCell ref="AF506:AF512"/>
    <mergeCell ref="AG506:AG512"/>
    <mergeCell ref="AH506:AH512"/>
    <mergeCell ref="AI506:AI512"/>
    <mergeCell ref="AJ506:AJ512"/>
    <mergeCell ref="AK506:AK512"/>
    <mergeCell ref="N507:N511"/>
    <mergeCell ref="O507:O511"/>
    <mergeCell ref="P507:P511"/>
    <mergeCell ref="Q507:Q511"/>
    <mergeCell ref="R507:R511"/>
    <mergeCell ref="S507:S511"/>
    <mergeCell ref="T507:T511"/>
    <mergeCell ref="U507:U511"/>
    <mergeCell ref="V507:V511"/>
    <mergeCell ref="W507:W511"/>
    <mergeCell ref="X507:X511"/>
    <mergeCell ref="Y507:Y511"/>
    <mergeCell ref="G506:G512"/>
    <mergeCell ref="H494:H499"/>
    <mergeCell ref="I494:I499"/>
    <mergeCell ref="J494:J499"/>
    <mergeCell ref="K494:K499"/>
    <mergeCell ref="L494:L499"/>
    <mergeCell ref="M494:M499"/>
    <mergeCell ref="AF494:AF499"/>
    <mergeCell ref="AG494:AG499"/>
    <mergeCell ref="AH494:AH499"/>
    <mergeCell ref="AI494:AI499"/>
    <mergeCell ref="AJ494:AJ499"/>
    <mergeCell ref="AK494:AK499"/>
    <mergeCell ref="N495:N498"/>
    <mergeCell ref="O495:O498"/>
    <mergeCell ref="P495:P498"/>
    <mergeCell ref="Q495:Q498"/>
    <mergeCell ref="R495:R498"/>
    <mergeCell ref="S495:S498"/>
    <mergeCell ref="T495:T498"/>
    <mergeCell ref="U495:U498"/>
    <mergeCell ref="V495:V498"/>
    <mergeCell ref="W495:W498"/>
    <mergeCell ref="X495:X498"/>
    <mergeCell ref="Y495:Y498"/>
    <mergeCell ref="G482:G487"/>
    <mergeCell ref="H488:H493"/>
    <mergeCell ref="I488:I493"/>
    <mergeCell ref="J488:J493"/>
    <mergeCell ref="K488:K493"/>
    <mergeCell ref="L488:L493"/>
    <mergeCell ref="M488:M493"/>
    <mergeCell ref="AF488:AF493"/>
    <mergeCell ref="AG488:AG493"/>
    <mergeCell ref="AH488:AH493"/>
    <mergeCell ref="AI488:AI493"/>
    <mergeCell ref="AJ488:AJ493"/>
    <mergeCell ref="AK488:AK493"/>
    <mergeCell ref="N489:N492"/>
    <mergeCell ref="O489:O492"/>
    <mergeCell ref="P489:P492"/>
    <mergeCell ref="Q489:Q492"/>
    <mergeCell ref="R489:R492"/>
    <mergeCell ref="S489:S492"/>
    <mergeCell ref="T489:T492"/>
    <mergeCell ref="U489:U492"/>
    <mergeCell ref="V489:V492"/>
    <mergeCell ref="W489:W492"/>
    <mergeCell ref="X489:X492"/>
    <mergeCell ref="Y489:Y492"/>
    <mergeCell ref="G488:G493"/>
    <mergeCell ref="H482:H487"/>
    <mergeCell ref="I482:I487"/>
    <mergeCell ref="J482:J487"/>
    <mergeCell ref="K482:K487"/>
    <mergeCell ref="L482:L487"/>
    <mergeCell ref="M482:M487"/>
    <mergeCell ref="AF482:AF487"/>
    <mergeCell ref="AG482:AG487"/>
    <mergeCell ref="AH482:AH487"/>
    <mergeCell ref="AI482:AI487"/>
    <mergeCell ref="AJ482:AJ487"/>
    <mergeCell ref="AK482:AK487"/>
    <mergeCell ref="N483:N486"/>
    <mergeCell ref="O483:O486"/>
    <mergeCell ref="P483:P486"/>
    <mergeCell ref="Q483:Q486"/>
    <mergeCell ref="R483:R486"/>
    <mergeCell ref="S483:S486"/>
    <mergeCell ref="T483:T486"/>
    <mergeCell ref="U483:U486"/>
    <mergeCell ref="V483:V486"/>
    <mergeCell ref="W483:W486"/>
    <mergeCell ref="X483:X486"/>
    <mergeCell ref="Y483:Y486"/>
    <mergeCell ref="G470:G475"/>
    <mergeCell ref="H476:H481"/>
    <mergeCell ref="I476:I481"/>
    <mergeCell ref="J476:J481"/>
    <mergeCell ref="K476:K481"/>
    <mergeCell ref="L476:L481"/>
    <mergeCell ref="M476:M481"/>
    <mergeCell ref="AF476:AF481"/>
    <mergeCell ref="AG476:AG481"/>
    <mergeCell ref="AH476:AH481"/>
    <mergeCell ref="AI476:AI481"/>
    <mergeCell ref="AJ476:AJ481"/>
    <mergeCell ref="AK476:AK481"/>
    <mergeCell ref="N477:N480"/>
    <mergeCell ref="O477:O480"/>
    <mergeCell ref="P477:P480"/>
    <mergeCell ref="Q477:Q480"/>
    <mergeCell ref="R477:R480"/>
    <mergeCell ref="S477:S480"/>
    <mergeCell ref="T477:T480"/>
    <mergeCell ref="U477:U480"/>
    <mergeCell ref="V477:V480"/>
    <mergeCell ref="W477:W480"/>
    <mergeCell ref="X477:X480"/>
    <mergeCell ref="Y477:Y480"/>
    <mergeCell ref="G476:G481"/>
    <mergeCell ref="H470:H475"/>
    <mergeCell ref="I470:I475"/>
    <mergeCell ref="J470:J475"/>
    <mergeCell ref="K470:K475"/>
    <mergeCell ref="L470:L475"/>
    <mergeCell ref="M470:M475"/>
    <mergeCell ref="AF470:AF475"/>
    <mergeCell ref="AG470:AG475"/>
    <mergeCell ref="AH470:AH475"/>
    <mergeCell ref="AI470:AI475"/>
    <mergeCell ref="AJ470:AJ475"/>
    <mergeCell ref="AK470:AK475"/>
    <mergeCell ref="N471:N474"/>
    <mergeCell ref="O471:O474"/>
    <mergeCell ref="P471:P474"/>
    <mergeCell ref="Q471:Q474"/>
    <mergeCell ref="R471:R474"/>
    <mergeCell ref="S471:S474"/>
    <mergeCell ref="T471:T474"/>
    <mergeCell ref="U471:U474"/>
    <mergeCell ref="V471:V474"/>
    <mergeCell ref="W471:W474"/>
    <mergeCell ref="X471:X474"/>
    <mergeCell ref="Y471:Y474"/>
    <mergeCell ref="G458:G463"/>
    <mergeCell ref="H464:H469"/>
    <mergeCell ref="I464:I469"/>
    <mergeCell ref="J464:J469"/>
    <mergeCell ref="K464:K469"/>
    <mergeCell ref="L464:L469"/>
    <mergeCell ref="M464:M469"/>
    <mergeCell ref="AF464:AF469"/>
    <mergeCell ref="AG464:AG469"/>
    <mergeCell ref="AH464:AH469"/>
    <mergeCell ref="AI464:AI469"/>
    <mergeCell ref="AJ464:AJ469"/>
    <mergeCell ref="AK464:AK469"/>
    <mergeCell ref="N465:N468"/>
    <mergeCell ref="O465:O468"/>
    <mergeCell ref="P465:P468"/>
    <mergeCell ref="Q465:Q468"/>
    <mergeCell ref="R465:R468"/>
    <mergeCell ref="S465:S468"/>
    <mergeCell ref="T465:T468"/>
    <mergeCell ref="U465:U468"/>
    <mergeCell ref="V465:V468"/>
    <mergeCell ref="W465:W468"/>
    <mergeCell ref="X465:X468"/>
    <mergeCell ref="Y465:Y468"/>
    <mergeCell ref="G464:G469"/>
    <mergeCell ref="H458:H463"/>
    <mergeCell ref="I458:I463"/>
    <mergeCell ref="J458:J463"/>
    <mergeCell ref="K458:K463"/>
    <mergeCell ref="L458:L463"/>
    <mergeCell ref="M458:M463"/>
    <mergeCell ref="AF458:AF463"/>
    <mergeCell ref="AG458:AG463"/>
    <mergeCell ref="AH458:AH463"/>
    <mergeCell ref="AI458:AI463"/>
    <mergeCell ref="AJ458:AJ463"/>
    <mergeCell ref="AK458:AK463"/>
    <mergeCell ref="N459:N462"/>
    <mergeCell ref="O459:O462"/>
    <mergeCell ref="P459:P462"/>
    <mergeCell ref="Q459:Q462"/>
    <mergeCell ref="R459:R462"/>
    <mergeCell ref="S459:S462"/>
    <mergeCell ref="T459:T462"/>
    <mergeCell ref="U459:U462"/>
    <mergeCell ref="V459:V462"/>
    <mergeCell ref="W459:W462"/>
    <mergeCell ref="X459:X462"/>
    <mergeCell ref="Y459:Y462"/>
    <mergeCell ref="G446:G451"/>
    <mergeCell ref="H452:H457"/>
    <mergeCell ref="I452:I457"/>
    <mergeCell ref="J452:J457"/>
    <mergeCell ref="K452:K457"/>
    <mergeCell ref="L452:L457"/>
    <mergeCell ref="M452:M457"/>
    <mergeCell ref="AF452:AF457"/>
    <mergeCell ref="AG452:AG457"/>
    <mergeCell ref="AH452:AH457"/>
    <mergeCell ref="AI452:AI457"/>
    <mergeCell ref="AJ452:AJ457"/>
    <mergeCell ref="AK452:AK457"/>
    <mergeCell ref="N453:N456"/>
    <mergeCell ref="O453:O456"/>
    <mergeCell ref="P453:P456"/>
    <mergeCell ref="Q453:Q456"/>
    <mergeCell ref="R453:R456"/>
    <mergeCell ref="S453:S456"/>
    <mergeCell ref="T453:T456"/>
    <mergeCell ref="U453:U456"/>
    <mergeCell ref="V453:V456"/>
    <mergeCell ref="W453:W456"/>
    <mergeCell ref="X453:X456"/>
    <mergeCell ref="Y453:Y456"/>
    <mergeCell ref="G452:G457"/>
    <mergeCell ref="H446:H451"/>
    <mergeCell ref="I446:I451"/>
    <mergeCell ref="J446:J451"/>
    <mergeCell ref="K446:K451"/>
    <mergeCell ref="L446:L451"/>
    <mergeCell ref="M446:M451"/>
    <mergeCell ref="AF446:AF451"/>
    <mergeCell ref="AG446:AG451"/>
    <mergeCell ref="AH446:AH451"/>
    <mergeCell ref="AI446:AI451"/>
    <mergeCell ref="AJ446:AJ451"/>
    <mergeCell ref="AK446:AK451"/>
    <mergeCell ref="N447:N450"/>
    <mergeCell ref="O447:O450"/>
    <mergeCell ref="P447:P450"/>
    <mergeCell ref="Q447:Q450"/>
    <mergeCell ref="R447:R450"/>
    <mergeCell ref="S447:S450"/>
    <mergeCell ref="T447:T450"/>
    <mergeCell ref="U447:U450"/>
    <mergeCell ref="V447:V450"/>
    <mergeCell ref="W447:W450"/>
    <mergeCell ref="X447:X450"/>
    <mergeCell ref="Y447:Y450"/>
    <mergeCell ref="G434:G439"/>
    <mergeCell ref="H440:H445"/>
    <mergeCell ref="I440:I445"/>
    <mergeCell ref="J440:J445"/>
    <mergeCell ref="K440:K445"/>
    <mergeCell ref="L440:L445"/>
    <mergeCell ref="M440:M445"/>
    <mergeCell ref="AF440:AF445"/>
    <mergeCell ref="AG440:AG445"/>
    <mergeCell ref="AH440:AH445"/>
    <mergeCell ref="AI440:AI445"/>
    <mergeCell ref="AJ440:AJ445"/>
    <mergeCell ref="AK440:AK445"/>
    <mergeCell ref="N441:N444"/>
    <mergeCell ref="O441:O444"/>
    <mergeCell ref="P441:P444"/>
    <mergeCell ref="Q441:Q444"/>
    <mergeCell ref="R441:R444"/>
    <mergeCell ref="S441:S444"/>
    <mergeCell ref="T441:T444"/>
    <mergeCell ref="U441:U444"/>
    <mergeCell ref="V441:V444"/>
    <mergeCell ref="W441:W444"/>
    <mergeCell ref="X441:X444"/>
    <mergeCell ref="Y441:Y444"/>
    <mergeCell ref="G440:G445"/>
    <mergeCell ref="H434:H439"/>
    <mergeCell ref="I434:I439"/>
    <mergeCell ref="J434:J439"/>
    <mergeCell ref="K434:K439"/>
    <mergeCell ref="L434:L439"/>
    <mergeCell ref="M434:M439"/>
    <mergeCell ref="AF434:AF439"/>
    <mergeCell ref="AG434:AG439"/>
    <mergeCell ref="AH434:AH439"/>
    <mergeCell ref="AI434:AI439"/>
    <mergeCell ref="AJ434:AJ439"/>
    <mergeCell ref="AK434:AK439"/>
    <mergeCell ref="N435:N438"/>
    <mergeCell ref="O435:O438"/>
    <mergeCell ref="P435:P438"/>
    <mergeCell ref="Q435:Q438"/>
    <mergeCell ref="R435:R438"/>
    <mergeCell ref="S435:S438"/>
    <mergeCell ref="T435:T438"/>
    <mergeCell ref="U435:U438"/>
    <mergeCell ref="V435:V438"/>
    <mergeCell ref="W435:W438"/>
    <mergeCell ref="X435:X438"/>
    <mergeCell ref="Y435:Y438"/>
    <mergeCell ref="G422:G427"/>
    <mergeCell ref="H428:H433"/>
    <mergeCell ref="I428:I433"/>
    <mergeCell ref="J428:J433"/>
    <mergeCell ref="K428:K433"/>
    <mergeCell ref="L428:L433"/>
    <mergeCell ref="M428:M433"/>
    <mergeCell ref="AF428:AF433"/>
    <mergeCell ref="AG428:AG433"/>
    <mergeCell ref="AH428:AH433"/>
    <mergeCell ref="AI428:AI433"/>
    <mergeCell ref="AJ428:AJ433"/>
    <mergeCell ref="AK428:AK433"/>
    <mergeCell ref="N429:N432"/>
    <mergeCell ref="O429:O432"/>
    <mergeCell ref="P429:P432"/>
    <mergeCell ref="Q429:Q432"/>
    <mergeCell ref="R429:R432"/>
    <mergeCell ref="S429:S432"/>
    <mergeCell ref="T429:T432"/>
    <mergeCell ref="U429:U432"/>
    <mergeCell ref="V429:V432"/>
    <mergeCell ref="W429:W432"/>
    <mergeCell ref="X429:X432"/>
    <mergeCell ref="Y429:Y432"/>
    <mergeCell ref="G428:G433"/>
    <mergeCell ref="H422:H427"/>
    <mergeCell ref="I422:I427"/>
    <mergeCell ref="J422:J427"/>
    <mergeCell ref="K422:K427"/>
    <mergeCell ref="L422:L427"/>
    <mergeCell ref="M422:M427"/>
    <mergeCell ref="AF422:AF427"/>
    <mergeCell ref="AG422:AG427"/>
    <mergeCell ref="AH422:AH427"/>
    <mergeCell ref="AI422:AI427"/>
    <mergeCell ref="AJ422:AJ427"/>
    <mergeCell ref="AK422:AK427"/>
    <mergeCell ref="N423:N426"/>
    <mergeCell ref="O423:O426"/>
    <mergeCell ref="P423:P426"/>
    <mergeCell ref="Q423:Q426"/>
    <mergeCell ref="R423:R426"/>
    <mergeCell ref="S423:S426"/>
    <mergeCell ref="T423:T426"/>
    <mergeCell ref="U423:U426"/>
    <mergeCell ref="V423:V426"/>
    <mergeCell ref="W423:W426"/>
    <mergeCell ref="X423:X426"/>
    <mergeCell ref="Y423:Y426"/>
    <mergeCell ref="G410:G415"/>
    <mergeCell ref="H416:H421"/>
    <mergeCell ref="I416:I421"/>
    <mergeCell ref="J416:J421"/>
    <mergeCell ref="K416:K421"/>
    <mergeCell ref="L416:L421"/>
    <mergeCell ref="M416:M421"/>
    <mergeCell ref="AF416:AF421"/>
    <mergeCell ref="AG416:AG421"/>
    <mergeCell ref="AH416:AH421"/>
    <mergeCell ref="AI416:AI421"/>
    <mergeCell ref="AJ416:AJ421"/>
    <mergeCell ref="AK416:AK421"/>
    <mergeCell ref="N417:N420"/>
    <mergeCell ref="O417:O420"/>
    <mergeCell ref="P417:P420"/>
    <mergeCell ref="Q417:Q420"/>
    <mergeCell ref="R417:R420"/>
    <mergeCell ref="S417:S420"/>
    <mergeCell ref="T417:T420"/>
    <mergeCell ref="U417:U420"/>
    <mergeCell ref="V417:V420"/>
    <mergeCell ref="W417:W420"/>
    <mergeCell ref="X417:X420"/>
    <mergeCell ref="Y417:Y420"/>
    <mergeCell ref="G416:G421"/>
    <mergeCell ref="H410:H415"/>
    <mergeCell ref="I410:I415"/>
    <mergeCell ref="J410:J415"/>
    <mergeCell ref="K410:K415"/>
    <mergeCell ref="L410:L415"/>
    <mergeCell ref="M410:M415"/>
    <mergeCell ref="AF410:AF415"/>
    <mergeCell ref="AG410:AG415"/>
    <mergeCell ref="AH410:AH415"/>
    <mergeCell ref="AI410:AI415"/>
    <mergeCell ref="AJ410:AJ415"/>
    <mergeCell ref="AK410:AK415"/>
    <mergeCell ref="N411:N414"/>
    <mergeCell ref="O411:O414"/>
    <mergeCell ref="P411:P414"/>
    <mergeCell ref="Q411:Q414"/>
    <mergeCell ref="R411:R414"/>
    <mergeCell ref="S411:S414"/>
    <mergeCell ref="T411:T414"/>
    <mergeCell ref="U411:U414"/>
    <mergeCell ref="V411:V414"/>
    <mergeCell ref="W411:W414"/>
    <mergeCell ref="X411:X414"/>
    <mergeCell ref="Y411:Y414"/>
    <mergeCell ref="G398:G403"/>
    <mergeCell ref="H404:H409"/>
    <mergeCell ref="I404:I409"/>
    <mergeCell ref="J404:J409"/>
    <mergeCell ref="K404:K409"/>
    <mergeCell ref="L404:L409"/>
    <mergeCell ref="M404:M409"/>
    <mergeCell ref="AF404:AF409"/>
    <mergeCell ref="AG404:AG409"/>
    <mergeCell ref="AH404:AH409"/>
    <mergeCell ref="AI404:AI409"/>
    <mergeCell ref="AJ404:AJ409"/>
    <mergeCell ref="AK404:AK409"/>
    <mergeCell ref="N405:N408"/>
    <mergeCell ref="O405:O408"/>
    <mergeCell ref="P405:P408"/>
    <mergeCell ref="Q405:Q408"/>
    <mergeCell ref="R405:R408"/>
    <mergeCell ref="S405:S408"/>
    <mergeCell ref="T405:T408"/>
    <mergeCell ref="U405:U408"/>
    <mergeCell ref="V405:V408"/>
    <mergeCell ref="W405:W408"/>
    <mergeCell ref="X405:X408"/>
    <mergeCell ref="Y405:Y408"/>
    <mergeCell ref="G404:G409"/>
    <mergeCell ref="H398:H403"/>
    <mergeCell ref="I398:I403"/>
    <mergeCell ref="J398:J403"/>
    <mergeCell ref="K398:K403"/>
    <mergeCell ref="L398:L403"/>
    <mergeCell ref="M398:M403"/>
    <mergeCell ref="AF398:AF403"/>
    <mergeCell ref="AG398:AG403"/>
    <mergeCell ref="AH398:AH403"/>
    <mergeCell ref="AI398:AI403"/>
    <mergeCell ref="AJ398:AJ403"/>
    <mergeCell ref="AK398:AK403"/>
    <mergeCell ref="N399:N402"/>
    <mergeCell ref="O399:O402"/>
    <mergeCell ref="P399:P402"/>
    <mergeCell ref="Q399:Q402"/>
    <mergeCell ref="R399:R402"/>
    <mergeCell ref="S399:S402"/>
    <mergeCell ref="T399:T402"/>
    <mergeCell ref="U399:U402"/>
    <mergeCell ref="V399:V402"/>
    <mergeCell ref="W399:W402"/>
    <mergeCell ref="X399:X402"/>
    <mergeCell ref="Y399:Y402"/>
    <mergeCell ref="G386:G391"/>
    <mergeCell ref="H392:H397"/>
    <mergeCell ref="I392:I397"/>
    <mergeCell ref="J392:J397"/>
    <mergeCell ref="K392:K397"/>
    <mergeCell ref="L392:L397"/>
    <mergeCell ref="M392:M397"/>
    <mergeCell ref="AF392:AF397"/>
    <mergeCell ref="AG392:AG397"/>
    <mergeCell ref="AH392:AH397"/>
    <mergeCell ref="AI392:AI397"/>
    <mergeCell ref="AJ392:AJ397"/>
    <mergeCell ref="AK392:AK397"/>
    <mergeCell ref="N393:N396"/>
    <mergeCell ref="O393:O396"/>
    <mergeCell ref="P393:P396"/>
    <mergeCell ref="Q393:Q396"/>
    <mergeCell ref="R393:R396"/>
    <mergeCell ref="S393:S396"/>
    <mergeCell ref="T393:T396"/>
    <mergeCell ref="U393:U396"/>
    <mergeCell ref="V393:V396"/>
    <mergeCell ref="W393:W396"/>
    <mergeCell ref="X393:X396"/>
    <mergeCell ref="Y393:Y396"/>
    <mergeCell ref="G392:G397"/>
    <mergeCell ref="M386:M391"/>
    <mergeCell ref="AF386:AF391"/>
    <mergeCell ref="AG386:AG391"/>
    <mergeCell ref="AH386:AH391"/>
    <mergeCell ref="AI386:AI391"/>
    <mergeCell ref="AJ386:AJ391"/>
    <mergeCell ref="AK386:AK391"/>
    <mergeCell ref="N387:N390"/>
    <mergeCell ref="O387:O390"/>
    <mergeCell ref="P387:P390"/>
    <mergeCell ref="Q387:Q390"/>
    <mergeCell ref="R387:R390"/>
    <mergeCell ref="S387:S390"/>
    <mergeCell ref="T387:T390"/>
    <mergeCell ref="U387:U390"/>
    <mergeCell ref="V387:V390"/>
    <mergeCell ref="W387:W390"/>
    <mergeCell ref="X387:X390"/>
    <mergeCell ref="Y387:Y390"/>
    <mergeCell ref="G369:G373"/>
    <mergeCell ref="H380:H385"/>
    <mergeCell ref="I380:I385"/>
    <mergeCell ref="J380:J385"/>
    <mergeCell ref="K380:K385"/>
    <mergeCell ref="L380:L385"/>
    <mergeCell ref="M380:M385"/>
    <mergeCell ref="AF380:AF385"/>
    <mergeCell ref="AG380:AG385"/>
    <mergeCell ref="AH380:AH385"/>
    <mergeCell ref="AI380:AI385"/>
    <mergeCell ref="AJ380:AJ385"/>
    <mergeCell ref="AK380:AK385"/>
    <mergeCell ref="N381:N384"/>
    <mergeCell ref="O381:O384"/>
    <mergeCell ref="P381:P384"/>
    <mergeCell ref="Q381:Q384"/>
    <mergeCell ref="R381:R384"/>
    <mergeCell ref="S381:S384"/>
    <mergeCell ref="T381:T384"/>
    <mergeCell ref="U381:U384"/>
    <mergeCell ref="V381:V384"/>
    <mergeCell ref="W381:W384"/>
    <mergeCell ref="X381:X384"/>
    <mergeCell ref="Y381:Y384"/>
    <mergeCell ref="G380:G385"/>
    <mergeCell ref="H369:H373"/>
    <mergeCell ref="I369:I373"/>
    <mergeCell ref="J369:J373"/>
    <mergeCell ref="K369:K373"/>
    <mergeCell ref="L369:L373"/>
    <mergeCell ref="M369:M373"/>
    <mergeCell ref="AF369:AF373"/>
    <mergeCell ref="AG369:AG373"/>
    <mergeCell ref="AH369:AH373"/>
    <mergeCell ref="AI369:AI373"/>
    <mergeCell ref="AJ369:AJ373"/>
    <mergeCell ref="AK369:AK373"/>
    <mergeCell ref="N370:N372"/>
    <mergeCell ref="O370:O372"/>
    <mergeCell ref="P370:P372"/>
    <mergeCell ref="Q370:Q372"/>
    <mergeCell ref="R370:R372"/>
    <mergeCell ref="S370:S372"/>
    <mergeCell ref="T370:T372"/>
    <mergeCell ref="U370:U372"/>
    <mergeCell ref="V370:V372"/>
    <mergeCell ref="W370:W372"/>
    <mergeCell ref="X370:X372"/>
    <mergeCell ref="Y370:Y372"/>
    <mergeCell ref="G359:G363"/>
    <mergeCell ref="H364:H368"/>
    <mergeCell ref="I364:I368"/>
    <mergeCell ref="J364:J368"/>
    <mergeCell ref="K364:K368"/>
    <mergeCell ref="L364:L368"/>
    <mergeCell ref="M364:M368"/>
    <mergeCell ref="AF364:AF368"/>
    <mergeCell ref="AG364:AG368"/>
    <mergeCell ref="AH364:AH368"/>
    <mergeCell ref="AI364:AI368"/>
    <mergeCell ref="AJ364:AJ368"/>
    <mergeCell ref="AK364:AK368"/>
    <mergeCell ref="N365:N367"/>
    <mergeCell ref="O365:O367"/>
    <mergeCell ref="P365:P367"/>
    <mergeCell ref="Q365:Q367"/>
    <mergeCell ref="R365:R367"/>
    <mergeCell ref="S365:S367"/>
    <mergeCell ref="T365:T367"/>
    <mergeCell ref="U365:U367"/>
    <mergeCell ref="V365:V367"/>
    <mergeCell ref="W365:W367"/>
    <mergeCell ref="X365:X367"/>
    <mergeCell ref="Y365:Y367"/>
    <mergeCell ref="G364:G368"/>
    <mergeCell ref="H359:H363"/>
    <mergeCell ref="I359:I363"/>
    <mergeCell ref="J359:J363"/>
    <mergeCell ref="K359:K363"/>
    <mergeCell ref="L359:L363"/>
    <mergeCell ref="M359:M363"/>
    <mergeCell ref="AF359:AF363"/>
    <mergeCell ref="AG359:AG363"/>
    <mergeCell ref="AH359:AH363"/>
    <mergeCell ref="AI359:AI363"/>
    <mergeCell ref="AJ359:AJ363"/>
    <mergeCell ref="AK359:AK363"/>
    <mergeCell ref="N360:N362"/>
    <mergeCell ref="O360:O362"/>
    <mergeCell ref="P360:P362"/>
    <mergeCell ref="Q360:Q362"/>
    <mergeCell ref="R360:R362"/>
    <mergeCell ref="S360:S362"/>
    <mergeCell ref="T360:T362"/>
    <mergeCell ref="U360:U362"/>
    <mergeCell ref="V360:V362"/>
    <mergeCell ref="W360:W362"/>
    <mergeCell ref="X360:X362"/>
    <mergeCell ref="Y360:Y362"/>
    <mergeCell ref="G349:G353"/>
    <mergeCell ref="H354:H358"/>
    <mergeCell ref="I354:I358"/>
    <mergeCell ref="J354:J358"/>
    <mergeCell ref="K354:K358"/>
    <mergeCell ref="L354:L358"/>
    <mergeCell ref="M354:M358"/>
    <mergeCell ref="AF354:AF358"/>
    <mergeCell ref="AG354:AG358"/>
    <mergeCell ref="AH354:AH358"/>
    <mergeCell ref="AI354:AI358"/>
    <mergeCell ref="AJ354:AJ358"/>
    <mergeCell ref="AK354:AK358"/>
    <mergeCell ref="N355:N357"/>
    <mergeCell ref="O355:O357"/>
    <mergeCell ref="P355:P357"/>
    <mergeCell ref="Q355:Q357"/>
    <mergeCell ref="R355:R357"/>
    <mergeCell ref="S355:S357"/>
    <mergeCell ref="T355:T357"/>
    <mergeCell ref="U355:U357"/>
    <mergeCell ref="V355:V357"/>
    <mergeCell ref="W355:W357"/>
    <mergeCell ref="X355:X357"/>
    <mergeCell ref="Y355:Y357"/>
    <mergeCell ref="G354:G358"/>
    <mergeCell ref="H349:H353"/>
    <mergeCell ref="I349:I353"/>
    <mergeCell ref="J349:J353"/>
    <mergeCell ref="K349:K353"/>
    <mergeCell ref="L349:L353"/>
    <mergeCell ref="M349:M353"/>
    <mergeCell ref="AF349:AF353"/>
    <mergeCell ref="AG349:AG353"/>
    <mergeCell ref="AH349:AH353"/>
    <mergeCell ref="AI349:AI353"/>
    <mergeCell ref="AJ349:AJ353"/>
    <mergeCell ref="AK349:AK353"/>
    <mergeCell ref="N350:N352"/>
    <mergeCell ref="O350:O352"/>
    <mergeCell ref="P350:P352"/>
    <mergeCell ref="Q350:Q352"/>
    <mergeCell ref="R350:R352"/>
    <mergeCell ref="S350:S352"/>
    <mergeCell ref="T350:T352"/>
    <mergeCell ref="U350:U352"/>
    <mergeCell ref="V350:V352"/>
    <mergeCell ref="W350:W352"/>
    <mergeCell ref="X350:X352"/>
    <mergeCell ref="Y350:Y352"/>
    <mergeCell ref="G339:G343"/>
    <mergeCell ref="H344:H348"/>
    <mergeCell ref="I344:I348"/>
    <mergeCell ref="J344:J348"/>
    <mergeCell ref="K344:K348"/>
    <mergeCell ref="L344:L348"/>
    <mergeCell ref="M344:M348"/>
    <mergeCell ref="AF344:AF348"/>
    <mergeCell ref="AG344:AG348"/>
    <mergeCell ref="AH344:AH348"/>
    <mergeCell ref="AI344:AI348"/>
    <mergeCell ref="AJ344:AJ348"/>
    <mergeCell ref="AK344:AK348"/>
    <mergeCell ref="N345:N347"/>
    <mergeCell ref="O345:O347"/>
    <mergeCell ref="P345:P347"/>
    <mergeCell ref="Q345:Q347"/>
    <mergeCell ref="R345:R347"/>
    <mergeCell ref="S345:S347"/>
    <mergeCell ref="T345:T347"/>
    <mergeCell ref="U345:U347"/>
    <mergeCell ref="V345:V347"/>
    <mergeCell ref="W345:W347"/>
    <mergeCell ref="X345:X347"/>
    <mergeCell ref="Y345:Y347"/>
    <mergeCell ref="G344:G348"/>
    <mergeCell ref="H339:H343"/>
    <mergeCell ref="I339:I343"/>
    <mergeCell ref="J339:J343"/>
    <mergeCell ref="K339:K343"/>
    <mergeCell ref="L339:L343"/>
    <mergeCell ref="M339:M343"/>
    <mergeCell ref="AF339:AF343"/>
    <mergeCell ref="AG339:AG343"/>
    <mergeCell ref="AH339:AH343"/>
    <mergeCell ref="AI339:AI343"/>
    <mergeCell ref="AJ339:AJ343"/>
    <mergeCell ref="AK339:AK343"/>
    <mergeCell ref="N340:N342"/>
    <mergeCell ref="O340:O342"/>
    <mergeCell ref="P340:P342"/>
    <mergeCell ref="Q340:Q342"/>
    <mergeCell ref="R340:R342"/>
    <mergeCell ref="S340:S342"/>
    <mergeCell ref="T340:T342"/>
    <mergeCell ref="U340:U342"/>
    <mergeCell ref="V340:V342"/>
    <mergeCell ref="W340:W342"/>
    <mergeCell ref="X340:X342"/>
    <mergeCell ref="Y340:Y342"/>
    <mergeCell ref="G329:G333"/>
    <mergeCell ref="H334:H338"/>
    <mergeCell ref="I334:I338"/>
    <mergeCell ref="J334:J338"/>
    <mergeCell ref="K334:K338"/>
    <mergeCell ref="L334:L338"/>
    <mergeCell ref="M334:M338"/>
    <mergeCell ref="AF334:AF338"/>
    <mergeCell ref="AG334:AG338"/>
    <mergeCell ref="AH334:AH338"/>
    <mergeCell ref="AI334:AI338"/>
    <mergeCell ref="AJ334:AJ338"/>
    <mergeCell ref="AK334:AK338"/>
    <mergeCell ref="N335:N337"/>
    <mergeCell ref="O335:O337"/>
    <mergeCell ref="P335:P337"/>
    <mergeCell ref="Q335:Q337"/>
    <mergeCell ref="R335:R337"/>
    <mergeCell ref="S335:S337"/>
    <mergeCell ref="T335:T337"/>
    <mergeCell ref="U335:U337"/>
    <mergeCell ref="V335:V337"/>
    <mergeCell ref="W335:W337"/>
    <mergeCell ref="X335:X337"/>
    <mergeCell ref="Y335:Y337"/>
    <mergeCell ref="G334:G338"/>
    <mergeCell ref="H329:H333"/>
    <mergeCell ref="I329:I333"/>
    <mergeCell ref="J329:J333"/>
    <mergeCell ref="K329:K333"/>
    <mergeCell ref="L329:L333"/>
    <mergeCell ref="M329:M333"/>
    <mergeCell ref="AF329:AF333"/>
    <mergeCell ref="AG329:AG333"/>
    <mergeCell ref="AH329:AH333"/>
    <mergeCell ref="AI329:AI333"/>
    <mergeCell ref="AJ329:AJ333"/>
    <mergeCell ref="AK329:AK333"/>
    <mergeCell ref="N330:N332"/>
    <mergeCell ref="O330:O332"/>
    <mergeCell ref="P330:P332"/>
    <mergeCell ref="Q330:Q332"/>
    <mergeCell ref="R330:R332"/>
    <mergeCell ref="S330:S332"/>
    <mergeCell ref="T330:T332"/>
    <mergeCell ref="U330:U332"/>
    <mergeCell ref="V330:V332"/>
    <mergeCell ref="W330:W332"/>
    <mergeCell ref="X330:X332"/>
    <mergeCell ref="Y330:Y332"/>
    <mergeCell ref="G319:G323"/>
    <mergeCell ref="H324:H328"/>
    <mergeCell ref="I324:I328"/>
    <mergeCell ref="J324:J328"/>
    <mergeCell ref="K324:K328"/>
    <mergeCell ref="L324:L328"/>
    <mergeCell ref="M324:M328"/>
    <mergeCell ref="AF324:AF328"/>
    <mergeCell ref="AG324:AG328"/>
    <mergeCell ref="AH324:AH328"/>
    <mergeCell ref="AI324:AI328"/>
    <mergeCell ref="AJ324:AJ328"/>
    <mergeCell ref="AK324:AK328"/>
    <mergeCell ref="N325:N327"/>
    <mergeCell ref="O325:O327"/>
    <mergeCell ref="P325:P327"/>
    <mergeCell ref="Q325:Q327"/>
    <mergeCell ref="R325:R327"/>
    <mergeCell ref="S325:S327"/>
    <mergeCell ref="T325:T327"/>
    <mergeCell ref="U325:U327"/>
    <mergeCell ref="V325:V327"/>
    <mergeCell ref="W325:W327"/>
    <mergeCell ref="X325:X327"/>
    <mergeCell ref="Y325:Y327"/>
    <mergeCell ref="G324:G328"/>
    <mergeCell ref="H319:H323"/>
    <mergeCell ref="I319:I323"/>
    <mergeCell ref="J319:J323"/>
    <mergeCell ref="K319:K323"/>
    <mergeCell ref="L319:L323"/>
    <mergeCell ref="M319:M323"/>
    <mergeCell ref="AF319:AF323"/>
    <mergeCell ref="AG319:AG323"/>
    <mergeCell ref="AH319:AH323"/>
    <mergeCell ref="AI319:AI323"/>
    <mergeCell ref="AJ319:AJ323"/>
    <mergeCell ref="AK319:AK323"/>
    <mergeCell ref="N320:N322"/>
    <mergeCell ref="O320:O322"/>
    <mergeCell ref="P320:P322"/>
    <mergeCell ref="Q320:Q322"/>
    <mergeCell ref="R320:R322"/>
    <mergeCell ref="S320:S322"/>
    <mergeCell ref="T320:T322"/>
    <mergeCell ref="U320:U322"/>
    <mergeCell ref="V320:V322"/>
    <mergeCell ref="W320:W322"/>
    <mergeCell ref="X320:X322"/>
    <mergeCell ref="Y320:Y322"/>
    <mergeCell ref="G309:G313"/>
    <mergeCell ref="H314:H318"/>
    <mergeCell ref="I314:I318"/>
    <mergeCell ref="J314:J318"/>
    <mergeCell ref="K314:K318"/>
    <mergeCell ref="L314:L318"/>
    <mergeCell ref="M314:M318"/>
    <mergeCell ref="AF314:AF318"/>
    <mergeCell ref="AG314:AG318"/>
    <mergeCell ref="AH314:AH318"/>
    <mergeCell ref="AI314:AI318"/>
    <mergeCell ref="AJ314:AJ318"/>
    <mergeCell ref="AK314:AK318"/>
    <mergeCell ref="N315:N317"/>
    <mergeCell ref="O315:O317"/>
    <mergeCell ref="P315:P317"/>
    <mergeCell ref="Q315:Q317"/>
    <mergeCell ref="R315:R317"/>
    <mergeCell ref="S315:S317"/>
    <mergeCell ref="T315:T317"/>
    <mergeCell ref="U315:U317"/>
    <mergeCell ref="V315:V317"/>
    <mergeCell ref="W315:W317"/>
    <mergeCell ref="X315:X317"/>
    <mergeCell ref="Y315:Y317"/>
    <mergeCell ref="G314:G318"/>
    <mergeCell ref="M309:M313"/>
    <mergeCell ref="AF309:AF313"/>
    <mergeCell ref="AG309:AG313"/>
    <mergeCell ref="AH309:AH313"/>
    <mergeCell ref="AI309:AI313"/>
    <mergeCell ref="AJ309:AJ313"/>
    <mergeCell ref="AK309:AK313"/>
    <mergeCell ref="N310:N312"/>
    <mergeCell ref="O310:O312"/>
    <mergeCell ref="P310:P312"/>
    <mergeCell ref="Q310:Q312"/>
    <mergeCell ref="R310:R312"/>
    <mergeCell ref="S310:S312"/>
    <mergeCell ref="T310:T312"/>
    <mergeCell ref="U310:U312"/>
    <mergeCell ref="V310:V312"/>
    <mergeCell ref="W310:W312"/>
    <mergeCell ref="X310:X312"/>
    <mergeCell ref="Y310:Y312"/>
    <mergeCell ref="G293:G297"/>
    <mergeCell ref="H298:H302"/>
    <mergeCell ref="I298:I302"/>
    <mergeCell ref="J298:J302"/>
    <mergeCell ref="K298:K302"/>
    <mergeCell ref="L298:L302"/>
    <mergeCell ref="M298:M302"/>
    <mergeCell ref="AF298:AF302"/>
    <mergeCell ref="AG298:AG302"/>
    <mergeCell ref="AH298:AH302"/>
    <mergeCell ref="AI298:AI302"/>
    <mergeCell ref="AJ298:AJ302"/>
    <mergeCell ref="AK298:AK302"/>
    <mergeCell ref="N299:N301"/>
    <mergeCell ref="O299:O301"/>
    <mergeCell ref="P299:P301"/>
    <mergeCell ref="Q299:Q301"/>
    <mergeCell ref="R299:R301"/>
    <mergeCell ref="S299:S301"/>
    <mergeCell ref="T299:T301"/>
    <mergeCell ref="U299:U301"/>
    <mergeCell ref="V299:V301"/>
    <mergeCell ref="W299:W301"/>
    <mergeCell ref="X299:X301"/>
    <mergeCell ref="Y299:Y301"/>
    <mergeCell ref="G298:G302"/>
    <mergeCell ref="H293:H297"/>
    <mergeCell ref="I293:I297"/>
    <mergeCell ref="J293:J297"/>
    <mergeCell ref="K293:K297"/>
    <mergeCell ref="L293:L297"/>
    <mergeCell ref="M293:M297"/>
    <mergeCell ref="AF293:AF297"/>
    <mergeCell ref="AG293:AG297"/>
    <mergeCell ref="AH293:AH297"/>
    <mergeCell ref="AI293:AI297"/>
    <mergeCell ref="AJ293:AJ297"/>
    <mergeCell ref="AK293:AK297"/>
    <mergeCell ref="N294:N296"/>
    <mergeCell ref="O294:O296"/>
    <mergeCell ref="P294:P296"/>
    <mergeCell ref="Q294:Q296"/>
    <mergeCell ref="R294:R296"/>
    <mergeCell ref="S294:S296"/>
    <mergeCell ref="T294:T296"/>
    <mergeCell ref="U294:U296"/>
    <mergeCell ref="V294:V296"/>
    <mergeCell ref="W294:W296"/>
    <mergeCell ref="X294:X296"/>
    <mergeCell ref="Y294:Y296"/>
    <mergeCell ref="G283:G287"/>
    <mergeCell ref="H288:H292"/>
    <mergeCell ref="I288:I292"/>
    <mergeCell ref="J288:J292"/>
    <mergeCell ref="K288:K292"/>
    <mergeCell ref="L288:L292"/>
    <mergeCell ref="M288:M292"/>
    <mergeCell ref="AF288:AF292"/>
    <mergeCell ref="AG288:AG292"/>
    <mergeCell ref="AH288:AH292"/>
    <mergeCell ref="AI288:AI292"/>
    <mergeCell ref="AJ288:AJ292"/>
    <mergeCell ref="AK288:AK292"/>
    <mergeCell ref="N289:N291"/>
    <mergeCell ref="O289:O291"/>
    <mergeCell ref="P289:P291"/>
    <mergeCell ref="Q289:Q291"/>
    <mergeCell ref="R289:R291"/>
    <mergeCell ref="S289:S291"/>
    <mergeCell ref="T289:T291"/>
    <mergeCell ref="U289:U291"/>
    <mergeCell ref="V289:V291"/>
    <mergeCell ref="W289:W291"/>
    <mergeCell ref="X289:X291"/>
    <mergeCell ref="Y289:Y291"/>
    <mergeCell ref="G288:G292"/>
    <mergeCell ref="H283:H287"/>
    <mergeCell ref="I283:I287"/>
    <mergeCell ref="J283:J287"/>
    <mergeCell ref="K283:K287"/>
    <mergeCell ref="L283:L287"/>
    <mergeCell ref="M283:M287"/>
    <mergeCell ref="AF283:AF287"/>
    <mergeCell ref="AG283:AG287"/>
    <mergeCell ref="AH283:AH287"/>
    <mergeCell ref="AI283:AI287"/>
    <mergeCell ref="AJ283:AJ287"/>
    <mergeCell ref="AK283:AK287"/>
    <mergeCell ref="N284:N286"/>
    <mergeCell ref="O284:O286"/>
    <mergeCell ref="P284:P286"/>
    <mergeCell ref="Q284:Q286"/>
    <mergeCell ref="R284:R286"/>
    <mergeCell ref="S284:S286"/>
    <mergeCell ref="T284:T286"/>
    <mergeCell ref="U284:U286"/>
    <mergeCell ref="V284:V286"/>
    <mergeCell ref="W284:W286"/>
    <mergeCell ref="X284:X286"/>
    <mergeCell ref="Y284:Y286"/>
    <mergeCell ref="G273:G277"/>
    <mergeCell ref="H278:H282"/>
    <mergeCell ref="I278:I282"/>
    <mergeCell ref="J278:J282"/>
    <mergeCell ref="K278:K282"/>
    <mergeCell ref="L278:L282"/>
    <mergeCell ref="M278:M282"/>
    <mergeCell ref="AF278:AF282"/>
    <mergeCell ref="AG278:AG282"/>
    <mergeCell ref="AH278:AH282"/>
    <mergeCell ref="AI278:AI282"/>
    <mergeCell ref="AJ278:AJ282"/>
    <mergeCell ref="AK278:AK282"/>
    <mergeCell ref="N279:N281"/>
    <mergeCell ref="O279:O281"/>
    <mergeCell ref="P279:P281"/>
    <mergeCell ref="Q279:Q281"/>
    <mergeCell ref="R279:R281"/>
    <mergeCell ref="S279:S281"/>
    <mergeCell ref="T279:T281"/>
    <mergeCell ref="U279:U281"/>
    <mergeCell ref="V279:V281"/>
    <mergeCell ref="W279:W281"/>
    <mergeCell ref="X279:X281"/>
    <mergeCell ref="Y279:Y281"/>
    <mergeCell ref="G278:G282"/>
    <mergeCell ref="H273:H277"/>
    <mergeCell ref="I273:I277"/>
    <mergeCell ref="J273:J277"/>
    <mergeCell ref="K273:K277"/>
    <mergeCell ref="L273:L277"/>
    <mergeCell ref="M273:M277"/>
    <mergeCell ref="AF273:AF277"/>
    <mergeCell ref="AG273:AG277"/>
    <mergeCell ref="AH273:AH277"/>
    <mergeCell ref="AI273:AI277"/>
    <mergeCell ref="AJ273:AJ277"/>
    <mergeCell ref="AK273:AK277"/>
    <mergeCell ref="N274:N276"/>
    <mergeCell ref="O274:O276"/>
    <mergeCell ref="P274:P276"/>
    <mergeCell ref="Q274:Q276"/>
    <mergeCell ref="R274:R276"/>
    <mergeCell ref="S274:S276"/>
    <mergeCell ref="T274:T276"/>
    <mergeCell ref="U274:U276"/>
    <mergeCell ref="V274:V276"/>
    <mergeCell ref="W274:W276"/>
    <mergeCell ref="X274:X276"/>
    <mergeCell ref="Y274:Y276"/>
    <mergeCell ref="G263:G267"/>
    <mergeCell ref="H268:H272"/>
    <mergeCell ref="I268:I272"/>
    <mergeCell ref="J268:J272"/>
    <mergeCell ref="K268:K272"/>
    <mergeCell ref="L268:L272"/>
    <mergeCell ref="M268:M272"/>
    <mergeCell ref="AF268:AF272"/>
    <mergeCell ref="AG268:AG272"/>
    <mergeCell ref="AH268:AH272"/>
    <mergeCell ref="AI268:AI272"/>
    <mergeCell ref="AJ268:AJ272"/>
    <mergeCell ref="AK268:AK272"/>
    <mergeCell ref="N269:N271"/>
    <mergeCell ref="O269:O271"/>
    <mergeCell ref="P269:P271"/>
    <mergeCell ref="Q269:Q271"/>
    <mergeCell ref="R269:R271"/>
    <mergeCell ref="S269:S271"/>
    <mergeCell ref="T269:T271"/>
    <mergeCell ref="U269:U271"/>
    <mergeCell ref="V269:V271"/>
    <mergeCell ref="W269:W271"/>
    <mergeCell ref="X269:X271"/>
    <mergeCell ref="Y269:Y271"/>
    <mergeCell ref="G268:G272"/>
    <mergeCell ref="H263:H267"/>
    <mergeCell ref="I263:I267"/>
    <mergeCell ref="J263:J267"/>
    <mergeCell ref="K263:K267"/>
    <mergeCell ref="L263:L267"/>
    <mergeCell ref="M263:M267"/>
    <mergeCell ref="AF263:AF267"/>
    <mergeCell ref="AG263:AG267"/>
    <mergeCell ref="AH263:AH267"/>
    <mergeCell ref="AI263:AI267"/>
    <mergeCell ref="AJ263:AJ267"/>
    <mergeCell ref="AK263:AK267"/>
    <mergeCell ref="N264:N266"/>
    <mergeCell ref="O264:O266"/>
    <mergeCell ref="P264:P266"/>
    <mergeCell ref="Q264:Q266"/>
    <mergeCell ref="R264:R266"/>
    <mergeCell ref="S264:S266"/>
    <mergeCell ref="T264:T266"/>
    <mergeCell ref="U264:U266"/>
    <mergeCell ref="V264:V266"/>
    <mergeCell ref="W264:W266"/>
    <mergeCell ref="X264:X266"/>
    <mergeCell ref="Y264:Y266"/>
    <mergeCell ref="G253:G257"/>
    <mergeCell ref="H258:H262"/>
    <mergeCell ref="I258:I262"/>
    <mergeCell ref="J258:J262"/>
    <mergeCell ref="K258:K262"/>
    <mergeCell ref="L258:L262"/>
    <mergeCell ref="M258:M262"/>
    <mergeCell ref="AF258:AF262"/>
    <mergeCell ref="AG258:AG262"/>
    <mergeCell ref="AH258:AH262"/>
    <mergeCell ref="AI258:AI262"/>
    <mergeCell ref="AJ258:AJ262"/>
    <mergeCell ref="AK258:AK262"/>
    <mergeCell ref="N259:N261"/>
    <mergeCell ref="O259:O261"/>
    <mergeCell ref="P259:P261"/>
    <mergeCell ref="Q259:Q261"/>
    <mergeCell ref="R259:R261"/>
    <mergeCell ref="S259:S261"/>
    <mergeCell ref="T259:T261"/>
    <mergeCell ref="U259:U261"/>
    <mergeCell ref="V259:V261"/>
    <mergeCell ref="W259:W261"/>
    <mergeCell ref="X259:X261"/>
    <mergeCell ref="Y259:Y261"/>
    <mergeCell ref="G258:G262"/>
    <mergeCell ref="H253:H257"/>
    <mergeCell ref="I253:I257"/>
    <mergeCell ref="J253:J257"/>
    <mergeCell ref="K253:K257"/>
    <mergeCell ref="L253:L257"/>
    <mergeCell ref="M253:M257"/>
    <mergeCell ref="AF253:AF257"/>
    <mergeCell ref="AG253:AG257"/>
    <mergeCell ref="AH253:AH257"/>
    <mergeCell ref="AI253:AI257"/>
    <mergeCell ref="AJ253:AJ257"/>
    <mergeCell ref="AK253:AK257"/>
    <mergeCell ref="N254:N256"/>
    <mergeCell ref="O254:O256"/>
    <mergeCell ref="P254:P256"/>
    <mergeCell ref="Q254:Q256"/>
    <mergeCell ref="R254:R256"/>
    <mergeCell ref="S254:S256"/>
    <mergeCell ref="T254:T256"/>
    <mergeCell ref="U254:U256"/>
    <mergeCell ref="V254:V256"/>
    <mergeCell ref="W254:W256"/>
    <mergeCell ref="X254:X256"/>
    <mergeCell ref="Y254:Y256"/>
    <mergeCell ref="G243:G247"/>
    <mergeCell ref="H248:H252"/>
    <mergeCell ref="I248:I252"/>
    <mergeCell ref="J248:J252"/>
    <mergeCell ref="K248:K252"/>
    <mergeCell ref="L248:L252"/>
    <mergeCell ref="M248:M252"/>
    <mergeCell ref="AF248:AF252"/>
    <mergeCell ref="AG248:AG252"/>
    <mergeCell ref="AH248:AH252"/>
    <mergeCell ref="AI248:AI252"/>
    <mergeCell ref="AJ248:AJ252"/>
    <mergeCell ref="AK248:AK252"/>
    <mergeCell ref="N249:N251"/>
    <mergeCell ref="O249:O251"/>
    <mergeCell ref="P249:P251"/>
    <mergeCell ref="Q249:Q251"/>
    <mergeCell ref="R249:R251"/>
    <mergeCell ref="S249:S251"/>
    <mergeCell ref="T249:T251"/>
    <mergeCell ref="U249:U251"/>
    <mergeCell ref="V249:V251"/>
    <mergeCell ref="W249:W251"/>
    <mergeCell ref="X249:X251"/>
    <mergeCell ref="Y249:Y251"/>
    <mergeCell ref="G248:G252"/>
    <mergeCell ref="H243:H247"/>
    <mergeCell ref="I243:I247"/>
    <mergeCell ref="J243:J247"/>
    <mergeCell ref="K243:K247"/>
    <mergeCell ref="L243:L247"/>
    <mergeCell ref="M243:M247"/>
    <mergeCell ref="AF243:AF247"/>
    <mergeCell ref="AG243:AG247"/>
    <mergeCell ref="AH243:AH247"/>
    <mergeCell ref="AI243:AI247"/>
    <mergeCell ref="AJ243:AJ247"/>
    <mergeCell ref="AK243:AK247"/>
    <mergeCell ref="N244:N246"/>
    <mergeCell ref="O244:O246"/>
    <mergeCell ref="P244:P246"/>
    <mergeCell ref="Q244:Q246"/>
    <mergeCell ref="R244:R246"/>
    <mergeCell ref="S244:S246"/>
    <mergeCell ref="T244:T246"/>
    <mergeCell ref="U244:U246"/>
    <mergeCell ref="V244:V246"/>
    <mergeCell ref="W244:W246"/>
    <mergeCell ref="X244:X246"/>
    <mergeCell ref="Y244:Y246"/>
    <mergeCell ref="G233:G237"/>
    <mergeCell ref="H238:H242"/>
    <mergeCell ref="I238:I242"/>
    <mergeCell ref="J238:J242"/>
    <mergeCell ref="K238:K242"/>
    <mergeCell ref="L238:L242"/>
    <mergeCell ref="M238:M242"/>
    <mergeCell ref="AF238:AF242"/>
    <mergeCell ref="AG238:AG242"/>
    <mergeCell ref="AH238:AH242"/>
    <mergeCell ref="AI238:AI242"/>
    <mergeCell ref="AJ238:AJ242"/>
    <mergeCell ref="AK238:AK242"/>
    <mergeCell ref="N239:N241"/>
    <mergeCell ref="O239:O241"/>
    <mergeCell ref="P239:P241"/>
    <mergeCell ref="Q239:Q241"/>
    <mergeCell ref="R239:R241"/>
    <mergeCell ref="S239:S241"/>
    <mergeCell ref="T239:T241"/>
    <mergeCell ref="U239:U241"/>
    <mergeCell ref="V239:V241"/>
    <mergeCell ref="W239:W241"/>
    <mergeCell ref="X239:X241"/>
    <mergeCell ref="Y239:Y241"/>
    <mergeCell ref="G238:G242"/>
    <mergeCell ref="M233:M237"/>
    <mergeCell ref="AF233:AF237"/>
    <mergeCell ref="AG233:AG237"/>
    <mergeCell ref="AH233:AH237"/>
    <mergeCell ref="AI233:AI237"/>
    <mergeCell ref="AJ233:AJ237"/>
    <mergeCell ref="AK233:AK237"/>
    <mergeCell ref="N234:N236"/>
    <mergeCell ref="O234:O236"/>
    <mergeCell ref="P234:P236"/>
    <mergeCell ref="Q234:Q236"/>
    <mergeCell ref="R234:R236"/>
    <mergeCell ref="S234:S236"/>
    <mergeCell ref="T234:T236"/>
    <mergeCell ref="U234:U236"/>
    <mergeCell ref="V234:V236"/>
    <mergeCell ref="W234:W236"/>
    <mergeCell ref="X234:X236"/>
    <mergeCell ref="Y234:Y236"/>
    <mergeCell ref="G217:G221"/>
    <mergeCell ref="H222:H226"/>
    <mergeCell ref="I222:I226"/>
    <mergeCell ref="J222:J226"/>
    <mergeCell ref="K222:K226"/>
    <mergeCell ref="L222:L226"/>
    <mergeCell ref="M222:M226"/>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22:G22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07:G211"/>
    <mergeCell ref="H212:H216"/>
    <mergeCell ref="I212:I216"/>
    <mergeCell ref="J212:J216"/>
    <mergeCell ref="K212:K216"/>
    <mergeCell ref="L212:L216"/>
    <mergeCell ref="M212:M216"/>
    <mergeCell ref="AF212:AF216"/>
    <mergeCell ref="AG212:AG216"/>
    <mergeCell ref="AH212:AH216"/>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212:G216"/>
    <mergeCell ref="H207:H211"/>
    <mergeCell ref="I207:I211"/>
    <mergeCell ref="J207:J211"/>
    <mergeCell ref="K207:K211"/>
    <mergeCell ref="L207:L211"/>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197:G201"/>
    <mergeCell ref="H202:H206"/>
    <mergeCell ref="I202:I206"/>
    <mergeCell ref="J202:J206"/>
    <mergeCell ref="K202:K206"/>
    <mergeCell ref="L202:L206"/>
    <mergeCell ref="M202:M206"/>
    <mergeCell ref="AF202:AF206"/>
    <mergeCell ref="AG202:AG206"/>
    <mergeCell ref="AH202:AH206"/>
    <mergeCell ref="AI202:AI206"/>
    <mergeCell ref="AJ202:AJ206"/>
    <mergeCell ref="AK202:AK206"/>
    <mergeCell ref="N203:N205"/>
    <mergeCell ref="O203:O205"/>
    <mergeCell ref="P203:P205"/>
    <mergeCell ref="Q203:Q205"/>
    <mergeCell ref="R203:R205"/>
    <mergeCell ref="S203:S205"/>
    <mergeCell ref="T203:T205"/>
    <mergeCell ref="U203:U205"/>
    <mergeCell ref="V203:V205"/>
    <mergeCell ref="W203:W205"/>
    <mergeCell ref="X203:X205"/>
    <mergeCell ref="Y203:Y205"/>
    <mergeCell ref="G202:G206"/>
    <mergeCell ref="H197:H201"/>
    <mergeCell ref="I197:I201"/>
    <mergeCell ref="J197:J201"/>
    <mergeCell ref="K197:K201"/>
    <mergeCell ref="L197:L201"/>
    <mergeCell ref="M197:M201"/>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G187:G191"/>
    <mergeCell ref="H192:H196"/>
    <mergeCell ref="I192:I196"/>
    <mergeCell ref="J192:J196"/>
    <mergeCell ref="K192:K196"/>
    <mergeCell ref="L192:L196"/>
    <mergeCell ref="M192:M196"/>
    <mergeCell ref="AF192:AF196"/>
    <mergeCell ref="AG192:AG196"/>
    <mergeCell ref="AH192:AH196"/>
    <mergeCell ref="AI192:AI196"/>
    <mergeCell ref="AJ192:AJ196"/>
    <mergeCell ref="AK192:AK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92:G196"/>
    <mergeCell ref="H187:H191"/>
    <mergeCell ref="I187:I191"/>
    <mergeCell ref="J187:J191"/>
    <mergeCell ref="K187:K191"/>
    <mergeCell ref="L187:L191"/>
    <mergeCell ref="M187:M191"/>
    <mergeCell ref="AF187:AF191"/>
    <mergeCell ref="AG187:AG191"/>
    <mergeCell ref="AH187:AH191"/>
    <mergeCell ref="AI187:AI191"/>
    <mergeCell ref="AJ187:AJ191"/>
    <mergeCell ref="AK187:AK191"/>
    <mergeCell ref="N188:N190"/>
    <mergeCell ref="O188:O190"/>
    <mergeCell ref="P188:P190"/>
    <mergeCell ref="Q188:Q190"/>
    <mergeCell ref="R188:R190"/>
    <mergeCell ref="S188:S190"/>
    <mergeCell ref="T188:T190"/>
    <mergeCell ref="U188:U190"/>
    <mergeCell ref="V188:V190"/>
    <mergeCell ref="W188:W190"/>
    <mergeCell ref="X188:X190"/>
    <mergeCell ref="Y188:Y190"/>
    <mergeCell ref="G177:G181"/>
    <mergeCell ref="H182:H186"/>
    <mergeCell ref="I182:I186"/>
    <mergeCell ref="J182:J186"/>
    <mergeCell ref="K182:K186"/>
    <mergeCell ref="L182:L186"/>
    <mergeCell ref="M182:M186"/>
    <mergeCell ref="AF182:AF186"/>
    <mergeCell ref="AG182:AG186"/>
    <mergeCell ref="AH182:AH186"/>
    <mergeCell ref="AI182:AI186"/>
    <mergeCell ref="AJ182:AJ186"/>
    <mergeCell ref="AK182:AK186"/>
    <mergeCell ref="N183:N185"/>
    <mergeCell ref="O183:O185"/>
    <mergeCell ref="P183:P185"/>
    <mergeCell ref="Q183:Q185"/>
    <mergeCell ref="R183:R185"/>
    <mergeCell ref="S183:S185"/>
    <mergeCell ref="T183:T185"/>
    <mergeCell ref="U183:U185"/>
    <mergeCell ref="V183:V185"/>
    <mergeCell ref="W183:W185"/>
    <mergeCell ref="X183:X185"/>
    <mergeCell ref="Y183:Y185"/>
    <mergeCell ref="G182:G186"/>
    <mergeCell ref="H177:H181"/>
    <mergeCell ref="I177:I181"/>
    <mergeCell ref="J177:J181"/>
    <mergeCell ref="K177:K181"/>
    <mergeCell ref="L177:L181"/>
    <mergeCell ref="M177:M181"/>
    <mergeCell ref="AF177:AF181"/>
    <mergeCell ref="AG177:AG181"/>
    <mergeCell ref="AH177:AH181"/>
    <mergeCell ref="AI177:AI181"/>
    <mergeCell ref="AJ177:AJ181"/>
    <mergeCell ref="AK177:AK181"/>
    <mergeCell ref="N178:N180"/>
    <mergeCell ref="O178:O180"/>
    <mergeCell ref="P178:P180"/>
    <mergeCell ref="Q178:Q180"/>
    <mergeCell ref="R178:R180"/>
    <mergeCell ref="S178:S180"/>
    <mergeCell ref="T178:T180"/>
    <mergeCell ref="U178:U180"/>
    <mergeCell ref="V178:V180"/>
    <mergeCell ref="W178:W180"/>
    <mergeCell ref="X178:X180"/>
    <mergeCell ref="Y178:Y180"/>
    <mergeCell ref="G167:G171"/>
    <mergeCell ref="H172:H176"/>
    <mergeCell ref="I172:I176"/>
    <mergeCell ref="J172:J176"/>
    <mergeCell ref="K172:K176"/>
    <mergeCell ref="L172:L176"/>
    <mergeCell ref="M172:M176"/>
    <mergeCell ref="AF172:AF176"/>
    <mergeCell ref="AG172:AG176"/>
    <mergeCell ref="AH172:AH176"/>
    <mergeCell ref="AI172:AI176"/>
    <mergeCell ref="AJ172:AJ176"/>
    <mergeCell ref="AK172:AK176"/>
    <mergeCell ref="N173:N175"/>
    <mergeCell ref="O173:O175"/>
    <mergeCell ref="P173:P175"/>
    <mergeCell ref="Q173:Q175"/>
    <mergeCell ref="R173:R175"/>
    <mergeCell ref="S173:S175"/>
    <mergeCell ref="T173:T175"/>
    <mergeCell ref="U173:U175"/>
    <mergeCell ref="V173:V175"/>
    <mergeCell ref="W173:W175"/>
    <mergeCell ref="X173:X175"/>
    <mergeCell ref="Y173:Y175"/>
    <mergeCell ref="G172:G176"/>
    <mergeCell ref="M167:M171"/>
    <mergeCell ref="AF167:AF171"/>
    <mergeCell ref="AG167:AG171"/>
    <mergeCell ref="AH167:AH171"/>
    <mergeCell ref="AI167:AI171"/>
    <mergeCell ref="AJ167:AJ171"/>
    <mergeCell ref="AK167:AK171"/>
    <mergeCell ref="N168:N170"/>
    <mergeCell ref="O168:O170"/>
    <mergeCell ref="P168:P170"/>
    <mergeCell ref="Q168:Q170"/>
    <mergeCell ref="R168:R170"/>
    <mergeCell ref="S168:S170"/>
    <mergeCell ref="T168:T170"/>
    <mergeCell ref="U168:U170"/>
    <mergeCell ref="V168:V170"/>
    <mergeCell ref="W168:W170"/>
    <mergeCell ref="X168:X170"/>
    <mergeCell ref="Y168:Y170"/>
    <mergeCell ref="G151:G155"/>
    <mergeCell ref="H162:H166"/>
    <mergeCell ref="I162:I166"/>
    <mergeCell ref="J162:J166"/>
    <mergeCell ref="K162:K166"/>
    <mergeCell ref="L162:L166"/>
    <mergeCell ref="M162:M166"/>
    <mergeCell ref="AF162:AF166"/>
    <mergeCell ref="AG162:AG166"/>
    <mergeCell ref="AH162:AH166"/>
    <mergeCell ref="AI162:AI166"/>
    <mergeCell ref="AJ162:AJ166"/>
    <mergeCell ref="AK162:AK166"/>
    <mergeCell ref="N163:N165"/>
    <mergeCell ref="O163:O165"/>
    <mergeCell ref="P163:P165"/>
    <mergeCell ref="Q163:Q165"/>
    <mergeCell ref="R163:R165"/>
    <mergeCell ref="S163:S165"/>
    <mergeCell ref="T163:T165"/>
    <mergeCell ref="U163:U165"/>
    <mergeCell ref="V163:V165"/>
    <mergeCell ref="W163:W165"/>
    <mergeCell ref="X163:X165"/>
    <mergeCell ref="Y163:Y165"/>
    <mergeCell ref="G162:G166"/>
    <mergeCell ref="H151:H155"/>
    <mergeCell ref="I151:I155"/>
    <mergeCell ref="J151:J155"/>
    <mergeCell ref="K151:K155"/>
    <mergeCell ref="L151:L155"/>
    <mergeCell ref="M151:M155"/>
    <mergeCell ref="AF151:AF155"/>
    <mergeCell ref="AG151:AG155"/>
    <mergeCell ref="AH151:AH155"/>
    <mergeCell ref="AI151:AI155"/>
    <mergeCell ref="AJ151:AJ155"/>
    <mergeCell ref="AK151:AK155"/>
    <mergeCell ref="N152:N154"/>
    <mergeCell ref="O152:O154"/>
    <mergeCell ref="P152:P154"/>
    <mergeCell ref="Q152:Q154"/>
    <mergeCell ref="R152:R154"/>
    <mergeCell ref="S152:S154"/>
    <mergeCell ref="T152:T154"/>
    <mergeCell ref="U152:U154"/>
    <mergeCell ref="V152:V154"/>
    <mergeCell ref="W152:W154"/>
    <mergeCell ref="X152:X154"/>
    <mergeCell ref="Y152:Y154"/>
    <mergeCell ref="G141:G145"/>
    <mergeCell ref="H146:H150"/>
    <mergeCell ref="I146:I150"/>
    <mergeCell ref="J146:J150"/>
    <mergeCell ref="K146:K150"/>
    <mergeCell ref="L146:L150"/>
    <mergeCell ref="M146:M150"/>
    <mergeCell ref="AF146:AF150"/>
    <mergeCell ref="AG146:AG150"/>
    <mergeCell ref="AH146:AH150"/>
    <mergeCell ref="AI146:AI150"/>
    <mergeCell ref="AJ146:AJ150"/>
    <mergeCell ref="AK146:AK150"/>
    <mergeCell ref="N147:N149"/>
    <mergeCell ref="O147:O149"/>
    <mergeCell ref="P147:P149"/>
    <mergeCell ref="Q147:Q149"/>
    <mergeCell ref="R147:R149"/>
    <mergeCell ref="S147:S149"/>
    <mergeCell ref="T147:T149"/>
    <mergeCell ref="U147:U149"/>
    <mergeCell ref="V147:V149"/>
    <mergeCell ref="W147:W149"/>
    <mergeCell ref="X147:X149"/>
    <mergeCell ref="Y147:Y149"/>
    <mergeCell ref="G146:G150"/>
    <mergeCell ref="H141:H145"/>
    <mergeCell ref="I141:I145"/>
    <mergeCell ref="J141:J145"/>
    <mergeCell ref="K141:K145"/>
    <mergeCell ref="L141:L145"/>
    <mergeCell ref="M141:M145"/>
    <mergeCell ref="AF141:AF145"/>
    <mergeCell ref="AG141:AG145"/>
    <mergeCell ref="AH141:AH145"/>
    <mergeCell ref="AI141:AI145"/>
    <mergeCell ref="AJ141:AJ145"/>
    <mergeCell ref="AK141:AK145"/>
    <mergeCell ref="N142:N144"/>
    <mergeCell ref="O142:O144"/>
    <mergeCell ref="P142:P144"/>
    <mergeCell ref="Q142:Q144"/>
    <mergeCell ref="R142:R144"/>
    <mergeCell ref="S142:S144"/>
    <mergeCell ref="T142:T144"/>
    <mergeCell ref="U142:U144"/>
    <mergeCell ref="V142:V144"/>
    <mergeCell ref="W142:W144"/>
    <mergeCell ref="X142:X144"/>
    <mergeCell ref="Y142:Y144"/>
    <mergeCell ref="G131:G135"/>
    <mergeCell ref="H136:H140"/>
    <mergeCell ref="I136:I140"/>
    <mergeCell ref="J136:J140"/>
    <mergeCell ref="K136:K140"/>
    <mergeCell ref="L136:L140"/>
    <mergeCell ref="M136:M140"/>
    <mergeCell ref="AF136:AF140"/>
    <mergeCell ref="AG136:AG140"/>
    <mergeCell ref="AH136:AH140"/>
    <mergeCell ref="AI136:AI140"/>
    <mergeCell ref="AJ136:AJ140"/>
    <mergeCell ref="AK136:AK140"/>
    <mergeCell ref="N137:N139"/>
    <mergeCell ref="O137:O139"/>
    <mergeCell ref="P137:P139"/>
    <mergeCell ref="Q137:Q139"/>
    <mergeCell ref="R137:R139"/>
    <mergeCell ref="S137:S139"/>
    <mergeCell ref="T137:T139"/>
    <mergeCell ref="U137:U139"/>
    <mergeCell ref="V137:V139"/>
    <mergeCell ref="W137:W139"/>
    <mergeCell ref="X137:X139"/>
    <mergeCell ref="Y137:Y139"/>
    <mergeCell ref="G136:G140"/>
    <mergeCell ref="H131:H135"/>
    <mergeCell ref="I131:I135"/>
    <mergeCell ref="J131:J135"/>
    <mergeCell ref="K131:K135"/>
    <mergeCell ref="L131:L135"/>
    <mergeCell ref="M131:M135"/>
    <mergeCell ref="AF131:AF135"/>
    <mergeCell ref="AG131:AG135"/>
    <mergeCell ref="AH131:AH135"/>
    <mergeCell ref="AI131:AI135"/>
    <mergeCell ref="AJ131:AJ135"/>
    <mergeCell ref="AK131:AK135"/>
    <mergeCell ref="N132:N134"/>
    <mergeCell ref="O132:O134"/>
    <mergeCell ref="P132:P134"/>
    <mergeCell ref="Q132:Q134"/>
    <mergeCell ref="R132:R134"/>
    <mergeCell ref="S132:S134"/>
    <mergeCell ref="T132:T134"/>
    <mergeCell ref="U132:U134"/>
    <mergeCell ref="V132:V134"/>
    <mergeCell ref="W132:W134"/>
    <mergeCell ref="X132:X134"/>
    <mergeCell ref="Y132:Y134"/>
    <mergeCell ref="G121:G125"/>
    <mergeCell ref="H126:H130"/>
    <mergeCell ref="I126:I130"/>
    <mergeCell ref="J126:J130"/>
    <mergeCell ref="K126:K130"/>
    <mergeCell ref="L126:L130"/>
    <mergeCell ref="M126:M130"/>
    <mergeCell ref="AF126:AF130"/>
    <mergeCell ref="AG126:AG130"/>
    <mergeCell ref="AH126:AH130"/>
    <mergeCell ref="AI126:AI130"/>
    <mergeCell ref="AJ126:AJ130"/>
    <mergeCell ref="AK126:AK130"/>
    <mergeCell ref="N127:N129"/>
    <mergeCell ref="O127:O129"/>
    <mergeCell ref="P127:P129"/>
    <mergeCell ref="Q127:Q129"/>
    <mergeCell ref="R127:R129"/>
    <mergeCell ref="S127:S129"/>
    <mergeCell ref="T127:T129"/>
    <mergeCell ref="U127:U129"/>
    <mergeCell ref="V127:V129"/>
    <mergeCell ref="W127:W129"/>
    <mergeCell ref="X127:X129"/>
    <mergeCell ref="Y127:Y129"/>
    <mergeCell ref="G126:G130"/>
    <mergeCell ref="H121:H125"/>
    <mergeCell ref="I121:I125"/>
    <mergeCell ref="J121:J125"/>
    <mergeCell ref="K121:K125"/>
    <mergeCell ref="L121:L125"/>
    <mergeCell ref="M121:M125"/>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G111:G115"/>
    <mergeCell ref="H116:H120"/>
    <mergeCell ref="I116:I120"/>
    <mergeCell ref="J116:J120"/>
    <mergeCell ref="K116:K120"/>
    <mergeCell ref="L116:L120"/>
    <mergeCell ref="M116:M120"/>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G116:G120"/>
    <mergeCell ref="M111:M115"/>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G95:G99"/>
    <mergeCell ref="H100:H104"/>
    <mergeCell ref="I100:I104"/>
    <mergeCell ref="J100:J104"/>
    <mergeCell ref="K100:K104"/>
    <mergeCell ref="L100:L104"/>
    <mergeCell ref="M100:M104"/>
    <mergeCell ref="AF100:AF104"/>
    <mergeCell ref="AG100:AG104"/>
    <mergeCell ref="AH100:AH104"/>
    <mergeCell ref="AI100:AI104"/>
    <mergeCell ref="AJ100:AJ104"/>
    <mergeCell ref="AK100:AK104"/>
    <mergeCell ref="N101:N103"/>
    <mergeCell ref="O101:O103"/>
    <mergeCell ref="P101:P103"/>
    <mergeCell ref="Q101:Q103"/>
    <mergeCell ref="R101:R103"/>
    <mergeCell ref="S101:S103"/>
    <mergeCell ref="T101:T103"/>
    <mergeCell ref="U101:U103"/>
    <mergeCell ref="V101:V103"/>
    <mergeCell ref="W101:W103"/>
    <mergeCell ref="X101:X103"/>
    <mergeCell ref="Y101:Y103"/>
    <mergeCell ref="G100:G104"/>
    <mergeCell ref="H95:H99"/>
    <mergeCell ref="I95:I99"/>
    <mergeCell ref="J95:J99"/>
    <mergeCell ref="K95:K99"/>
    <mergeCell ref="L95:L99"/>
    <mergeCell ref="M95:M99"/>
    <mergeCell ref="AF95:AF99"/>
    <mergeCell ref="AG95:AG99"/>
    <mergeCell ref="AH95:AH99"/>
    <mergeCell ref="AI95:AI99"/>
    <mergeCell ref="AJ95:AJ99"/>
    <mergeCell ref="AK95:AK99"/>
    <mergeCell ref="N96:N98"/>
    <mergeCell ref="O96:O98"/>
    <mergeCell ref="P96:P98"/>
    <mergeCell ref="Q96:Q98"/>
    <mergeCell ref="R96:R98"/>
    <mergeCell ref="S96:S98"/>
    <mergeCell ref="T96:T98"/>
    <mergeCell ref="U96:U98"/>
    <mergeCell ref="V96:V98"/>
    <mergeCell ref="W96:W98"/>
    <mergeCell ref="X96:X98"/>
    <mergeCell ref="Y96:Y98"/>
    <mergeCell ref="G85:G89"/>
    <mergeCell ref="H90:H94"/>
    <mergeCell ref="I90:I94"/>
    <mergeCell ref="J90:J94"/>
    <mergeCell ref="K90:K94"/>
    <mergeCell ref="L90:L94"/>
    <mergeCell ref="M90:M94"/>
    <mergeCell ref="AF90:AF94"/>
    <mergeCell ref="AG90:AG94"/>
    <mergeCell ref="AH90:AH94"/>
    <mergeCell ref="AI90:AI94"/>
    <mergeCell ref="AJ90:AJ94"/>
    <mergeCell ref="AK90:AK94"/>
    <mergeCell ref="N91:N93"/>
    <mergeCell ref="O91:O93"/>
    <mergeCell ref="P91:P93"/>
    <mergeCell ref="Q91:Q93"/>
    <mergeCell ref="R91:R93"/>
    <mergeCell ref="S91:S93"/>
    <mergeCell ref="T91:T93"/>
    <mergeCell ref="U91:U93"/>
    <mergeCell ref="V91:V93"/>
    <mergeCell ref="W91:W93"/>
    <mergeCell ref="X91:X93"/>
    <mergeCell ref="Y91:Y93"/>
    <mergeCell ref="G90:G94"/>
    <mergeCell ref="M85:M89"/>
    <mergeCell ref="AF85:AF89"/>
    <mergeCell ref="AG85:AG89"/>
    <mergeCell ref="AH85:AH89"/>
    <mergeCell ref="AI85:AI89"/>
    <mergeCell ref="AJ85:AJ89"/>
    <mergeCell ref="AK85:AK89"/>
    <mergeCell ref="N86:N88"/>
    <mergeCell ref="O86:O88"/>
    <mergeCell ref="P86:P88"/>
    <mergeCell ref="Q86:Q88"/>
    <mergeCell ref="R86:R88"/>
    <mergeCell ref="S86:S88"/>
    <mergeCell ref="T86:T88"/>
    <mergeCell ref="U86:U88"/>
    <mergeCell ref="V86:V88"/>
    <mergeCell ref="W86:W88"/>
    <mergeCell ref="X86:X88"/>
    <mergeCell ref="Y86:Y88"/>
    <mergeCell ref="G68:G73"/>
    <mergeCell ref="H80:H84"/>
    <mergeCell ref="I80:I84"/>
    <mergeCell ref="J80:J84"/>
    <mergeCell ref="K80:K84"/>
    <mergeCell ref="L80:L84"/>
    <mergeCell ref="M80:M84"/>
    <mergeCell ref="AF80:AF84"/>
    <mergeCell ref="AG80:AG84"/>
    <mergeCell ref="AH80:AH84"/>
    <mergeCell ref="AI80:AI84"/>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G80:G84"/>
    <mergeCell ref="H68:H73"/>
    <mergeCell ref="I68:I73"/>
    <mergeCell ref="J68:J73"/>
    <mergeCell ref="K68:K73"/>
    <mergeCell ref="L68:L73"/>
    <mergeCell ref="M68:M73"/>
    <mergeCell ref="AF68:AF73"/>
    <mergeCell ref="AG68:AG73"/>
    <mergeCell ref="AH68:AH73"/>
    <mergeCell ref="AI68:AI73"/>
    <mergeCell ref="AJ68:AJ73"/>
    <mergeCell ref="AK68:AK73"/>
    <mergeCell ref="N69:N72"/>
    <mergeCell ref="O69:O72"/>
    <mergeCell ref="P69:P72"/>
    <mergeCell ref="Q69:Q72"/>
    <mergeCell ref="R69:R72"/>
    <mergeCell ref="S69:S72"/>
    <mergeCell ref="T69:T72"/>
    <mergeCell ref="U69:U72"/>
    <mergeCell ref="V69:V72"/>
    <mergeCell ref="W69:W72"/>
    <mergeCell ref="X69:X72"/>
    <mergeCell ref="Y69:Y72"/>
    <mergeCell ref="AH62:AH67"/>
    <mergeCell ref="AI62:AI67"/>
    <mergeCell ref="AJ62:AJ67"/>
    <mergeCell ref="AK62:AK67"/>
    <mergeCell ref="N63:N66"/>
    <mergeCell ref="O63:O66"/>
    <mergeCell ref="P63:P66"/>
    <mergeCell ref="Q63:Q66"/>
    <mergeCell ref="R63:R66"/>
    <mergeCell ref="S63:S66"/>
    <mergeCell ref="T63:T66"/>
    <mergeCell ref="U63:U66"/>
    <mergeCell ref="V63:V66"/>
    <mergeCell ref="W63:W66"/>
    <mergeCell ref="X63:X66"/>
    <mergeCell ref="Y63:Y66"/>
    <mergeCell ref="G62:G67"/>
    <mergeCell ref="R57:R60"/>
    <mergeCell ref="S57:S60"/>
    <mergeCell ref="T57:T60"/>
    <mergeCell ref="U57:U60"/>
    <mergeCell ref="V57:V60"/>
    <mergeCell ref="W57:W60"/>
    <mergeCell ref="X57:X60"/>
    <mergeCell ref="Y57:Y60"/>
    <mergeCell ref="G56:G61"/>
    <mergeCell ref="H62:H67"/>
    <mergeCell ref="I62:I67"/>
    <mergeCell ref="J62:J67"/>
    <mergeCell ref="K62:K67"/>
    <mergeCell ref="L62:L67"/>
    <mergeCell ref="M62:M67"/>
    <mergeCell ref="AF62:AF67"/>
    <mergeCell ref="AG62:AG67"/>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G50:G55"/>
    <mergeCell ref="H56:H61"/>
    <mergeCell ref="I56:I61"/>
    <mergeCell ref="J56:J61"/>
    <mergeCell ref="K56:K61"/>
    <mergeCell ref="L56:L61"/>
    <mergeCell ref="M56:M61"/>
    <mergeCell ref="AF56:AF61"/>
    <mergeCell ref="AG56:AG61"/>
    <mergeCell ref="AH56:AH61"/>
    <mergeCell ref="AI56:AI61"/>
    <mergeCell ref="AJ56:AJ61"/>
    <mergeCell ref="AK56:AK61"/>
    <mergeCell ref="N57:N60"/>
    <mergeCell ref="O57:O60"/>
    <mergeCell ref="P57:P60"/>
    <mergeCell ref="Q57:Q60"/>
    <mergeCell ref="S45:S48"/>
    <mergeCell ref="T45:T48"/>
    <mergeCell ref="U45:U48"/>
    <mergeCell ref="V45:V48"/>
    <mergeCell ref="W45:W48"/>
    <mergeCell ref="X45:X48"/>
    <mergeCell ref="Y45:Y48"/>
    <mergeCell ref="G44:G49"/>
    <mergeCell ref="H50:H55"/>
    <mergeCell ref="I50:I55"/>
    <mergeCell ref="J50:J55"/>
    <mergeCell ref="K50:K55"/>
    <mergeCell ref="L50:L55"/>
    <mergeCell ref="M50:M55"/>
    <mergeCell ref="AF50:AF55"/>
    <mergeCell ref="AG50:AG55"/>
    <mergeCell ref="AH50:AH55"/>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G38:G43"/>
    <mergeCell ref="H44:H49"/>
    <mergeCell ref="I44:I49"/>
    <mergeCell ref="J44:J49"/>
    <mergeCell ref="K44:K49"/>
    <mergeCell ref="L44:L49"/>
    <mergeCell ref="M44:M49"/>
    <mergeCell ref="AF44:AF49"/>
    <mergeCell ref="AG44:AG49"/>
    <mergeCell ref="AH44:AH49"/>
    <mergeCell ref="AI44:AI49"/>
    <mergeCell ref="AJ44:AJ49"/>
    <mergeCell ref="AK44:AK49"/>
    <mergeCell ref="N45:N48"/>
    <mergeCell ref="O45:O48"/>
    <mergeCell ref="P45:P48"/>
    <mergeCell ref="Q45:Q48"/>
    <mergeCell ref="R45:R48"/>
    <mergeCell ref="G20:G25"/>
    <mergeCell ref="H26:H31"/>
    <mergeCell ref="I26:I31"/>
    <mergeCell ref="J26:J31"/>
    <mergeCell ref="K26:K31"/>
    <mergeCell ref="L26:L31"/>
    <mergeCell ref="M26:M31"/>
    <mergeCell ref="AF26:AF31"/>
    <mergeCell ref="AG26:AG31"/>
    <mergeCell ref="AH26:AH31"/>
    <mergeCell ref="AI26:AI31"/>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G26:G31"/>
    <mergeCell ref="L20:L25"/>
    <mergeCell ref="M20:M25"/>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P1422:P1424"/>
    <mergeCell ref="Q1422:Q1424"/>
    <mergeCell ref="R1422:R1424"/>
    <mergeCell ref="G1421:G1425"/>
    <mergeCell ref="AJ1421:AJ1425"/>
    <mergeCell ref="AK1421:AK1425"/>
    <mergeCell ref="I1441:K1441"/>
    <mergeCell ref="F1421:F1441"/>
    <mergeCell ref="AF1421:AF1425"/>
    <mergeCell ref="AG1421:AG1425"/>
    <mergeCell ref="AH1421:AH1425"/>
    <mergeCell ref="AI1421:AI1425"/>
    <mergeCell ref="S1422:S1424"/>
    <mergeCell ref="T1422:T1424"/>
    <mergeCell ref="U1422:U1424"/>
    <mergeCell ref="V1422:V1424"/>
    <mergeCell ref="W1422:W1424"/>
    <mergeCell ref="X1422:X1424"/>
    <mergeCell ref="Y1422:Y1424"/>
    <mergeCell ref="H1421:H1425"/>
    <mergeCell ref="I1421:I1425"/>
    <mergeCell ref="J1421:J1425"/>
    <mergeCell ref="K1421:K1425"/>
    <mergeCell ref="L1421:L1425"/>
    <mergeCell ref="M1421:M1425"/>
    <mergeCell ref="N1422:N1424"/>
    <mergeCell ref="O1422:O1424"/>
    <mergeCell ref="H1431:H1435"/>
    <mergeCell ref="I1431:I1435"/>
    <mergeCell ref="J1431:J1435"/>
    <mergeCell ref="K1431:K1435"/>
    <mergeCell ref="L1431:L1435"/>
    <mergeCell ref="P1401:P1403"/>
    <mergeCell ref="Q1401:Q1403"/>
    <mergeCell ref="R1401:R1403"/>
    <mergeCell ref="G1400:G1404"/>
    <mergeCell ref="AJ1400:AJ1404"/>
    <mergeCell ref="AK1400:AK1404"/>
    <mergeCell ref="I1420:K1420"/>
    <mergeCell ref="F1400:F1420"/>
    <mergeCell ref="AF1400:AF1404"/>
    <mergeCell ref="AG1400:AG1404"/>
    <mergeCell ref="AH1400:AH1404"/>
    <mergeCell ref="AI1400:AI1404"/>
    <mergeCell ref="S1401:S1403"/>
    <mergeCell ref="T1401:T1403"/>
    <mergeCell ref="U1401:U1403"/>
    <mergeCell ref="V1401:V1403"/>
    <mergeCell ref="W1401:W1403"/>
    <mergeCell ref="X1401:X1403"/>
    <mergeCell ref="Y1401:Y1403"/>
    <mergeCell ref="H1400:H1404"/>
    <mergeCell ref="I1400:I1404"/>
    <mergeCell ref="J1400:J1404"/>
    <mergeCell ref="K1400:K1404"/>
    <mergeCell ref="L1400:L1404"/>
    <mergeCell ref="M1400:M1404"/>
    <mergeCell ref="N1401:N1403"/>
    <mergeCell ref="O1401:O1403"/>
    <mergeCell ref="H1405:H1409"/>
    <mergeCell ref="I1405:I1409"/>
    <mergeCell ref="J1405:J1409"/>
    <mergeCell ref="K1405:K1409"/>
    <mergeCell ref="L1405:L1409"/>
    <mergeCell ref="P1365:P1367"/>
    <mergeCell ref="Q1365:Q1367"/>
    <mergeCell ref="R1365:R1367"/>
    <mergeCell ref="G1364:G1368"/>
    <mergeCell ref="AJ1364:AJ1368"/>
    <mergeCell ref="AK1364:AK1368"/>
    <mergeCell ref="I1399:K1399"/>
    <mergeCell ref="F1364:F1399"/>
    <mergeCell ref="AF1364:AF1368"/>
    <mergeCell ref="AG1364:AG1368"/>
    <mergeCell ref="AH1364:AH1368"/>
    <mergeCell ref="AI1364:AI1368"/>
    <mergeCell ref="S1365:S1367"/>
    <mergeCell ref="T1365:T1367"/>
    <mergeCell ref="U1365:U1367"/>
    <mergeCell ref="V1365:V1367"/>
    <mergeCell ref="W1365:W1367"/>
    <mergeCell ref="X1365:X1367"/>
    <mergeCell ref="Y1365:Y1367"/>
    <mergeCell ref="H1364:H1368"/>
    <mergeCell ref="I1364:I1368"/>
    <mergeCell ref="J1364:J1368"/>
    <mergeCell ref="K1364:K1368"/>
    <mergeCell ref="L1364:L1368"/>
    <mergeCell ref="M1364:M1368"/>
    <mergeCell ref="N1365:N1367"/>
    <mergeCell ref="O1365:O1367"/>
    <mergeCell ref="H1375:H1380"/>
    <mergeCell ref="I1375:I1380"/>
    <mergeCell ref="J1375:J1380"/>
    <mergeCell ref="K1375:K1380"/>
    <mergeCell ref="L1375:L1380"/>
    <mergeCell ref="P1282:P1284"/>
    <mergeCell ref="Q1282:Q1284"/>
    <mergeCell ref="R1282:R1284"/>
    <mergeCell ref="G1281:G1285"/>
    <mergeCell ref="AJ1281:AJ1285"/>
    <mergeCell ref="AK1281:AK1285"/>
    <mergeCell ref="I1363:K1363"/>
    <mergeCell ref="F1281:F1363"/>
    <mergeCell ref="AF1281:AF1285"/>
    <mergeCell ref="AG1281:AG1285"/>
    <mergeCell ref="AH1281:AH1285"/>
    <mergeCell ref="AI1281:AI1285"/>
    <mergeCell ref="S1282:S1284"/>
    <mergeCell ref="T1282:T1284"/>
    <mergeCell ref="U1282:U1284"/>
    <mergeCell ref="V1282:V1284"/>
    <mergeCell ref="W1282:W1284"/>
    <mergeCell ref="X1282:X1284"/>
    <mergeCell ref="Y1282:Y1284"/>
    <mergeCell ref="H1281:H1285"/>
    <mergeCell ref="I1281:I1285"/>
    <mergeCell ref="J1281:J1285"/>
    <mergeCell ref="K1281:K1285"/>
    <mergeCell ref="L1281:L1285"/>
    <mergeCell ref="M1281:M1285"/>
    <mergeCell ref="N1282:N1284"/>
    <mergeCell ref="O1282:O1284"/>
    <mergeCell ref="H1286:H1292"/>
    <mergeCell ref="I1286:I1292"/>
    <mergeCell ref="J1286:J1292"/>
    <mergeCell ref="K1286:K1292"/>
    <mergeCell ref="L1286:L1292"/>
    <mergeCell ref="P1199:P1201"/>
    <mergeCell ref="Q1199:Q1201"/>
    <mergeCell ref="R1199:R1201"/>
    <mergeCell ref="G1198:G1202"/>
    <mergeCell ref="AJ1198:AJ1202"/>
    <mergeCell ref="AK1198:AK1202"/>
    <mergeCell ref="I1280:K1280"/>
    <mergeCell ref="F1198:F1280"/>
    <mergeCell ref="AF1198:AF1202"/>
    <mergeCell ref="AG1198:AG1202"/>
    <mergeCell ref="AH1198:AH1202"/>
    <mergeCell ref="AI1198:AI1202"/>
    <mergeCell ref="S1199:S1201"/>
    <mergeCell ref="T1199:T1201"/>
    <mergeCell ref="U1199:U1201"/>
    <mergeCell ref="V1199:V1201"/>
    <mergeCell ref="W1199:W1201"/>
    <mergeCell ref="X1199:X1201"/>
    <mergeCell ref="Y1199:Y1201"/>
    <mergeCell ref="H1198:H1202"/>
    <mergeCell ref="I1198:I1202"/>
    <mergeCell ref="J1198:J1202"/>
    <mergeCell ref="K1198:K1202"/>
    <mergeCell ref="L1198:L1202"/>
    <mergeCell ref="M1198:M1202"/>
    <mergeCell ref="N1199:N1201"/>
    <mergeCell ref="O1199:O1201"/>
    <mergeCell ref="H1210:H1216"/>
    <mergeCell ref="I1210:I1216"/>
    <mergeCell ref="J1210:J1216"/>
    <mergeCell ref="K1210:K1216"/>
    <mergeCell ref="L1210:L1216"/>
    <mergeCell ref="P1158:P1160"/>
    <mergeCell ref="Q1158:Q1160"/>
    <mergeCell ref="R1158:R1160"/>
    <mergeCell ref="G1157:G1161"/>
    <mergeCell ref="AJ1157:AJ1161"/>
    <mergeCell ref="AK1157:AK1161"/>
    <mergeCell ref="I1197:K1197"/>
    <mergeCell ref="F1157:F1197"/>
    <mergeCell ref="AF1157:AF1161"/>
    <mergeCell ref="AG1157:AG1161"/>
    <mergeCell ref="AH1157:AH1161"/>
    <mergeCell ref="AI1157:AI1161"/>
    <mergeCell ref="S1158:S1160"/>
    <mergeCell ref="T1158:T1160"/>
    <mergeCell ref="U1158:U1160"/>
    <mergeCell ref="V1158:V1160"/>
    <mergeCell ref="W1158:W1160"/>
    <mergeCell ref="X1158:X1160"/>
    <mergeCell ref="Y1158:Y1160"/>
    <mergeCell ref="H1157:H1161"/>
    <mergeCell ref="I1157:I1161"/>
    <mergeCell ref="J1157:J1161"/>
    <mergeCell ref="K1157:K1161"/>
    <mergeCell ref="L1157:L1161"/>
    <mergeCell ref="M1157:M1161"/>
    <mergeCell ref="N1158:N1160"/>
    <mergeCell ref="O1158:O1160"/>
    <mergeCell ref="H1162:H1168"/>
    <mergeCell ref="I1162:I1168"/>
    <mergeCell ref="J1162:J1168"/>
    <mergeCell ref="K1162:K1168"/>
    <mergeCell ref="L1162:L1168"/>
    <mergeCell ref="P978:P980"/>
    <mergeCell ref="Q978:Q980"/>
    <mergeCell ref="R978:R980"/>
    <mergeCell ref="G977:G981"/>
    <mergeCell ref="AJ977:AJ981"/>
    <mergeCell ref="AK977:AK981"/>
    <mergeCell ref="I1156:K1156"/>
    <mergeCell ref="F977:F1156"/>
    <mergeCell ref="AF977:AF981"/>
    <mergeCell ref="AG977:AG981"/>
    <mergeCell ref="AH977:AH981"/>
    <mergeCell ref="AI977:AI981"/>
    <mergeCell ref="S978:S980"/>
    <mergeCell ref="T978:T980"/>
    <mergeCell ref="U978:U980"/>
    <mergeCell ref="V978:V980"/>
    <mergeCell ref="W978:W980"/>
    <mergeCell ref="X978:X980"/>
    <mergeCell ref="Y978:Y980"/>
    <mergeCell ref="H977:H981"/>
    <mergeCell ref="I977:I981"/>
    <mergeCell ref="J977:J981"/>
    <mergeCell ref="K977:K981"/>
    <mergeCell ref="L977:L981"/>
    <mergeCell ref="M977:M981"/>
    <mergeCell ref="N978:N980"/>
    <mergeCell ref="O978:O980"/>
    <mergeCell ref="H982:H988"/>
    <mergeCell ref="I982:I988"/>
    <mergeCell ref="J982:J988"/>
    <mergeCell ref="K982:K988"/>
    <mergeCell ref="L982:L988"/>
    <mergeCell ref="P672:P674"/>
    <mergeCell ref="Q672:Q674"/>
    <mergeCell ref="R672:R674"/>
    <mergeCell ref="G671:G675"/>
    <mergeCell ref="AJ671:AJ675"/>
    <mergeCell ref="AK671:AK675"/>
    <mergeCell ref="I976:K976"/>
    <mergeCell ref="F671:F976"/>
    <mergeCell ref="AF671:AF675"/>
    <mergeCell ref="AG671:AG675"/>
    <mergeCell ref="AH671:AH675"/>
    <mergeCell ref="AI671:AI675"/>
    <mergeCell ref="S672:S674"/>
    <mergeCell ref="T672:T674"/>
    <mergeCell ref="U672:U674"/>
    <mergeCell ref="V672:V674"/>
    <mergeCell ref="W672:W674"/>
    <mergeCell ref="X672:X674"/>
    <mergeCell ref="Y672:Y674"/>
    <mergeCell ref="H671:H675"/>
    <mergeCell ref="I671:I675"/>
    <mergeCell ref="J671:J675"/>
    <mergeCell ref="K671:K675"/>
    <mergeCell ref="L671:L675"/>
    <mergeCell ref="M671:M675"/>
    <mergeCell ref="N672:N674"/>
    <mergeCell ref="O672:O674"/>
    <mergeCell ref="H683:H690"/>
    <mergeCell ref="I683:I690"/>
    <mergeCell ref="J683:J690"/>
    <mergeCell ref="K683:K690"/>
    <mergeCell ref="L683:L690"/>
    <mergeCell ref="P502:P504"/>
    <mergeCell ref="Q502:Q504"/>
    <mergeCell ref="R502:R504"/>
    <mergeCell ref="G501:G505"/>
    <mergeCell ref="AJ501:AJ505"/>
    <mergeCell ref="AK501:AK505"/>
    <mergeCell ref="I670:K670"/>
    <mergeCell ref="F501:F670"/>
    <mergeCell ref="AF501:AF505"/>
    <mergeCell ref="AG501:AG505"/>
    <mergeCell ref="AH501:AH505"/>
    <mergeCell ref="AI501:AI505"/>
    <mergeCell ref="S502:S504"/>
    <mergeCell ref="T502:T504"/>
    <mergeCell ref="U502:U504"/>
    <mergeCell ref="V502:V504"/>
    <mergeCell ref="W502:W504"/>
    <mergeCell ref="X502:X504"/>
    <mergeCell ref="Y502:Y504"/>
    <mergeCell ref="H501:H505"/>
    <mergeCell ref="I501:I505"/>
    <mergeCell ref="J501:J505"/>
    <mergeCell ref="K501:K505"/>
    <mergeCell ref="L501:L505"/>
    <mergeCell ref="M501:M505"/>
    <mergeCell ref="N502:N504"/>
    <mergeCell ref="O502:O504"/>
    <mergeCell ref="H513:H519"/>
    <mergeCell ref="I513:I519"/>
    <mergeCell ref="J513:J519"/>
    <mergeCell ref="K513:K519"/>
    <mergeCell ref="L513:L519"/>
    <mergeCell ref="P376:P378"/>
    <mergeCell ref="Q376:Q378"/>
    <mergeCell ref="R376:R378"/>
    <mergeCell ref="G375:G379"/>
    <mergeCell ref="AJ375:AJ379"/>
    <mergeCell ref="AK375:AK379"/>
    <mergeCell ref="I500:K500"/>
    <mergeCell ref="F375:F500"/>
    <mergeCell ref="AF375:AF379"/>
    <mergeCell ref="AG375:AG379"/>
    <mergeCell ref="AH375:AH379"/>
    <mergeCell ref="AI375:AI379"/>
    <mergeCell ref="S376:S378"/>
    <mergeCell ref="T376:T378"/>
    <mergeCell ref="U376:U378"/>
    <mergeCell ref="V376:V378"/>
    <mergeCell ref="W376:W378"/>
    <mergeCell ref="X376:X378"/>
    <mergeCell ref="Y376:Y378"/>
    <mergeCell ref="H375:H379"/>
    <mergeCell ref="I375:I379"/>
    <mergeCell ref="J375:J379"/>
    <mergeCell ref="K375:K379"/>
    <mergeCell ref="L375:L379"/>
    <mergeCell ref="M375:M379"/>
    <mergeCell ref="N376:N378"/>
    <mergeCell ref="O376:O378"/>
    <mergeCell ref="H386:H391"/>
    <mergeCell ref="I386:I391"/>
    <mergeCell ref="J386:J391"/>
    <mergeCell ref="K386:K391"/>
    <mergeCell ref="L386:L391"/>
    <mergeCell ref="P305:P307"/>
    <mergeCell ref="Q305:Q307"/>
    <mergeCell ref="R305:R307"/>
    <mergeCell ref="G304:G308"/>
    <mergeCell ref="AJ304:AJ308"/>
    <mergeCell ref="AK304:AK308"/>
    <mergeCell ref="I374:K374"/>
    <mergeCell ref="F304:F374"/>
    <mergeCell ref="AF304:AF308"/>
    <mergeCell ref="AG304:AG308"/>
    <mergeCell ref="AH304:AH308"/>
    <mergeCell ref="AI304:AI308"/>
    <mergeCell ref="S305:S307"/>
    <mergeCell ref="T305:T307"/>
    <mergeCell ref="U305:U307"/>
    <mergeCell ref="V305:V307"/>
    <mergeCell ref="W305:W307"/>
    <mergeCell ref="X305:X307"/>
    <mergeCell ref="Y305:Y307"/>
    <mergeCell ref="H304:H308"/>
    <mergeCell ref="I304:I308"/>
    <mergeCell ref="J304:J308"/>
    <mergeCell ref="K304:K308"/>
    <mergeCell ref="L304:L308"/>
    <mergeCell ref="M304:M308"/>
    <mergeCell ref="N305:N307"/>
    <mergeCell ref="O305:O307"/>
    <mergeCell ref="H309:H313"/>
    <mergeCell ref="I309:I313"/>
    <mergeCell ref="J309:J313"/>
    <mergeCell ref="K309:K313"/>
    <mergeCell ref="L309:L313"/>
    <mergeCell ref="P229:P231"/>
    <mergeCell ref="Q229:Q231"/>
    <mergeCell ref="R229:R231"/>
    <mergeCell ref="G228:G232"/>
    <mergeCell ref="AJ228:AJ232"/>
    <mergeCell ref="AK228:AK232"/>
    <mergeCell ref="I303:K303"/>
    <mergeCell ref="F228:F303"/>
    <mergeCell ref="AF228:AF232"/>
    <mergeCell ref="AG228:AG232"/>
    <mergeCell ref="AH228:AH232"/>
    <mergeCell ref="AI228:AI232"/>
    <mergeCell ref="S229:S231"/>
    <mergeCell ref="T229:T231"/>
    <mergeCell ref="U229:U231"/>
    <mergeCell ref="V229:V231"/>
    <mergeCell ref="W229:W231"/>
    <mergeCell ref="X229:X231"/>
    <mergeCell ref="Y229:Y231"/>
    <mergeCell ref="H228:H232"/>
    <mergeCell ref="I228:I232"/>
    <mergeCell ref="J228:J232"/>
    <mergeCell ref="K228:K232"/>
    <mergeCell ref="L228:L232"/>
    <mergeCell ref="M228:M232"/>
    <mergeCell ref="N229:N231"/>
    <mergeCell ref="O229:O231"/>
    <mergeCell ref="H233:H237"/>
    <mergeCell ref="I233:I237"/>
    <mergeCell ref="J233:J237"/>
    <mergeCell ref="K233:K237"/>
    <mergeCell ref="L233:L237"/>
    <mergeCell ref="P158:P160"/>
    <mergeCell ref="Q158:Q160"/>
    <mergeCell ref="R158:R160"/>
    <mergeCell ref="G157:G161"/>
    <mergeCell ref="AJ157:AJ161"/>
    <mergeCell ref="AK157:AK161"/>
    <mergeCell ref="I227:K227"/>
    <mergeCell ref="F157:F227"/>
    <mergeCell ref="AF157:AF161"/>
    <mergeCell ref="AG157:AG161"/>
    <mergeCell ref="AH157:AH161"/>
    <mergeCell ref="AI157:AI161"/>
    <mergeCell ref="S158:S160"/>
    <mergeCell ref="T158:T160"/>
    <mergeCell ref="U158:U160"/>
    <mergeCell ref="V158:V160"/>
    <mergeCell ref="W158:W160"/>
    <mergeCell ref="X158:X160"/>
    <mergeCell ref="Y158:Y160"/>
    <mergeCell ref="H157:H161"/>
    <mergeCell ref="I157:I161"/>
    <mergeCell ref="J157:J161"/>
    <mergeCell ref="K157:K161"/>
    <mergeCell ref="L157:L161"/>
    <mergeCell ref="M157:M161"/>
    <mergeCell ref="N158:N160"/>
    <mergeCell ref="O158:O160"/>
    <mergeCell ref="H167:H171"/>
    <mergeCell ref="I167:I171"/>
    <mergeCell ref="J167:J171"/>
    <mergeCell ref="K167:K171"/>
    <mergeCell ref="L167:L171"/>
    <mergeCell ref="P107:P109"/>
    <mergeCell ref="Q107:Q109"/>
    <mergeCell ref="R107:R109"/>
    <mergeCell ref="G106:G110"/>
    <mergeCell ref="AJ106:AJ110"/>
    <mergeCell ref="AK106:AK110"/>
    <mergeCell ref="I156:K156"/>
    <mergeCell ref="F106:F156"/>
    <mergeCell ref="AF106:AF110"/>
    <mergeCell ref="AG106:AG110"/>
    <mergeCell ref="AH106:AH110"/>
    <mergeCell ref="AI106:AI110"/>
    <mergeCell ref="S107:S109"/>
    <mergeCell ref="T107:T109"/>
    <mergeCell ref="U107:U109"/>
    <mergeCell ref="V107:V109"/>
    <mergeCell ref="W107:W109"/>
    <mergeCell ref="X107:X109"/>
    <mergeCell ref="Y107:Y109"/>
    <mergeCell ref="H106:H110"/>
    <mergeCell ref="I106:I110"/>
    <mergeCell ref="J106:J110"/>
    <mergeCell ref="K106:K110"/>
    <mergeCell ref="L106:L110"/>
    <mergeCell ref="M106:M110"/>
    <mergeCell ref="N107:N109"/>
    <mergeCell ref="O107:O109"/>
    <mergeCell ref="H111:H115"/>
    <mergeCell ref="I111:I115"/>
    <mergeCell ref="J111:J115"/>
    <mergeCell ref="K111:K115"/>
    <mergeCell ref="L111:L115"/>
    <mergeCell ref="P76:P78"/>
    <mergeCell ref="Q76:Q78"/>
    <mergeCell ref="R76:R78"/>
    <mergeCell ref="G75:G79"/>
    <mergeCell ref="AJ75:AJ79"/>
    <mergeCell ref="AK75:AK79"/>
    <mergeCell ref="I105:K105"/>
    <mergeCell ref="F75:F105"/>
    <mergeCell ref="AF75:AF79"/>
    <mergeCell ref="AG75:AG79"/>
    <mergeCell ref="AH75:AH79"/>
    <mergeCell ref="AI75:AI79"/>
    <mergeCell ref="S76:S78"/>
    <mergeCell ref="T76:T78"/>
    <mergeCell ref="U76:U78"/>
    <mergeCell ref="V76:V78"/>
    <mergeCell ref="W76:W78"/>
    <mergeCell ref="X76:X78"/>
    <mergeCell ref="Y76:Y78"/>
    <mergeCell ref="H75:H79"/>
    <mergeCell ref="I75:I79"/>
    <mergeCell ref="J75:J79"/>
    <mergeCell ref="K75:K79"/>
    <mergeCell ref="L75:L79"/>
    <mergeCell ref="M75:M79"/>
    <mergeCell ref="N76:N78"/>
    <mergeCell ref="O76:O78"/>
    <mergeCell ref="H85:H89"/>
    <mergeCell ref="I85:I89"/>
    <mergeCell ref="J85:J89"/>
    <mergeCell ref="K85:K89"/>
    <mergeCell ref="L85:L89"/>
    <mergeCell ref="AK33:AK37"/>
    <mergeCell ref="I74:K74"/>
    <mergeCell ref="F33:F74"/>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M33:M37"/>
    <mergeCell ref="N34:N36"/>
    <mergeCell ref="O34:O36"/>
    <mergeCell ref="H38:H43"/>
    <mergeCell ref="I38:I43"/>
    <mergeCell ref="J38:J43"/>
    <mergeCell ref="K38:K43"/>
    <mergeCell ref="L38:L43"/>
    <mergeCell ref="M38:M43"/>
    <mergeCell ref="AF38:AF43"/>
    <mergeCell ref="AG38:AG43"/>
    <mergeCell ref="AH38:AH43"/>
    <mergeCell ref="AI38:AI43"/>
    <mergeCell ref="F5:K5"/>
    <mergeCell ref="P16:P18"/>
    <mergeCell ref="Q16:Q18"/>
    <mergeCell ref="R16:R18"/>
    <mergeCell ref="G15:G19"/>
    <mergeCell ref="AJ15:AJ19"/>
    <mergeCell ref="AK15:AK19"/>
    <mergeCell ref="I32:K32"/>
    <mergeCell ref="F15:F32"/>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5"/>
    <mergeCell ref="I20:I25"/>
    <mergeCell ref="J20:J25"/>
    <mergeCell ref="K20:K25"/>
    <mergeCell ref="AB9:AE10"/>
    <mergeCell ref="S11:Y11"/>
    <mergeCell ref="N10:Y10"/>
    <mergeCell ref="K9:Y9"/>
    <mergeCell ref="N11:O12"/>
    <mergeCell ref="P11:P12"/>
    <mergeCell ref="Q11:Q12"/>
    <mergeCell ref="F1447:J1447"/>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446:J1446"/>
    <mergeCell ref="F1445:J1445"/>
    <mergeCell ref="P34:P36"/>
    <mergeCell ref="Q34:Q36"/>
    <mergeCell ref="R34:R36"/>
    <mergeCell ref="G33:G37"/>
    <mergeCell ref="AJ33:AJ37"/>
  </mergeCells>
  <dataValidations count="7570">
    <dataValidation type="whole" allowBlank="1" showErrorMessage="1" errorTitle="Ошибка" error="Допускается ввод только неотрицательных целых чисел!" sqref="AI1440">
      <formula1>0</formula1>
      <formula2>9.99999999999999E+23</formula2>
    </dataValidation>
    <dataValidation type="whole" allowBlank="1" showErrorMessage="1" errorTitle="Ошибка" error="Допускается ввод только неотрицательных целых чисел!" sqref="AF1440">
      <formula1>0</formula1>
      <formula2>9.99999999999999E+23</formula2>
    </dataValidation>
    <dataValidation type="whole" allowBlank="1" showErrorMessage="1" errorTitle="Ошибка" error="Допускается ввод только неотрицательных целых чисел!" sqref="AI1439">
      <formula1>0</formula1>
      <formula2>9.99999999999999E+23</formula2>
    </dataValidation>
    <dataValidation type="whole" allowBlank="1" showErrorMessage="1" errorTitle="Ошибка" error="Допускается ввод только неотрицательных целых чисел!" sqref="AF1439">
      <formula1>0</formula1>
      <formula2>9.99999999999999E+23</formula2>
    </dataValidation>
    <dataValidation type="textLength" operator="lessThanOrEqual" allowBlank="1" showInputMessage="1" showErrorMessage="1" errorTitle="Ошибка" error="Допускается ввод не более 900 символов!" sqref="K1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9">
      <formula1>"a"</formula1>
    </dataValidation>
    <dataValidation type="whole" allowBlank="1" showErrorMessage="1" errorTitle="Ошибка" error="Допускается ввод только неотрицательных целых чисел!" sqref="AI1438">
      <formula1>0</formula1>
      <formula2>9.99999999999999E+23</formula2>
    </dataValidation>
    <dataValidation type="whole" allowBlank="1" showErrorMessage="1" errorTitle="Ошибка" error="Допускается ввод только неотрицательных целых чисел!" sqref="AF1438">
      <formula1>0</formula1>
      <formula2>9.99999999999999E+23</formula2>
    </dataValidation>
    <dataValidation type="decimal" allowBlank="1" showErrorMessage="1" errorTitle="Ошибка" error="Допускается ввод только неотрицательных чисел!" sqref="AE1438">
      <formula1>0</formula1>
      <formula2>9.99999999999999E+23</formula2>
    </dataValidation>
    <dataValidation type="decimal" allowBlank="1" showErrorMessage="1" errorTitle="Ошибка" error="Допускается ввод только неотрицательных чисел!" sqref="AC1438">
      <formula1>0</formula1>
      <formula2>9.99999999999999E+23</formula2>
    </dataValidation>
    <dataValidation type="textLength" operator="lessThanOrEqual" allowBlank="1" showInputMessage="1" showErrorMessage="1" errorTitle="Ошибка" error="Допускается ввод не более 900 символов!" sqref="K1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8">
      <formula1>"a"</formula1>
    </dataValidation>
    <dataValidation type="whole" allowBlank="1" showErrorMessage="1" errorTitle="Ошибка" error="Допускается ввод только неотрицательных целых чисел!" sqref="AI1437">
      <formula1>0</formula1>
      <formula2>9.99999999999999E+23</formula2>
    </dataValidation>
    <dataValidation type="whole" allowBlank="1" showErrorMessage="1" errorTitle="Ошибка" error="Допускается ввод только неотрицательных целых чисел!" sqref="AF1437">
      <formula1>0</formula1>
      <formula2>9.99999999999999E+23</formula2>
    </dataValidation>
    <dataValidation type="textLength" operator="lessThanOrEqual" allowBlank="1" showInputMessage="1" showErrorMessage="1" errorTitle="Ошибка" error="Допускается ввод не более 900 символов!" sqref="K1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7">
      <formula1>"a"</formula1>
    </dataValidation>
    <dataValidation type="whole" allowBlank="1" showErrorMessage="1" errorTitle="Ошибка" error="Допускается ввод только неотрицательных целых чисел!" sqref="AI1436">
      <formula1>0</formula1>
      <formula2>9.99999999999999E+23</formula2>
    </dataValidation>
    <dataValidation type="whole" allowBlank="1" showErrorMessage="1" errorTitle="Ошибка" error="Допускается ввод только неотрицательных целых чисел!" sqref="AF1436">
      <formula1>0</formula1>
      <formula2>9.99999999999999E+23</formula2>
    </dataValidation>
    <dataValidation type="textLength" operator="lessThanOrEqual" allowBlank="1" showInputMessage="1" showErrorMessage="1" errorTitle="Ошибка" error="Допускается ввод не более 900 символов!" sqref="M1436">
      <formula1>900</formula1>
    </dataValidation>
    <dataValidation type="textLength" operator="lessThanOrEqual" allowBlank="1" showInputMessage="1" showErrorMessage="1" errorTitle="Ошибка" error="Допускается ввод не более 900 символов!" sqref="K1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6">
      <formula1>"a"</formula1>
    </dataValidation>
    <dataValidation type="whole" allowBlank="1" showErrorMessage="1" errorTitle="Ошибка" error="Допускается ввод только неотрицательных целых чисел!" sqref="AI1435">
      <formula1>0</formula1>
      <formula2>9.99999999999999E+23</formula2>
    </dataValidation>
    <dataValidation type="whole" allowBlank="1" showErrorMessage="1" errorTitle="Ошибка" error="Допускается ввод только неотрицательных целых чисел!" sqref="AF1435">
      <formula1>0</formula1>
      <formula2>9.99999999999999E+23</formula2>
    </dataValidation>
    <dataValidation type="whole" allowBlank="1" showErrorMessage="1" errorTitle="Ошибка" error="Допускается ввод только неотрицательных целых чисел!" sqref="AI1434">
      <formula1>0</formula1>
      <formula2>9.99999999999999E+23</formula2>
    </dataValidation>
    <dataValidation type="whole" allowBlank="1" showErrorMessage="1" errorTitle="Ошибка" error="Допускается ввод только неотрицательных целых чисел!" sqref="AF1434">
      <formula1>0</formula1>
      <formula2>9.99999999999999E+23</formula2>
    </dataValidation>
    <dataValidation type="textLength" operator="lessThanOrEqual" allowBlank="1" showInputMessage="1" showErrorMessage="1" errorTitle="Ошибка" error="Допускается ввод не более 900 символов!" sqref="K1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4">
      <formula1>"a"</formula1>
    </dataValidation>
    <dataValidation type="whole" allowBlank="1" showErrorMessage="1" errorTitle="Ошибка" error="Допускается ввод только неотрицательных целых чисел!" sqref="AI1433">
      <formula1>0</formula1>
      <formula2>9.99999999999999E+23</formula2>
    </dataValidation>
    <dataValidation type="whole" allowBlank="1" showErrorMessage="1" errorTitle="Ошибка" error="Допускается ввод только неотрицательных целых чисел!" sqref="AF1433">
      <formula1>0</formula1>
      <formula2>9.99999999999999E+23</formula2>
    </dataValidation>
    <dataValidation type="decimal" allowBlank="1" showErrorMessage="1" errorTitle="Ошибка" error="Допускается ввод только неотрицательных чисел!" sqref="AE1433">
      <formula1>0</formula1>
      <formula2>9.99999999999999E+23</formula2>
    </dataValidation>
    <dataValidation type="decimal" allowBlank="1" showErrorMessage="1" errorTitle="Ошибка" error="Допускается ввод только неотрицательных чисел!" sqref="AC1433">
      <formula1>0</formula1>
      <formula2>9.99999999999999E+23</formula2>
    </dataValidation>
    <dataValidation type="textLength" operator="lessThanOrEqual" allowBlank="1" showInputMessage="1" showErrorMessage="1" errorTitle="Ошибка" error="Допускается ввод не более 900 символов!" sqref="K1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3">
      <formula1>"a"</formula1>
    </dataValidation>
    <dataValidation type="whole" allowBlank="1" showErrorMessage="1" errorTitle="Ошибка" error="Допускается ввод только неотрицательных целых чисел!" sqref="AI1432">
      <formula1>0</formula1>
      <formula2>9.99999999999999E+23</formula2>
    </dataValidation>
    <dataValidation type="whole" allowBlank="1" showErrorMessage="1" errorTitle="Ошибка" error="Допускается ввод только неотрицательных целых чисел!" sqref="AF1432">
      <formula1>0</formula1>
      <formula2>9.99999999999999E+23</formula2>
    </dataValidation>
    <dataValidation type="textLength" operator="lessThanOrEqual" allowBlank="1" showInputMessage="1" showErrorMessage="1" errorTitle="Ошибка" error="Допускается ввод не более 900 символов!" sqref="K1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2">
      <formula1>"a"</formula1>
    </dataValidation>
    <dataValidation type="whole" allowBlank="1" showErrorMessage="1" errorTitle="Ошибка" error="Допускается ввод только неотрицательных целых чисел!" sqref="AI1431">
      <formula1>0</formula1>
      <formula2>9.99999999999999E+23</formula2>
    </dataValidation>
    <dataValidation type="whole" allowBlank="1" showErrorMessage="1" errorTitle="Ошибка" error="Допускается ввод только неотрицательных целых чисел!" sqref="AF1431">
      <formula1>0</formula1>
      <formula2>9.99999999999999E+23</formula2>
    </dataValidation>
    <dataValidation type="textLength" operator="lessThanOrEqual" allowBlank="1" showInputMessage="1" showErrorMessage="1" errorTitle="Ошибка" error="Допускается ввод не более 900 символов!" sqref="M1431">
      <formula1>900</formula1>
    </dataValidation>
    <dataValidation type="textLength" operator="lessThanOrEqual" allowBlank="1" showInputMessage="1" showErrorMessage="1" errorTitle="Ошибка" error="Допускается ввод не более 900 символов!" sqref="K1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1">
      <formula1>"a"</formula1>
    </dataValidation>
    <dataValidation type="whole" allowBlank="1" showErrorMessage="1" errorTitle="Ошибка" error="Допускается ввод только неотрицательных целых чисел!" sqref="AI1430">
      <formula1>0</formula1>
      <formula2>9.99999999999999E+23</formula2>
    </dataValidation>
    <dataValidation type="whole" allowBlank="1" showErrorMessage="1" errorTitle="Ошибка" error="Допускается ввод только неотрицательных целых чисел!" sqref="AF1430">
      <formula1>0</formula1>
      <formula2>9.99999999999999E+23</formula2>
    </dataValidation>
    <dataValidation type="whole" allowBlank="1" showErrorMessage="1" errorTitle="Ошибка" error="Допускается ввод только неотрицательных целых чисел!" sqref="AI1429">
      <formula1>0</formula1>
      <formula2>9.99999999999999E+23</formula2>
    </dataValidation>
    <dataValidation type="whole" allowBlank="1" showErrorMessage="1" errorTitle="Ошибка" error="Допускается ввод только неотрицательных целых чисел!" sqref="AF1429">
      <formula1>0</formula1>
      <formula2>9.99999999999999E+23</formula2>
    </dataValidation>
    <dataValidation type="textLength" operator="lessThanOrEqual" allowBlank="1" showInputMessage="1" showErrorMessage="1" errorTitle="Ошибка" error="Допускается ввод не более 900 символов!" sqref="K14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9">
      <formula1>"a"</formula1>
    </dataValidation>
    <dataValidation type="whole" allowBlank="1" showErrorMessage="1" errorTitle="Ошибка" error="Допускается ввод только неотрицательных целых чисел!" sqref="AI1428">
      <formula1>0</formula1>
      <formula2>9.99999999999999E+23</formula2>
    </dataValidation>
    <dataValidation type="whole" allowBlank="1" showErrorMessage="1" errorTitle="Ошибка" error="Допускается ввод только неотрицательных целых чисел!" sqref="AF1428">
      <formula1>0</formula1>
      <formula2>9.99999999999999E+23</formula2>
    </dataValidation>
    <dataValidation type="decimal" allowBlank="1" showErrorMessage="1" errorTitle="Ошибка" error="Допускается ввод только неотрицательных чисел!" sqref="AE1428">
      <formula1>0</formula1>
      <formula2>9.99999999999999E+23</formula2>
    </dataValidation>
    <dataValidation type="decimal" allowBlank="1" showErrorMessage="1" errorTitle="Ошибка" error="Допускается ввод только неотрицательных чисел!" sqref="AC1428">
      <formula1>0</formula1>
      <formula2>9.99999999999999E+23</formula2>
    </dataValidation>
    <dataValidation type="textLength" operator="lessThanOrEqual" allowBlank="1" showInputMessage="1" showErrorMessage="1" errorTitle="Ошибка" error="Допускается ввод не более 900 символов!" sqref="K1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8">
      <formula1>"a"</formula1>
    </dataValidation>
    <dataValidation type="whole" allowBlank="1" showErrorMessage="1" errorTitle="Ошибка" error="Допускается ввод только неотрицательных целых чисел!" sqref="AI1427">
      <formula1>0</formula1>
      <formula2>9.99999999999999E+23</formula2>
    </dataValidation>
    <dataValidation type="whole" allowBlank="1" showErrorMessage="1" errorTitle="Ошибка" error="Допускается ввод только неотрицательных целых чисел!" sqref="AF1427">
      <formula1>0</formula1>
      <formula2>9.99999999999999E+23</formula2>
    </dataValidation>
    <dataValidation type="textLength" operator="lessThanOrEqual" allowBlank="1" showInputMessage="1" showErrorMessage="1" errorTitle="Ошибка" error="Допускается ввод не более 900 символов!" sqref="K1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7">
      <formula1>"a"</formula1>
    </dataValidation>
    <dataValidation type="whole" allowBlank="1" showErrorMessage="1" errorTitle="Ошибка" error="Допускается ввод только неотрицательных целых чисел!" sqref="AI1426">
      <formula1>0</formula1>
      <formula2>9.99999999999999E+23</formula2>
    </dataValidation>
    <dataValidation type="whole" allowBlank="1" showErrorMessage="1" errorTitle="Ошибка" error="Допускается ввод только неотрицательных целых чисел!" sqref="AF1426">
      <formula1>0</formula1>
      <formula2>9.99999999999999E+23</formula2>
    </dataValidation>
    <dataValidation type="textLength" operator="lessThanOrEqual" allowBlank="1" showInputMessage="1" showErrorMessage="1" errorTitle="Ошибка" error="Допускается ввод не более 900 символов!" sqref="M1426">
      <formula1>900</formula1>
    </dataValidation>
    <dataValidation type="textLength" operator="lessThanOrEqual" allowBlank="1" showInputMessage="1" showErrorMessage="1" errorTitle="Ошибка" error="Допускается ввод не более 900 символов!" sqref="K1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6">
      <formula1>"a"</formula1>
    </dataValidation>
    <dataValidation type="whole" allowBlank="1" showErrorMessage="1" errorTitle="Ошибка" error="Допускается ввод только неотрицательных целых чисел!" sqref="AI1419">
      <formula1>0</formula1>
      <formula2>9.99999999999999E+23</formula2>
    </dataValidation>
    <dataValidation type="whole" allowBlank="1" showErrorMessage="1" errorTitle="Ошибка" error="Допускается ввод только неотрицательных целых чисел!" sqref="AF1419">
      <formula1>0</formula1>
      <formula2>9.99999999999999E+23</formula2>
    </dataValidation>
    <dataValidation type="whole" allowBlank="1" showErrorMessage="1" errorTitle="Ошибка" error="Допускается ввод только неотрицательных целых чисел!" sqref="AI1418">
      <formula1>0</formula1>
      <formula2>9.99999999999999E+23</formula2>
    </dataValidation>
    <dataValidation type="whole" allowBlank="1" showErrorMessage="1" errorTitle="Ошибка" error="Допускается ввод только неотрицательных целых чисел!" sqref="AF1418">
      <formula1>0</formula1>
      <formula2>9.99999999999999E+23</formula2>
    </dataValidation>
    <dataValidation type="textLength" operator="lessThanOrEqual" allowBlank="1" showInputMessage="1" showErrorMessage="1" errorTitle="Ошибка" error="Допускается ввод не более 900 символов!" sqref="K1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8">
      <formula1>"a"</formula1>
    </dataValidation>
    <dataValidation type="whole" allowBlank="1" showErrorMessage="1" errorTitle="Ошибка" error="Допускается ввод только неотрицательных целых чисел!" sqref="AI1417">
      <formula1>0</formula1>
      <formula2>9.99999999999999E+23</formula2>
    </dataValidation>
    <dataValidation type="whole" allowBlank="1" showErrorMessage="1" errorTitle="Ошибка" error="Допускается ввод только неотрицательных целых чисел!" sqref="AF1417">
      <formula1>0</formula1>
      <formula2>9.99999999999999E+23</formula2>
    </dataValidation>
    <dataValidation type="decimal" allowBlank="1" showErrorMessage="1" errorTitle="Ошибка" error="Допускается ввод только неотрицательных чисел!" sqref="AE1417">
      <formula1>0</formula1>
      <formula2>9.99999999999999E+23</formula2>
    </dataValidation>
    <dataValidation type="decimal" allowBlank="1" showErrorMessage="1" errorTitle="Ошибка" error="Допускается ввод только неотрицательных чисел!" sqref="AC1417">
      <formula1>0</formula1>
      <formula2>9.99999999999999E+23</formula2>
    </dataValidation>
    <dataValidation type="textLength" operator="lessThanOrEqual" allowBlank="1" showInputMessage="1" showErrorMessage="1" errorTitle="Ошибка" error="Допускается ввод не более 900 символов!" sqref="K1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7">
      <formula1>"a"</formula1>
    </dataValidation>
    <dataValidation type="whole" allowBlank="1" showErrorMessage="1" errorTitle="Ошибка" error="Допускается ввод только неотрицательных целых чисел!" sqref="AI1416">
      <formula1>0</formula1>
      <formula2>9.99999999999999E+23</formula2>
    </dataValidation>
    <dataValidation type="whole" allowBlank="1" showErrorMessage="1" errorTitle="Ошибка" error="Допускается ввод только неотрицательных целых чисел!" sqref="AF1416">
      <formula1>0</formula1>
      <formula2>9.99999999999999E+23</formula2>
    </dataValidation>
    <dataValidation type="textLength" operator="lessThanOrEqual" allowBlank="1" showInputMessage="1" showErrorMessage="1" errorTitle="Ошибка" error="Допускается ввод не более 900 символов!" sqref="K1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6">
      <formula1>"a"</formula1>
    </dataValidation>
    <dataValidation type="whole" allowBlank="1" showErrorMessage="1" errorTitle="Ошибка" error="Допускается ввод только неотрицательных целых чисел!" sqref="AI1415">
      <formula1>0</formula1>
      <formula2>9.99999999999999E+23</formula2>
    </dataValidation>
    <dataValidation type="whole" allowBlank="1" showErrorMessage="1" errorTitle="Ошибка" error="Допускается ввод только неотрицательных целых чисел!" sqref="AF1415">
      <formula1>0</formula1>
      <formula2>9.99999999999999E+23</formula2>
    </dataValidation>
    <dataValidation type="textLength" operator="lessThanOrEqual" allowBlank="1" showInputMessage="1" showErrorMessage="1" errorTitle="Ошибка" error="Допускается ввод не более 900 символов!" sqref="M1415">
      <formula1>900</formula1>
    </dataValidation>
    <dataValidation type="textLength" operator="lessThanOrEqual" allowBlank="1" showInputMessage="1" showErrorMessage="1" errorTitle="Ошибка" error="Допускается ввод не более 900 символов!" sqref="K1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5">
      <formula1>"a"</formula1>
    </dataValidation>
    <dataValidation type="whole" allowBlank="1" showErrorMessage="1" errorTitle="Ошибка" error="Допускается ввод только неотрицательных целых чисел!" sqref="AI1414">
      <formula1>0</formula1>
      <formula2>9.99999999999999E+23</formula2>
    </dataValidation>
    <dataValidation type="whole" allowBlank="1" showErrorMessage="1" errorTitle="Ошибка" error="Допускается ввод только неотрицательных целых чисел!" sqref="AF1414">
      <formula1>0</formula1>
      <formula2>9.99999999999999E+23</formula2>
    </dataValidation>
    <dataValidation type="whole" allowBlank="1" showErrorMessage="1" errorTitle="Ошибка" error="Допускается ввод только неотрицательных целых чисел!" sqref="AI1413">
      <formula1>0</formula1>
      <formula2>9.99999999999999E+23</formula2>
    </dataValidation>
    <dataValidation type="whole" allowBlank="1" showErrorMessage="1" errorTitle="Ошибка" error="Допускается ввод только неотрицательных целых чисел!" sqref="AF1413">
      <formula1>0</formula1>
      <formula2>9.99999999999999E+23</formula2>
    </dataValidation>
    <dataValidation type="textLength" operator="lessThanOrEqual" allowBlank="1" showInputMessage="1" showErrorMessage="1" errorTitle="Ошибка" error="Допускается ввод не более 900 символов!" sqref="K1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3">
      <formula1>"a"</formula1>
    </dataValidation>
    <dataValidation type="whole" allowBlank="1" showErrorMessage="1" errorTitle="Ошибка" error="Допускается ввод только неотрицательных целых чисел!" sqref="AI1412">
      <formula1>0</formula1>
      <formula2>9.99999999999999E+23</formula2>
    </dataValidation>
    <dataValidation type="whole" allowBlank="1" showErrorMessage="1" errorTitle="Ошибка" error="Допускается ввод только неотрицательных целых чисел!" sqref="AF1412">
      <formula1>0</formula1>
      <formula2>9.99999999999999E+23</formula2>
    </dataValidation>
    <dataValidation type="decimal" allowBlank="1" showErrorMessage="1" errorTitle="Ошибка" error="Допускается ввод только неотрицательных чисел!" sqref="AE1412">
      <formula1>0</formula1>
      <formula2>9.99999999999999E+23</formula2>
    </dataValidation>
    <dataValidation type="decimal" allowBlank="1" showErrorMessage="1" errorTitle="Ошибка" error="Допускается ввод только неотрицательных чисел!" sqref="AC1412">
      <formula1>0</formula1>
      <formula2>9.99999999999999E+23</formula2>
    </dataValidation>
    <dataValidation type="textLength" operator="lessThanOrEqual" allowBlank="1" showInputMessage="1" showErrorMessage="1" errorTitle="Ошибка" error="Допускается ввод не более 900 символов!" sqref="K1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2">
      <formula1>"a"</formula1>
    </dataValidation>
    <dataValidation type="whole" allowBlank="1" showErrorMessage="1" errorTitle="Ошибка" error="Допускается ввод только неотрицательных целых чисел!" sqref="AI1411">
      <formula1>0</formula1>
      <formula2>9.99999999999999E+23</formula2>
    </dataValidation>
    <dataValidation type="whole" allowBlank="1" showErrorMessage="1" errorTitle="Ошибка" error="Допускается ввод только неотрицательных целых чисел!" sqref="AF1411">
      <formula1>0</formula1>
      <formula2>9.99999999999999E+23</formula2>
    </dataValidation>
    <dataValidation type="textLength" operator="lessThanOrEqual" allowBlank="1" showInputMessage="1" showErrorMessage="1" errorTitle="Ошибка" error="Допускается ввод не более 900 символов!" sqref="K1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1">
      <formula1>"a"</formula1>
    </dataValidation>
    <dataValidation type="whole" allowBlank="1" showErrorMessage="1" errorTitle="Ошибка" error="Допускается ввод только неотрицательных целых чисел!" sqref="AI1410">
      <formula1>0</formula1>
      <formula2>9.99999999999999E+23</formula2>
    </dataValidation>
    <dataValidation type="whole" allowBlank="1" showErrorMessage="1" errorTitle="Ошибка" error="Допускается ввод только неотрицательных целых чисел!" sqref="AF1410">
      <formula1>0</formula1>
      <formula2>9.99999999999999E+23</formula2>
    </dataValidation>
    <dataValidation type="textLength" operator="lessThanOrEqual" allowBlank="1" showInputMessage="1" showErrorMessage="1" errorTitle="Ошибка" error="Допускается ввод не более 900 символов!" sqref="M1410">
      <formula1>900</formula1>
    </dataValidation>
    <dataValidation type="textLength" operator="lessThanOrEqual" allowBlank="1" showInputMessage="1" showErrorMessage="1" errorTitle="Ошибка" error="Допускается ввод не более 900 символов!" sqref="K1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0">
      <formula1>"a"</formula1>
    </dataValidation>
    <dataValidation type="whole" allowBlank="1" showErrorMessage="1" errorTitle="Ошибка" error="Допускается ввод только неотрицательных целых чисел!" sqref="AI1409">
      <formula1>0</formula1>
      <formula2>9.99999999999999E+23</formula2>
    </dataValidation>
    <dataValidation type="whole" allowBlank="1" showErrorMessage="1" errorTitle="Ошибка" error="Допускается ввод только неотрицательных целых чисел!" sqref="AF1409">
      <formula1>0</formula1>
      <formula2>9.99999999999999E+23</formula2>
    </dataValidation>
    <dataValidation type="whole" allowBlank="1" showErrorMessage="1" errorTitle="Ошибка" error="Допускается ввод только неотрицательных целых чисел!" sqref="AI1408">
      <formula1>0</formula1>
      <formula2>9.99999999999999E+23</formula2>
    </dataValidation>
    <dataValidation type="whole" allowBlank="1" showErrorMessage="1" errorTitle="Ошибка" error="Допускается ввод только неотрицательных целых чисел!" sqref="AF1408">
      <formula1>0</formula1>
      <formula2>9.99999999999999E+23</formula2>
    </dataValidation>
    <dataValidation type="textLength" operator="lessThanOrEqual" allowBlank="1" showInputMessage="1" showErrorMessage="1" errorTitle="Ошибка" error="Допускается ввод не более 900 символов!" sqref="K1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8">
      <formula1>"a"</formula1>
    </dataValidation>
    <dataValidation type="whole" allowBlank="1" showErrorMessage="1" errorTitle="Ошибка" error="Допускается ввод только неотрицательных целых чисел!" sqref="AI1407">
      <formula1>0</formula1>
      <formula2>9.99999999999999E+23</formula2>
    </dataValidation>
    <dataValidation type="whole" allowBlank="1" showErrorMessage="1" errorTitle="Ошибка" error="Допускается ввод только неотрицательных целых чисел!" sqref="AF1407">
      <formula1>0</formula1>
      <formula2>9.99999999999999E+23</formula2>
    </dataValidation>
    <dataValidation type="decimal" allowBlank="1" showErrorMessage="1" errorTitle="Ошибка" error="Допускается ввод только неотрицательных чисел!" sqref="AE1407">
      <formula1>0</formula1>
      <formula2>9.99999999999999E+23</formula2>
    </dataValidation>
    <dataValidation type="decimal" allowBlank="1" showErrorMessage="1" errorTitle="Ошибка" error="Допускается ввод только неотрицательных чисел!" sqref="AC1407">
      <formula1>0</formula1>
      <formula2>9.99999999999999E+23</formula2>
    </dataValidation>
    <dataValidation type="textLength" operator="lessThanOrEqual" allowBlank="1" showInputMessage="1" showErrorMessage="1" errorTitle="Ошибка" error="Допускается ввод не более 900 символов!" sqref="K1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7">
      <formula1>"a"</formula1>
    </dataValidation>
    <dataValidation type="whole" allowBlank="1" showErrorMessage="1" errorTitle="Ошибка" error="Допускается ввод только неотрицательных целых чисел!" sqref="AI1406">
      <formula1>0</formula1>
      <formula2>9.99999999999999E+23</formula2>
    </dataValidation>
    <dataValidation type="whole" allowBlank="1" showErrorMessage="1" errorTitle="Ошибка" error="Допускается ввод только неотрицательных целых чисел!" sqref="AF1406">
      <formula1>0</formula1>
      <formula2>9.99999999999999E+23</formula2>
    </dataValidation>
    <dataValidation type="textLength" operator="lessThanOrEqual" allowBlank="1" showInputMessage="1" showErrorMessage="1" errorTitle="Ошибка" error="Допускается ввод не более 900 символов!" sqref="K1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6">
      <formula1>"a"</formula1>
    </dataValidation>
    <dataValidation type="whole" allowBlank="1" showErrorMessage="1" errorTitle="Ошибка" error="Допускается ввод только неотрицательных целых чисел!" sqref="AI1405">
      <formula1>0</formula1>
      <formula2>9.99999999999999E+23</formula2>
    </dataValidation>
    <dataValidation type="whole" allowBlank="1" showErrorMessage="1" errorTitle="Ошибка" error="Допускается ввод только неотрицательных целых чисел!" sqref="AF1405">
      <formula1>0</formula1>
      <formula2>9.99999999999999E+23</formula2>
    </dataValidation>
    <dataValidation type="textLength" operator="lessThanOrEqual" allowBlank="1" showInputMessage="1" showErrorMessage="1" errorTitle="Ошибка" error="Допускается ввод не более 900 символов!" sqref="M1405">
      <formula1>900</formula1>
    </dataValidation>
    <dataValidation type="textLength" operator="lessThanOrEqual" allowBlank="1" showInputMessage="1" showErrorMessage="1" errorTitle="Ошибка" error="Допускается ввод не более 900 символов!" sqref="K1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5">
      <formula1>"a"</formula1>
    </dataValidation>
    <dataValidation type="whole" allowBlank="1" showErrorMessage="1" errorTitle="Ошибка" error="Допускается ввод только неотрицательных целых чисел!" sqref="AI1396">
      <formula1>0</formula1>
      <formula2>9.99999999999999E+23</formula2>
    </dataValidation>
    <dataValidation type="whole" allowBlank="1" showErrorMessage="1" errorTitle="Ошибка" error="Допускается ввод только неотрицательных целых чисел!" sqref="AF1396">
      <formula1>0</formula1>
      <formula2>9.99999999999999E+23</formula2>
    </dataValidation>
    <dataValidation type="decimal" allowBlank="1" showErrorMessage="1" errorTitle="Ошибка" error="Допускается ввод только неотрицательных чисел!" sqref="AE1396">
      <formula1>0</formula1>
      <formula2>9.99999999999999E+23</formula2>
    </dataValidation>
    <dataValidation type="decimal" allowBlank="1" showErrorMessage="1" errorTitle="Ошибка" error="Допускается ввод только неотрицательных чисел!" sqref="AC1396">
      <formula1>0</formula1>
      <formula2>9.99999999999999E+23</formula2>
    </dataValidation>
    <dataValidation type="textLength" operator="lessThanOrEqual" allowBlank="1" showInputMessage="1" showErrorMessage="1" errorTitle="Ошибка" error="Допускается ввод не более 900 символов!" sqref="K1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6">
      <formula1>"a"</formula1>
    </dataValidation>
    <dataValidation type="whole" allowBlank="1" showErrorMessage="1" errorTitle="Ошибка" error="Допускается ввод только неотрицательных целых чисел!" sqref="AI1390">
      <formula1>0</formula1>
      <formula2>9.99999999999999E+23</formula2>
    </dataValidation>
    <dataValidation type="whole" allowBlank="1" showErrorMessage="1" errorTitle="Ошибка" error="Допускается ввод только неотрицательных целых чисел!" sqref="AF1390">
      <formula1>0</formula1>
      <formula2>9.99999999999999E+23</formula2>
    </dataValidation>
    <dataValidation type="decimal" allowBlank="1" showErrorMessage="1" errorTitle="Ошибка" error="Допускается ввод только неотрицательных чисел!" sqref="AE1390">
      <formula1>0</formula1>
      <formula2>9.99999999999999E+23</formula2>
    </dataValidation>
    <dataValidation type="decimal" allowBlank="1" showErrorMessage="1" errorTitle="Ошибка" error="Допускается ввод только неотрицательных чисел!" sqref="AC1390">
      <formula1>0</formula1>
      <formula2>9.99999999999999E+23</formula2>
    </dataValidation>
    <dataValidation type="textLength" operator="lessThanOrEqual" allowBlank="1" showInputMessage="1" showErrorMessage="1" errorTitle="Ошибка" error="Допускается ввод не более 900 символов!" sqref="K1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0">
      <formula1>"a"</formula1>
    </dataValidation>
    <dataValidation type="whole" allowBlank="1" showErrorMessage="1" errorTitle="Ошибка" error="Допускается ввод только неотрицательных целых чисел!" sqref="AI1384">
      <formula1>0</formula1>
      <formula2>9.99999999999999E+23</formula2>
    </dataValidation>
    <dataValidation type="whole" allowBlank="1" showErrorMessage="1" errorTitle="Ошибка" error="Допускается ввод только неотрицательных целых чисел!" sqref="AF1384">
      <formula1>0</formula1>
      <formula2>9.99999999999999E+23</formula2>
    </dataValidation>
    <dataValidation type="decimal" allowBlank="1" showErrorMessage="1" errorTitle="Ошибка" error="Допускается ввод только неотрицательных чисел!" sqref="AE1384">
      <formula1>0</formula1>
      <formula2>9.99999999999999E+23</formula2>
    </dataValidation>
    <dataValidation type="decimal" allowBlank="1" showErrorMessage="1" errorTitle="Ошибка" error="Допускается ввод только неотрицательных чисел!" sqref="AC1384">
      <formula1>0</formula1>
      <formula2>9.99999999999999E+23</formula2>
    </dataValidation>
    <dataValidation type="textLength" operator="lessThanOrEqual" allowBlank="1" showInputMessage="1" showErrorMessage="1" errorTitle="Ошибка" error="Допускается ввод не более 900 символов!" sqref="K1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4">
      <formula1>"a"</formula1>
    </dataValidation>
    <dataValidation type="whole" allowBlank="1" showErrorMessage="1" errorTitle="Ошибка" error="Допускается ввод только неотрицательных целых чисел!" sqref="AI1378">
      <formula1>0</formula1>
      <formula2>9.99999999999999E+23</formula2>
    </dataValidation>
    <dataValidation type="whole" allowBlank="1" showErrorMessage="1" errorTitle="Ошибка" error="Допускается ввод только неотрицательных целых чисел!" sqref="AF1378">
      <formula1>0</formula1>
      <formula2>9.99999999999999E+23</formula2>
    </dataValidation>
    <dataValidation type="decimal" allowBlank="1" showErrorMessage="1" errorTitle="Ошибка" error="Допускается ввод только неотрицательных чисел!" sqref="AE1378">
      <formula1>0</formula1>
      <formula2>9.99999999999999E+23</formula2>
    </dataValidation>
    <dataValidation type="decimal" allowBlank="1" showErrorMessage="1" errorTitle="Ошибка" error="Допускается ввод только неотрицательных чисел!" sqref="AC1378">
      <formula1>0</formula1>
      <formula2>9.99999999999999E+23</formula2>
    </dataValidation>
    <dataValidation type="textLength" operator="lessThanOrEqual" allowBlank="1" showInputMessage="1" showErrorMessage="1" errorTitle="Ошибка" error="Допускается ввод не более 900 символов!" sqref="K1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8">
      <formula1>"a"</formula1>
    </dataValidation>
    <dataValidation type="whole" allowBlank="1" showErrorMessage="1" errorTitle="Ошибка" error="Допускается ввод только неотрицательных целых чисел!" sqref="AI1372">
      <formula1>0</formula1>
      <formula2>9.99999999999999E+23</formula2>
    </dataValidation>
    <dataValidation type="whole" allowBlank="1" showErrorMessage="1" errorTitle="Ошибка" error="Допускается ввод только неотрицательных целых чисел!" sqref="AF1372">
      <formula1>0</formula1>
      <formula2>9.99999999999999E+23</formula2>
    </dataValidation>
    <dataValidation type="decimal" allowBlank="1" showErrorMessage="1" errorTitle="Ошибка" error="Допускается ввод только неотрицательных чисел!" sqref="AE1372">
      <formula1>0</formula1>
      <formula2>9.99999999999999E+23</formula2>
    </dataValidation>
    <dataValidation type="decimal" allowBlank="1" showErrorMessage="1" errorTitle="Ошибка" error="Допускается ввод только неотрицательных чисел!" sqref="AC1372">
      <formula1>0</formula1>
      <formula2>9.99999999999999E+23</formula2>
    </dataValidation>
    <dataValidation type="textLength" operator="lessThanOrEqual" allowBlank="1" showInputMessage="1" showErrorMessage="1" errorTitle="Ошибка" error="Допускается ввод не более 900 символов!" sqref="K1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2">
      <formula1>"a"</formula1>
    </dataValidation>
    <dataValidation type="whole" allowBlank="1" showErrorMessage="1" errorTitle="Ошибка" error="Допускается ввод только неотрицательных целых чисел!" sqref="AI1398">
      <formula1>0</formula1>
      <formula2>9.99999999999999E+23</formula2>
    </dataValidation>
    <dataValidation type="whole" allowBlank="1" showErrorMessage="1" errorTitle="Ошибка" error="Допускается ввод только неотрицательных целых чисел!" sqref="AF1398">
      <formula1>0</formula1>
      <formula2>9.99999999999999E+23</formula2>
    </dataValidation>
    <dataValidation type="whole" allowBlank="1" showErrorMessage="1" errorTitle="Ошибка" error="Допускается ввод только неотрицательных целых чисел!" sqref="AI1397">
      <formula1>0</formula1>
      <formula2>9.99999999999999E+23</formula2>
    </dataValidation>
    <dataValidation type="whole" allowBlank="1" showErrorMessage="1" errorTitle="Ошибка" error="Допускается ввод только неотрицательных целых чисел!" sqref="AF1397">
      <formula1>0</formula1>
      <formula2>9.99999999999999E+23</formula2>
    </dataValidation>
    <dataValidation type="textLength" operator="lessThanOrEqual" allowBlank="1" showInputMessage="1" showErrorMessage="1" errorTitle="Ошибка" error="Допускается ввод не более 900 символов!" sqref="K1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7">
      <formula1>"a"</formula1>
    </dataValidation>
    <dataValidation type="whole" allowBlank="1" showErrorMessage="1" errorTitle="Ошибка" error="Допускается ввод только неотрицательных целых чисел!" sqref="AI1395">
      <formula1>0</formula1>
      <formula2>9.99999999999999E+23</formula2>
    </dataValidation>
    <dataValidation type="whole" allowBlank="1" showErrorMessage="1" errorTitle="Ошибка" error="Допускается ввод только неотрицательных целых чисел!" sqref="AF1395">
      <formula1>0</formula1>
      <formula2>9.99999999999999E+23</formula2>
    </dataValidation>
    <dataValidation type="decimal" allowBlank="1" showErrorMessage="1" errorTitle="Ошибка" error="Допускается ввод только неотрицательных чисел!" sqref="AE1395">
      <formula1>0</formula1>
      <formula2>9.99999999999999E+23</formula2>
    </dataValidation>
    <dataValidation type="decimal" allowBlank="1" showErrorMessage="1" errorTitle="Ошибка" error="Допускается ввод только неотрицательных чисел!" sqref="AC1395">
      <formula1>0</formula1>
      <formula2>9.99999999999999E+23</formula2>
    </dataValidation>
    <dataValidation type="textLength" operator="lessThanOrEqual" allowBlank="1" showInputMessage="1" showErrorMessage="1" errorTitle="Ошибка" error="Допускается ввод не более 900 символов!" sqref="K1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5">
      <formula1>"a"</formula1>
    </dataValidation>
    <dataValidation type="whole" allowBlank="1" showErrorMessage="1" errorTitle="Ошибка" error="Допускается ввод только неотрицательных целых чисел!" sqref="AI1394">
      <formula1>0</formula1>
      <formula2>9.99999999999999E+23</formula2>
    </dataValidation>
    <dataValidation type="whole" allowBlank="1" showErrorMessage="1" errorTitle="Ошибка" error="Допускается ввод только неотрицательных целых чисел!" sqref="AF1394">
      <formula1>0</formula1>
      <formula2>9.99999999999999E+23</formula2>
    </dataValidation>
    <dataValidation type="textLength" operator="lessThanOrEqual" allowBlank="1" showInputMessage="1" showErrorMessage="1" errorTitle="Ошибка" error="Допускается ввод не более 900 символов!" sqref="K1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4">
      <formula1>"a"</formula1>
    </dataValidation>
    <dataValidation type="whole" allowBlank="1" showErrorMessage="1" errorTitle="Ошибка" error="Допускается ввод только неотрицательных целых чисел!" sqref="AI1393">
      <formula1>0</formula1>
      <formula2>9.99999999999999E+23</formula2>
    </dataValidation>
    <dataValidation type="whole" allowBlank="1" showErrorMessage="1" errorTitle="Ошибка" error="Допускается ввод только неотрицательных целых чисел!" sqref="AF1393">
      <formula1>0</formula1>
      <formula2>9.99999999999999E+23</formula2>
    </dataValidation>
    <dataValidation type="textLength" operator="lessThanOrEqual" allowBlank="1" showInputMessage="1" showErrorMessage="1" errorTitle="Ошибка" error="Допускается ввод не более 900 символов!" sqref="M1393">
      <formula1>900</formula1>
    </dataValidation>
    <dataValidation type="textLength" operator="lessThanOrEqual" allowBlank="1" showInputMessage="1" showErrorMessage="1" errorTitle="Ошибка" error="Допускается ввод не более 900 символов!" sqref="K1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3">
      <formula1>"a"</formula1>
    </dataValidation>
    <dataValidation type="whole" allowBlank="1" showErrorMessage="1" errorTitle="Ошибка" error="Допускается ввод только неотрицательных целых чисел!" sqref="AI1392">
      <formula1>0</formula1>
      <formula2>9.99999999999999E+23</formula2>
    </dataValidation>
    <dataValidation type="whole" allowBlank="1" showErrorMessage="1" errorTitle="Ошибка" error="Допускается ввод только неотрицательных целых чисел!" sqref="AF1392">
      <formula1>0</formula1>
      <formula2>9.99999999999999E+23</formula2>
    </dataValidation>
    <dataValidation type="whole" allowBlank="1" showErrorMessage="1" errorTitle="Ошибка" error="Допускается ввод только неотрицательных целых чисел!" sqref="AI1391">
      <formula1>0</formula1>
      <formula2>9.99999999999999E+23</formula2>
    </dataValidation>
    <dataValidation type="whole" allowBlank="1" showErrorMessage="1" errorTitle="Ошибка" error="Допускается ввод только неотрицательных целых чисел!" sqref="AF1391">
      <formula1>0</formula1>
      <formula2>9.99999999999999E+23</formula2>
    </dataValidation>
    <dataValidation type="textLength" operator="lessThanOrEqual" allowBlank="1" showInputMessage="1" showErrorMessage="1" errorTitle="Ошибка" error="Допускается ввод не более 900 символов!" sqref="K1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1">
      <formula1>"a"</formula1>
    </dataValidation>
    <dataValidation type="whole" allowBlank="1" showErrorMessage="1" errorTitle="Ошибка" error="Допускается ввод только неотрицательных целых чисел!" sqref="AI1389">
      <formula1>0</formula1>
      <formula2>9.99999999999999E+23</formula2>
    </dataValidation>
    <dataValidation type="whole" allowBlank="1" showErrorMessage="1" errorTitle="Ошибка" error="Допускается ввод только неотрицательных целых чисел!" sqref="AF1389">
      <formula1>0</formula1>
      <formula2>9.99999999999999E+23</formula2>
    </dataValidation>
    <dataValidation type="decimal" allowBlank="1" showErrorMessage="1" errorTitle="Ошибка" error="Допускается ввод только неотрицательных чисел!" sqref="AE1389">
      <formula1>0</formula1>
      <formula2>9.99999999999999E+23</formula2>
    </dataValidation>
    <dataValidation type="decimal" allowBlank="1" showErrorMessage="1" errorTitle="Ошибка" error="Допускается ввод только неотрицательных чисел!" sqref="AC1389">
      <formula1>0</formula1>
      <formula2>9.99999999999999E+23</formula2>
    </dataValidation>
    <dataValidation type="textLength" operator="lessThanOrEqual" allowBlank="1" showInputMessage="1" showErrorMessage="1" errorTitle="Ошибка" error="Допускается ввод не более 900 символов!" sqref="K1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9">
      <formula1>"a"</formula1>
    </dataValidation>
    <dataValidation type="whole" allowBlank="1" showErrorMessage="1" errorTitle="Ошибка" error="Допускается ввод только неотрицательных целых чисел!" sqref="AI1388">
      <formula1>0</formula1>
      <formula2>9.99999999999999E+23</formula2>
    </dataValidation>
    <dataValidation type="whole" allowBlank="1" showErrorMessage="1" errorTitle="Ошибка" error="Допускается ввод только неотрицательных целых чисел!" sqref="AF1388">
      <formula1>0</formula1>
      <formula2>9.99999999999999E+23</formula2>
    </dataValidation>
    <dataValidation type="textLength" operator="lessThanOrEqual" allowBlank="1" showInputMessage="1" showErrorMessage="1" errorTitle="Ошибка" error="Допускается ввод не более 900 символов!" sqref="K1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8">
      <formula1>"a"</formula1>
    </dataValidation>
    <dataValidation type="whole" allowBlank="1" showErrorMessage="1" errorTitle="Ошибка" error="Допускается ввод только неотрицательных целых чисел!" sqref="AI1387">
      <formula1>0</formula1>
      <formula2>9.99999999999999E+23</formula2>
    </dataValidation>
    <dataValidation type="whole" allowBlank="1" showErrorMessage="1" errorTitle="Ошибка" error="Допускается ввод только неотрицательных целых чисел!" sqref="AF1387">
      <formula1>0</formula1>
      <formula2>9.99999999999999E+23</formula2>
    </dataValidation>
    <dataValidation type="textLength" operator="lessThanOrEqual" allowBlank="1" showInputMessage="1" showErrorMessage="1" errorTitle="Ошибка" error="Допускается ввод не более 900 символов!" sqref="M1387">
      <formula1>900</formula1>
    </dataValidation>
    <dataValidation type="textLength" operator="lessThanOrEqual" allowBlank="1" showInputMessage="1" showErrorMessage="1" errorTitle="Ошибка" error="Допускается ввод не более 900 символов!" sqref="K1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7">
      <formula1>"a"</formula1>
    </dataValidation>
    <dataValidation type="whole" allowBlank="1" showErrorMessage="1" errorTitle="Ошибка" error="Допускается ввод только неотрицательных целых чисел!" sqref="AI1386">
      <formula1>0</formula1>
      <formula2>9.99999999999999E+23</formula2>
    </dataValidation>
    <dataValidation type="whole" allowBlank="1" showErrorMessage="1" errorTitle="Ошибка" error="Допускается ввод только неотрицательных целых чисел!" sqref="AF1386">
      <formula1>0</formula1>
      <formula2>9.99999999999999E+23</formula2>
    </dataValidation>
    <dataValidation type="whole" allowBlank="1" showErrorMessage="1" errorTitle="Ошибка" error="Допускается ввод только неотрицательных целых чисел!" sqref="AI1385">
      <formula1>0</formula1>
      <formula2>9.99999999999999E+23</formula2>
    </dataValidation>
    <dataValidation type="whole" allowBlank="1" showErrorMessage="1" errorTitle="Ошибка" error="Допускается ввод только неотрицательных целых чисел!" sqref="AF1385">
      <formula1>0</formula1>
      <formula2>9.99999999999999E+23</formula2>
    </dataValidation>
    <dataValidation type="textLength" operator="lessThanOrEqual" allowBlank="1" showInputMessage="1" showErrorMessage="1" errorTitle="Ошибка" error="Допускается ввод не более 900 символов!" sqref="K1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5">
      <formula1>"a"</formula1>
    </dataValidation>
    <dataValidation type="whole" allowBlank="1" showErrorMessage="1" errorTitle="Ошибка" error="Допускается ввод только неотрицательных целых чисел!" sqref="AI1383">
      <formula1>0</formula1>
      <formula2>9.99999999999999E+23</formula2>
    </dataValidation>
    <dataValidation type="whole" allowBlank="1" showErrorMessage="1" errorTitle="Ошибка" error="Допускается ввод только неотрицательных целых чисел!" sqref="AF1383">
      <formula1>0</formula1>
      <formula2>9.99999999999999E+23</formula2>
    </dataValidation>
    <dataValidation type="decimal" allowBlank="1" showErrorMessage="1" errorTitle="Ошибка" error="Допускается ввод только неотрицательных чисел!" sqref="AE1383">
      <formula1>0</formula1>
      <formula2>9.99999999999999E+23</formula2>
    </dataValidation>
    <dataValidation type="decimal" allowBlank="1" showErrorMessage="1" errorTitle="Ошибка" error="Допускается ввод только неотрицательных чисел!" sqref="AC1383">
      <formula1>0</formula1>
      <formula2>9.99999999999999E+23</formula2>
    </dataValidation>
    <dataValidation type="textLength" operator="lessThanOrEqual" allowBlank="1" showInputMessage="1" showErrorMessage="1" errorTitle="Ошибка" error="Допускается ввод не более 900 символов!" sqref="K1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3">
      <formula1>"a"</formula1>
    </dataValidation>
    <dataValidation type="whole" allowBlank="1" showErrorMessage="1" errorTitle="Ошибка" error="Допускается ввод только неотрицательных целых чисел!" sqref="AI1382">
      <formula1>0</formula1>
      <formula2>9.99999999999999E+23</formula2>
    </dataValidation>
    <dataValidation type="whole" allowBlank="1" showErrorMessage="1" errorTitle="Ошибка" error="Допускается ввод только неотрицательных целых чисел!" sqref="AF1382">
      <formula1>0</formula1>
      <formula2>9.99999999999999E+23</formula2>
    </dataValidation>
    <dataValidation type="textLength" operator="lessThanOrEqual" allowBlank="1" showInputMessage="1" showErrorMessage="1" errorTitle="Ошибка" error="Допускается ввод не более 900 символов!" sqref="K1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2">
      <formula1>"a"</formula1>
    </dataValidation>
    <dataValidation type="whole" allowBlank="1" showErrorMessage="1" errorTitle="Ошибка" error="Допускается ввод только неотрицательных целых чисел!" sqref="AI1381">
      <formula1>0</formula1>
      <formula2>9.99999999999999E+23</formula2>
    </dataValidation>
    <dataValidation type="whole" allowBlank="1" showErrorMessage="1" errorTitle="Ошибка" error="Допускается ввод только неотрицательных целых чисел!" sqref="AF1381">
      <formula1>0</formula1>
      <formula2>9.99999999999999E+23</formula2>
    </dataValidation>
    <dataValidation type="textLength" operator="lessThanOrEqual" allowBlank="1" showInputMessage="1" showErrorMessage="1" errorTitle="Ошибка" error="Допускается ввод не более 900 символов!" sqref="M1381">
      <formula1>900</formula1>
    </dataValidation>
    <dataValidation type="textLength" operator="lessThanOrEqual" allowBlank="1" showInputMessage="1" showErrorMessage="1" errorTitle="Ошибка" error="Допускается ввод не более 900 символов!" sqref="K1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1">
      <formula1>"a"</formula1>
    </dataValidation>
    <dataValidation type="whole" allowBlank="1" showErrorMessage="1" errorTitle="Ошибка" error="Допускается ввод только неотрицательных целых чисел!" sqref="AI1380">
      <formula1>0</formula1>
      <formula2>9.99999999999999E+23</formula2>
    </dataValidation>
    <dataValidation type="whole" allowBlank="1" showErrorMessage="1" errorTitle="Ошибка" error="Допускается ввод только неотрицательных целых чисел!" sqref="AF1380">
      <formula1>0</formula1>
      <formula2>9.99999999999999E+23</formula2>
    </dataValidation>
    <dataValidation type="whole" allowBlank="1" showErrorMessage="1" errorTitle="Ошибка" error="Допускается ввод только неотрицательных целых чисел!" sqref="AI1379">
      <formula1>0</formula1>
      <formula2>9.99999999999999E+23</formula2>
    </dataValidation>
    <dataValidation type="whole" allowBlank="1" showErrorMessage="1" errorTitle="Ошибка" error="Допускается ввод только неотрицательных целых чисел!" sqref="AF1379">
      <formula1>0</formula1>
      <formula2>9.99999999999999E+23</formula2>
    </dataValidation>
    <dataValidation type="textLength" operator="lessThanOrEqual" allowBlank="1" showInputMessage="1" showErrorMessage="1" errorTitle="Ошибка" error="Допускается ввод не более 900 символов!" sqref="K1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9">
      <formula1>"a"</formula1>
    </dataValidation>
    <dataValidation type="whole" allowBlank="1" showErrorMessage="1" errorTitle="Ошибка" error="Допускается ввод только неотрицательных целых чисел!" sqref="AI1377">
      <formula1>0</formula1>
      <formula2>9.99999999999999E+23</formula2>
    </dataValidation>
    <dataValidation type="whole" allowBlank="1" showErrorMessage="1" errorTitle="Ошибка" error="Допускается ввод только неотрицательных целых чисел!" sqref="AF1377">
      <formula1>0</formula1>
      <formula2>9.99999999999999E+23</formula2>
    </dataValidation>
    <dataValidation type="decimal" allowBlank="1" showErrorMessage="1" errorTitle="Ошибка" error="Допускается ввод только неотрицательных чисел!" sqref="AE1377">
      <formula1>0</formula1>
      <formula2>9.99999999999999E+23</formula2>
    </dataValidation>
    <dataValidation type="decimal" allowBlank="1" showErrorMessage="1" errorTitle="Ошибка" error="Допускается ввод только неотрицательных чисел!" sqref="AC1377">
      <formula1>0</formula1>
      <formula2>9.99999999999999E+23</formula2>
    </dataValidation>
    <dataValidation type="textLength" operator="lessThanOrEqual" allowBlank="1" showInputMessage="1" showErrorMessage="1" errorTitle="Ошибка" error="Допускается ввод не более 900 символов!" sqref="K1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7">
      <formula1>"a"</formula1>
    </dataValidation>
    <dataValidation type="whole" allowBlank="1" showErrorMessage="1" errorTitle="Ошибка" error="Допускается ввод только неотрицательных целых чисел!" sqref="AI1376">
      <formula1>0</formula1>
      <formula2>9.99999999999999E+23</formula2>
    </dataValidation>
    <dataValidation type="whole" allowBlank="1" showErrorMessage="1" errorTitle="Ошибка" error="Допускается ввод только неотрицательных целых чисел!" sqref="AF1376">
      <formula1>0</formula1>
      <formula2>9.99999999999999E+23</formula2>
    </dataValidation>
    <dataValidation type="textLength" operator="lessThanOrEqual" allowBlank="1" showInputMessage="1" showErrorMessage="1" errorTitle="Ошибка" error="Допускается ввод не более 900 символов!" sqref="K1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6">
      <formula1>"a"</formula1>
    </dataValidation>
    <dataValidation type="whole" allowBlank="1" showErrorMessage="1" errorTitle="Ошибка" error="Допускается ввод только неотрицательных целых чисел!" sqref="AI1375">
      <formula1>0</formula1>
      <formula2>9.99999999999999E+23</formula2>
    </dataValidation>
    <dataValidation type="whole" allowBlank="1" showErrorMessage="1" errorTitle="Ошибка" error="Допускается ввод только неотрицательных целых чисел!" sqref="AF1375">
      <formula1>0</formula1>
      <formula2>9.99999999999999E+23</formula2>
    </dataValidation>
    <dataValidation type="textLength" operator="lessThanOrEqual" allowBlank="1" showInputMessage="1" showErrorMessage="1" errorTitle="Ошибка" error="Допускается ввод не более 900 символов!" sqref="M1375">
      <formula1>900</formula1>
    </dataValidation>
    <dataValidation type="textLength" operator="lessThanOrEqual" allowBlank="1" showInputMessage="1" showErrorMessage="1" errorTitle="Ошибка" error="Допускается ввод не более 900 символов!" sqref="K1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5">
      <formula1>"a"</formula1>
    </dataValidation>
    <dataValidation type="whole" allowBlank="1" showErrorMessage="1" errorTitle="Ошибка" error="Допускается ввод только неотрицательных целых чисел!" sqref="AI1374">
      <formula1>0</formula1>
      <formula2>9.99999999999999E+23</formula2>
    </dataValidation>
    <dataValidation type="whole" allowBlank="1" showErrorMessage="1" errorTitle="Ошибка" error="Допускается ввод только неотрицательных целых чисел!" sqref="AF1374">
      <formula1>0</formula1>
      <formula2>9.99999999999999E+23</formula2>
    </dataValidation>
    <dataValidation type="whole" allowBlank="1" showErrorMessage="1" errorTitle="Ошибка" error="Допускается ввод только неотрицательных целых чисел!" sqref="AI1373">
      <formula1>0</formula1>
      <formula2>9.99999999999999E+23</formula2>
    </dataValidation>
    <dataValidation type="whole" allowBlank="1" showErrorMessage="1" errorTitle="Ошибка" error="Допускается ввод только неотрицательных целых чисел!" sqref="AF1373">
      <formula1>0</formula1>
      <formula2>9.99999999999999E+23</formula2>
    </dataValidation>
    <dataValidation type="textLength" operator="lessThanOrEqual" allowBlank="1" showInputMessage="1" showErrorMessage="1" errorTitle="Ошибка" error="Допускается ввод не более 900 символов!" sqref="K1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3">
      <formula1>"a"</formula1>
    </dataValidation>
    <dataValidation type="whole" allowBlank="1" showErrorMessage="1" errorTitle="Ошибка" error="Допускается ввод только неотрицательных целых чисел!" sqref="AI1371">
      <formula1>0</formula1>
      <formula2>9.99999999999999E+23</formula2>
    </dataValidation>
    <dataValidation type="whole" allowBlank="1" showErrorMessage="1" errorTitle="Ошибка" error="Допускается ввод только неотрицательных целых чисел!" sqref="AF1371">
      <formula1>0</formula1>
      <formula2>9.99999999999999E+23</formula2>
    </dataValidation>
    <dataValidation type="decimal" allowBlank="1" showErrorMessage="1" errorTitle="Ошибка" error="Допускается ввод только неотрицательных чисел!" sqref="AE1371">
      <formula1>0</formula1>
      <formula2>9.99999999999999E+23</formula2>
    </dataValidation>
    <dataValidation type="decimal" allowBlank="1" showErrorMessage="1" errorTitle="Ошибка" error="Допускается ввод только неотрицательных чисел!" sqref="AC1371">
      <formula1>0</formula1>
      <formula2>9.99999999999999E+23</formula2>
    </dataValidation>
    <dataValidation type="textLength" operator="lessThanOrEqual" allowBlank="1" showInputMessage="1" showErrorMessage="1" errorTitle="Ошибка" error="Допускается ввод не более 900 символов!" sqref="K1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1">
      <formula1>"a"</formula1>
    </dataValidation>
    <dataValidation type="whole" allowBlank="1" showErrorMessage="1" errorTitle="Ошибка" error="Допускается ввод только неотрицательных целых чисел!" sqref="AI1370">
      <formula1>0</formula1>
      <formula2>9.99999999999999E+23</formula2>
    </dataValidation>
    <dataValidation type="whole" allowBlank="1" showErrorMessage="1" errorTitle="Ошибка" error="Допускается ввод только неотрицательных целых чисел!" sqref="AF1370">
      <formula1>0</formula1>
      <formula2>9.99999999999999E+23</formula2>
    </dataValidation>
    <dataValidation type="textLength" operator="lessThanOrEqual" allowBlank="1" showInputMessage="1" showErrorMessage="1" errorTitle="Ошибка" error="Допускается ввод не более 900 символов!" sqref="K1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0">
      <formula1>"a"</formula1>
    </dataValidation>
    <dataValidation type="whole" allowBlank="1" showErrorMessage="1" errorTitle="Ошибка" error="Допускается ввод только неотрицательных целых чисел!" sqref="AI1369">
      <formula1>0</formula1>
      <formula2>9.99999999999999E+23</formula2>
    </dataValidation>
    <dataValidation type="whole" allowBlank="1" showErrorMessage="1" errorTitle="Ошибка" error="Допускается ввод только неотрицательных целых чисел!" sqref="AF1369">
      <formula1>0</formula1>
      <formula2>9.99999999999999E+23</formula2>
    </dataValidation>
    <dataValidation type="textLength" operator="lessThanOrEqual" allowBlank="1" showInputMessage="1" showErrorMessage="1" errorTitle="Ошибка" error="Допускается ввод не более 900 символов!" sqref="M1369">
      <formula1>900</formula1>
    </dataValidation>
    <dataValidation type="textLength" operator="lessThanOrEqual" allowBlank="1" showInputMessage="1" showErrorMessage="1" errorTitle="Ошибка" error="Допускается ввод не более 900 символов!" sqref="K1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9">
      <formula1>"a"</formula1>
    </dataValidation>
    <dataValidation type="whole" allowBlank="1" showErrorMessage="1" errorTitle="Ошибка" error="Допускается ввод только неотрицательных целых чисел!" sqref="AI1360">
      <formula1>0</formula1>
      <formula2>9.99999999999999E+23</formula2>
    </dataValidation>
    <dataValidation type="whole" allowBlank="1" showErrorMessage="1" errorTitle="Ошибка" error="Допускается ввод только неотрицательных целых чисел!" sqref="AF1360">
      <formula1>0</formula1>
      <formula2>9.99999999999999E+23</formula2>
    </dataValidation>
    <dataValidation type="decimal" allowBlank="1" showErrorMessage="1" errorTitle="Ошибка" error="Допускается ввод только неотрицательных чисел!" sqref="AE1360">
      <formula1>0</formula1>
      <formula2>9.99999999999999E+23</formula2>
    </dataValidation>
    <dataValidation type="decimal" allowBlank="1" showErrorMessage="1" errorTitle="Ошибка" error="Допускается ввод только неотрицательных чисел!" sqref="AC1360">
      <formula1>0</formula1>
      <formula2>9.99999999999999E+23</formula2>
    </dataValidation>
    <dataValidation type="textLength" operator="lessThanOrEqual" allowBlank="1" showInputMessage="1" showErrorMessage="1" errorTitle="Ошибка" error="Допускается ввод не более 900 символов!" sqref="K1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0">
      <formula1>"a"</formula1>
    </dataValidation>
    <dataValidation type="whole" allowBlank="1" showErrorMessage="1" errorTitle="Ошибка" error="Допускается ввод только неотрицательных целых чисел!" sqref="AI1359">
      <formula1>0</formula1>
      <formula2>9.99999999999999E+23</formula2>
    </dataValidation>
    <dataValidation type="whole" allowBlank="1" showErrorMessage="1" errorTitle="Ошибка" error="Допускается ввод только неотрицательных целых чисел!" sqref="AF1359">
      <formula1>0</formula1>
      <formula2>9.99999999999999E+23</formula2>
    </dataValidation>
    <dataValidation type="decimal" allowBlank="1" showErrorMessage="1" errorTitle="Ошибка" error="Допускается ввод только неотрицательных чисел!" sqref="AE1359">
      <formula1>0</formula1>
      <formula2>9.99999999999999E+23</formula2>
    </dataValidation>
    <dataValidation type="decimal" allowBlank="1" showErrorMessage="1" errorTitle="Ошибка" error="Допускается ввод только неотрицательных чисел!" sqref="AC1359">
      <formula1>0</formula1>
      <formula2>9.99999999999999E+23</formula2>
    </dataValidation>
    <dataValidation type="textLength" operator="lessThanOrEqual" allowBlank="1" showInputMessage="1" showErrorMessage="1" errorTitle="Ошибка" error="Допускается ввод не более 900 символов!" sqref="K1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9">
      <formula1>"a"</formula1>
    </dataValidation>
    <dataValidation type="whole" allowBlank="1" showErrorMessage="1" errorTitle="Ошибка" error="Допускается ввод только неотрицательных целых чисел!" sqref="AI1353">
      <formula1>0</formula1>
      <formula2>9.99999999999999E+23</formula2>
    </dataValidation>
    <dataValidation type="whole" allowBlank="1" showErrorMessage="1" errorTitle="Ошибка" error="Допускается ввод только неотрицательных целых чисел!" sqref="AF1353">
      <formula1>0</formula1>
      <formula2>9.99999999999999E+23</formula2>
    </dataValidation>
    <dataValidation type="decimal" allowBlank="1" showErrorMessage="1" errorTitle="Ошибка" error="Допускается ввод только неотрицательных чисел!" sqref="AE1353">
      <formula1>0</formula1>
      <formula2>9.99999999999999E+23</formula2>
    </dataValidation>
    <dataValidation type="decimal" allowBlank="1" showErrorMessage="1" errorTitle="Ошибка" error="Допускается ввод только неотрицательных чисел!" sqref="AC1353">
      <formula1>0</formula1>
      <formula2>9.99999999999999E+23</formula2>
    </dataValidation>
    <dataValidation type="textLength" operator="lessThanOrEqual" allowBlank="1" showInputMessage="1" showErrorMessage="1" errorTitle="Ошибка" error="Допускается ввод не более 900 символов!" sqref="K1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3">
      <formula1>"a"</formula1>
    </dataValidation>
    <dataValidation type="whole" allowBlank="1" showErrorMessage="1" errorTitle="Ошибка" error="Допускается ввод только неотрицательных целых чисел!" sqref="AI1352">
      <formula1>0</formula1>
      <formula2>9.99999999999999E+23</formula2>
    </dataValidation>
    <dataValidation type="whole" allowBlank="1" showErrorMessage="1" errorTitle="Ошибка" error="Допускается ввод только неотрицательных целых чисел!" sqref="AF1352">
      <formula1>0</formula1>
      <formula2>9.99999999999999E+23</formula2>
    </dataValidation>
    <dataValidation type="decimal" allowBlank="1" showErrorMessage="1" errorTitle="Ошибка" error="Допускается ввод только неотрицательных чисел!" sqref="AE1352">
      <formula1>0</formula1>
      <formula2>9.99999999999999E+23</formula2>
    </dataValidation>
    <dataValidation type="decimal" allowBlank="1" showErrorMessage="1" errorTitle="Ошибка" error="Допускается ввод только неотрицательных чисел!" sqref="AC1352">
      <formula1>0</formula1>
      <formula2>9.99999999999999E+23</formula2>
    </dataValidation>
    <dataValidation type="textLength" operator="lessThanOrEqual" allowBlank="1" showInputMessage="1" showErrorMessage="1" errorTitle="Ошибка" error="Допускается ввод не более 900 символов!" sqref="K1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2">
      <formula1>"a"</formula1>
    </dataValidation>
    <dataValidation type="whole" allowBlank="1" showErrorMessage="1" errorTitle="Ошибка" error="Допускается ввод только неотрицательных целых чисел!" sqref="AI1346">
      <formula1>0</formula1>
      <formula2>9.99999999999999E+23</formula2>
    </dataValidation>
    <dataValidation type="whole" allowBlank="1" showErrorMessage="1" errorTitle="Ошибка" error="Допускается ввод только неотрицательных целых чисел!" sqref="AF1346">
      <formula1>0</formula1>
      <formula2>9.99999999999999E+23</formula2>
    </dataValidation>
    <dataValidation type="decimal" allowBlank="1" showErrorMessage="1" errorTitle="Ошибка" error="Допускается ввод только неотрицательных чисел!" sqref="AE1346">
      <formula1>0</formula1>
      <formula2>9.99999999999999E+23</formula2>
    </dataValidation>
    <dataValidation type="decimal" allowBlank="1" showErrorMessage="1" errorTitle="Ошибка" error="Допускается ввод только неотрицательных чисел!" sqref="AC1346">
      <formula1>0</formula1>
      <formula2>9.99999999999999E+23</formula2>
    </dataValidation>
    <dataValidation type="textLength" operator="lessThanOrEqual" allowBlank="1" showInputMessage="1" showErrorMessage="1" errorTitle="Ошибка" error="Допускается ввод не более 900 символов!" sqref="K1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6">
      <formula1>"a"</formula1>
    </dataValidation>
    <dataValidation type="whole" allowBlank="1" showErrorMessage="1" errorTitle="Ошибка" error="Допускается ввод только неотрицательных целых чисел!" sqref="AI1345">
      <formula1>0</formula1>
      <formula2>9.99999999999999E+23</formula2>
    </dataValidation>
    <dataValidation type="whole" allowBlank="1" showErrorMessage="1" errorTitle="Ошибка" error="Допускается ввод только неотрицательных целых чисел!" sqref="AF1345">
      <formula1>0</formula1>
      <formula2>9.99999999999999E+23</formula2>
    </dataValidation>
    <dataValidation type="decimal" allowBlank="1" showErrorMessage="1" errorTitle="Ошибка" error="Допускается ввод только неотрицательных чисел!" sqref="AE1345">
      <formula1>0</formula1>
      <formula2>9.99999999999999E+23</formula2>
    </dataValidation>
    <dataValidation type="decimal" allowBlank="1" showErrorMessage="1" errorTitle="Ошибка" error="Допускается ввод только неотрицательных чисел!" sqref="AC1345">
      <formula1>0</formula1>
      <formula2>9.99999999999999E+23</formula2>
    </dataValidation>
    <dataValidation type="textLength" operator="lessThanOrEqual" allowBlank="1" showInputMessage="1" showErrorMessage="1" errorTitle="Ошибка" error="Допускается ввод не более 900 символов!" sqref="K1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5">
      <formula1>"a"</formula1>
    </dataValidation>
    <dataValidation type="whole" allowBlank="1" showErrorMessage="1" errorTitle="Ошибка" error="Допускается ввод только неотрицательных целых чисел!" sqref="AI1339">
      <formula1>0</formula1>
      <formula2>9.99999999999999E+23</formula2>
    </dataValidation>
    <dataValidation type="whole" allowBlank="1" showErrorMessage="1" errorTitle="Ошибка" error="Допускается ввод только неотрицательных целых чисел!" sqref="AF1339">
      <formula1>0</formula1>
      <formula2>9.99999999999999E+23</formula2>
    </dataValidation>
    <dataValidation type="decimal" allowBlank="1" showErrorMessage="1" errorTitle="Ошибка" error="Допускается ввод только неотрицательных чисел!" sqref="AE1339">
      <formula1>0</formula1>
      <formula2>9.99999999999999E+23</formula2>
    </dataValidation>
    <dataValidation type="decimal" allowBlank="1" showErrorMessage="1" errorTitle="Ошибка" error="Допускается ввод только неотрицательных чисел!" sqref="AC1339">
      <formula1>0</formula1>
      <formula2>9.99999999999999E+23</formula2>
    </dataValidation>
    <dataValidation type="textLength" operator="lessThanOrEqual" allowBlank="1" showInputMessage="1" showErrorMessage="1" errorTitle="Ошибка" error="Допускается ввод не более 900 символов!" sqref="K1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9">
      <formula1>"a"</formula1>
    </dataValidation>
    <dataValidation type="whole" allowBlank="1" showErrorMessage="1" errorTitle="Ошибка" error="Допускается ввод только неотрицательных целых чисел!" sqref="AI1338">
      <formula1>0</formula1>
      <formula2>9.99999999999999E+23</formula2>
    </dataValidation>
    <dataValidation type="whole" allowBlank="1" showErrorMessage="1" errorTitle="Ошибка" error="Допускается ввод только неотрицательных целых чисел!" sqref="AF1338">
      <formula1>0</formula1>
      <formula2>9.99999999999999E+23</formula2>
    </dataValidation>
    <dataValidation type="decimal" allowBlank="1" showErrorMessage="1" errorTitle="Ошибка" error="Допускается ввод только неотрицательных чисел!" sqref="AE1338">
      <formula1>0</formula1>
      <formula2>9.99999999999999E+23</formula2>
    </dataValidation>
    <dataValidation type="decimal" allowBlank="1" showErrorMessage="1" errorTitle="Ошибка" error="Допускается ввод только неотрицательных чисел!" sqref="AC1338">
      <formula1>0</formula1>
      <formula2>9.99999999999999E+23</formula2>
    </dataValidation>
    <dataValidation type="textLength" operator="lessThanOrEqual" allowBlank="1" showInputMessage="1" showErrorMessage="1" errorTitle="Ошибка" error="Допускается ввод не более 900 символов!" sqref="K1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8">
      <formula1>"a"</formula1>
    </dataValidation>
    <dataValidation type="whole" allowBlank="1" showErrorMessage="1" errorTitle="Ошибка" error="Допускается ввод только неотрицательных целых чисел!" sqref="AI1332">
      <formula1>0</formula1>
      <formula2>9.99999999999999E+23</formula2>
    </dataValidation>
    <dataValidation type="whole" allowBlank="1" showErrorMessage="1" errorTitle="Ошибка" error="Допускается ввод только неотрицательных целых чисел!" sqref="AF1332">
      <formula1>0</formula1>
      <formula2>9.99999999999999E+23</formula2>
    </dataValidation>
    <dataValidation type="decimal" allowBlank="1" showErrorMessage="1" errorTitle="Ошибка" error="Допускается ввод только неотрицательных чисел!" sqref="AE1332">
      <formula1>0</formula1>
      <formula2>9.99999999999999E+23</formula2>
    </dataValidation>
    <dataValidation type="decimal" allowBlank="1" showErrorMessage="1" errorTitle="Ошибка" error="Допускается ввод только неотрицательных чисел!" sqref="AC1332">
      <formula1>0</formula1>
      <formula2>9.99999999999999E+23</formula2>
    </dataValidation>
    <dataValidation type="textLength" operator="lessThanOrEqual" allowBlank="1" showInputMessage="1" showErrorMessage="1" errorTitle="Ошибка" error="Допускается ввод не более 900 символов!" sqref="K1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2">
      <formula1>"a"</formula1>
    </dataValidation>
    <dataValidation type="whole" allowBlank="1" showErrorMessage="1" errorTitle="Ошибка" error="Допускается ввод только неотрицательных целых чисел!" sqref="AI1331">
      <formula1>0</formula1>
      <formula2>9.99999999999999E+23</formula2>
    </dataValidation>
    <dataValidation type="whole" allowBlank="1" showErrorMessage="1" errorTitle="Ошибка" error="Допускается ввод только неотрицательных целых чисел!" sqref="AF1331">
      <formula1>0</formula1>
      <formula2>9.99999999999999E+23</formula2>
    </dataValidation>
    <dataValidation type="decimal" allowBlank="1" showErrorMessage="1" errorTitle="Ошибка" error="Допускается ввод только неотрицательных чисел!" sqref="AE1331">
      <formula1>0</formula1>
      <formula2>9.99999999999999E+23</formula2>
    </dataValidation>
    <dataValidation type="decimal" allowBlank="1" showErrorMessage="1" errorTitle="Ошибка" error="Допускается ввод только неотрицательных чисел!" sqref="AC1331">
      <formula1>0</formula1>
      <formula2>9.99999999999999E+23</formula2>
    </dataValidation>
    <dataValidation type="textLength" operator="lessThanOrEqual" allowBlank="1" showInputMessage="1" showErrorMessage="1" errorTitle="Ошибка" error="Допускается ввод не более 900 символов!" sqref="K1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1">
      <formula1>"a"</formula1>
    </dataValidation>
    <dataValidation type="whole" allowBlank="1" showErrorMessage="1" errorTitle="Ошибка" error="Допускается ввод только неотрицательных целых чисел!" sqref="AI1325">
      <formula1>0</formula1>
      <formula2>9.99999999999999E+23</formula2>
    </dataValidation>
    <dataValidation type="whole" allowBlank="1" showErrorMessage="1" errorTitle="Ошибка" error="Допускается ввод только неотрицательных целых чисел!" sqref="AF1325">
      <formula1>0</formula1>
      <formula2>9.99999999999999E+23</formula2>
    </dataValidation>
    <dataValidation type="decimal" allowBlank="1" showErrorMessage="1" errorTitle="Ошибка" error="Допускается ввод только неотрицательных чисел!" sqref="AE1325">
      <formula1>0</formula1>
      <formula2>9.99999999999999E+23</formula2>
    </dataValidation>
    <dataValidation type="decimal" allowBlank="1" showErrorMessage="1" errorTitle="Ошибка" error="Допускается ввод только неотрицательных чисел!" sqref="AC1325">
      <formula1>0</formula1>
      <formula2>9.99999999999999E+23</formula2>
    </dataValidation>
    <dataValidation type="textLength" operator="lessThanOrEqual" allowBlank="1" showInputMessage="1" showErrorMessage="1" errorTitle="Ошибка" error="Допускается ввод не более 900 символов!" sqref="K1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5">
      <formula1>"a"</formula1>
    </dataValidation>
    <dataValidation type="whole" allowBlank="1" showErrorMessage="1" errorTitle="Ошибка" error="Допускается ввод только неотрицательных целых чисел!" sqref="AI1324">
      <formula1>0</formula1>
      <formula2>9.99999999999999E+23</formula2>
    </dataValidation>
    <dataValidation type="whole" allowBlank="1" showErrorMessage="1" errorTitle="Ошибка" error="Допускается ввод только неотрицательных целых чисел!" sqref="AF1324">
      <formula1>0</formula1>
      <formula2>9.99999999999999E+23</formula2>
    </dataValidation>
    <dataValidation type="decimal" allowBlank="1" showErrorMessage="1" errorTitle="Ошибка" error="Допускается ввод только неотрицательных чисел!" sqref="AE1324">
      <formula1>0</formula1>
      <formula2>9.99999999999999E+23</formula2>
    </dataValidation>
    <dataValidation type="decimal" allowBlank="1" showErrorMessage="1" errorTitle="Ошибка" error="Допускается ввод только неотрицательных чисел!" sqref="AC1324">
      <formula1>0</formula1>
      <formula2>9.99999999999999E+23</formula2>
    </dataValidation>
    <dataValidation type="textLength" operator="lessThanOrEqual" allowBlank="1" showInputMessage="1" showErrorMessage="1" errorTitle="Ошибка" error="Допускается ввод не более 900 символов!" sqref="K1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4">
      <formula1>"a"</formula1>
    </dataValidation>
    <dataValidation type="whole" allowBlank="1" showErrorMessage="1" errorTitle="Ошибка" error="Допускается ввод только неотрицательных целых чисел!" sqref="AI1318">
      <formula1>0</formula1>
      <formula2>9.99999999999999E+23</formula2>
    </dataValidation>
    <dataValidation type="whole" allowBlank="1" showErrorMessage="1" errorTitle="Ошибка" error="Допускается ввод только неотрицательных целых чисел!" sqref="AF1318">
      <formula1>0</formula1>
      <formula2>9.99999999999999E+23</formula2>
    </dataValidation>
    <dataValidation type="decimal" allowBlank="1" showErrorMessage="1" errorTitle="Ошибка" error="Допускается ввод только неотрицательных чисел!" sqref="AE1318">
      <formula1>0</formula1>
      <formula2>9.99999999999999E+23</formula2>
    </dataValidation>
    <dataValidation type="decimal" allowBlank="1" showErrorMessage="1" errorTitle="Ошибка" error="Допускается ввод только неотрицательных чисел!" sqref="AC1318">
      <formula1>0</formula1>
      <formula2>9.99999999999999E+23</formula2>
    </dataValidation>
    <dataValidation type="textLength" operator="lessThanOrEqual" allowBlank="1" showInputMessage="1" showErrorMessage="1" errorTitle="Ошибка" error="Допускается ввод не более 900 символов!" sqref="K1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8">
      <formula1>"a"</formula1>
    </dataValidation>
    <dataValidation type="whole" allowBlank="1" showErrorMessage="1" errorTitle="Ошибка" error="Допускается ввод только неотрицательных целых чисел!" sqref="AI1317">
      <formula1>0</formula1>
      <formula2>9.99999999999999E+23</formula2>
    </dataValidation>
    <dataValidation type="whole" allowBlank="1" showErrorMessage="1" errorTitle="Ошибка" error="Допускается ввод только неотрицательных целых чисел!" sqref="AF1317">
      <formula1>0</formula1>
      <formula2>9.99999999999999E+23</formula2>
    </dataValidation>
    <dataValidation type="decimal" allowBlank="1" showErrorMessage="1" errorTitle="Ошибка" error="Допускается ввод только неотрицательных чисел!" sqref="AE1317">
      <formula1>0</formula1>
      <formula2>9.99999999999999E+23</formula2>
    </dataValidation>
    <dataValidation type="decimal" allowBlank="1" showErrorMessage="1" errorTitle="Ошибка" error="Допускается ввод только неотрицательных чисел!" sqref="AC1317">
      <formula1>0</formula1>
      <formula2>9.99999999999999E+23</formula2>
    </dataValidation>
    <dataValidation type="textLength" operator="lessThanOrEqual" allowBlank="1" showInputMessage="1" showErrorMessage="1" errorTitle="Ошибка" error="Допускается ввод не более 900 символов!" sqref="K1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7">
      <formula1>"a"</formula1>
    </dataValidation>
    <dataValidation type="whole" allowBlank="1" showErrorMessage="1" errorTitle="Ошибка" error="Допускается ввод только неотрицательных целых чисел!" sqref="AI1311">
      <formula1>0</formula1>
      <formula2>9.99999999999999E+23</formula2>
    </dataValidation>
    <dataValidation type="whole" allowBlank="1" showErrorMessage="1" errorTitle="Ошибка" error="Допускается ввод только неотрицательных целых чисел!" sqref="AF1311">
      <formula1>0</formula1>
      <formula2>9.99999999999999E+23</formula2>
    </dataValidation>
    <dataValidation type="decimal" allowBlank="1" showErrorMessage="1" errorTitle="Ошибка" error="Допускается ввод только неотрицательных чисел!" sqref="AE1311">
      <formula1>0</formula1>
      <formula2>9.99999999999999E+23</formula2>
    </dataValidation>
    <dataValidation type="decimal" allowBlank="1" showErrorMessage="1" errorTitle="Ошибка" error="Допускается ввод только неотрицательных чисел!" sqref="AC1311">
      <formula1>0</formula1>
      <formula2>9.99999999999999E+23</formula2>
    </dataValidation>
    <dataValidation type="textLength" operator="lessThanOrEqual" allowBlank="1" showInputMessage="1" showErrorMessage="1" errorTitle="Ошибка" error="Допускается ввод не более 900 символов!" sqref="K1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1">
      <formula1>"a"</formula1>
    </dataValidation>
    <dataValidation type="whole" allowBlank="1" showErrorMessage="1" errorTitle="Ошибка" error="Допускается ввод только неотрицательных целых чисел!" sqref="AI1310">
      <formula1>0</formula1>
      <formula2>9.99999999999999E+23</formula2>
    </dataValidation>
    <dataValidation type="whole" allowBlank="1" showErrorMessage="1" errorTitle="Ошибка" error="Допускается ввод только неотрицательных целых чисел!" sqref="AF1310">
      <formula1>0</formula1>
      <formula2>9.99999999999999E+23</formula2>
    </dataValidation>
    <dataValidation type="decimal" allowBlank="1" showErrorMessage="1" errorTitle="Ошибка" error="Допускается ввод только неотрицательных чисел!" sqref="AE1310">
      <formula1>0</formula1>
      <formula2>9.99999999999999E+23</formula2>
    </dataValidation>
    <dataValidation type="decimal" allowBlank="1" showErrorMessage="1" errorTitle="Ошибка" error="Допускается ввод только неотрицательных чисел!" sqref="AC1310">
      <formula1>0</formula1>
      <formula2>9.99999999999999E+23</formula2>
    </dataValidation>
    <dataValidation type="textLength" operator="lessThanOrEqual" allowBlank="1" showInputMessage="1" showErrorMessage="1" errorTitle="Ошибка" error="Допускается ввод не более 900 символов!" sqref="K1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0">
      <formula1>"a"</formula1>
    </dataValidation>
    <dataValidation type="whole" allowBlank="1" showErrorMessage="1" errorTitle="Ошибка" error="Допускается ввод только неотрицательных целых чисел!" sqref="AI1304">
      <formula1>0</formula1>
      <formula2>9.99999999999999E+23</formula2>
    </dataValidation>
    <dataValidation type="whole" allowBlank="1" showErrorMessage="1" errorTitle="Ошибка" error="Допускается ввод только неотрицательных целых чисел!" sqref="AF1304">
      <formula1>0</formula1>
      <formula2>9.99999999999999E+23</formula2>
    </dataValidation>
    <dataValidation type="decimal" allowBlank="1" showErrorMessage="1" errorTitle="Ошибка" error="Допускается ввод только неотрицательных чисел!" sqref="AE1304">
      <formula1>0</formula1>
      <formula2>9.99999999999999E+23</formula2>
    </dataValidation>
    <dataValidation type="decimal" allowBlank="1" showErrorMessage="1" errorTitle="Ошибка" error="Допускается ввод только неотрицательных чисел!" sqref="AC1304">
      <formula1>0</formula1>
      <formula2>9.99999999999999E+23</formula2>
    </dataValidation>
    <dataValidation type="textLength" operator="lessThanOrEqual" allowBlank="1" showInputMessage="1" showErrorMessage="1" errorTitle="Ошибка" error="Допускается ввод не более 900 символов!" sqref="K1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4">
      <formula1>"a"</formula1>
    </dataValidation>
    <dataValidation type="whole" allowBlank="1" showErrorMessage="1" errorTitle="Ошибка" error="Допускается ввод только неотрицательных целых чисел!" sqref="AI1303">
      <formula1>0</formula1>
      <formula2>9.99999999999999E+23</formula2>
    </dataValidation>
    <dataValidation type="whole" allowBlank="1" showErrorMessage="1" errorTitle="Ошибка" error="Допускается ввод только неотрицательных целых чисел!" sqref="AF1303">
      <formula1>0</formula1>
      <formula2>9.99999999999999E+23</formula2>
    </dataValidation>
    <dataValidation type="decimal" allowBlank="1" showErrorMessage="1" errorTitle="Ошибка" error="Допускается ввод только неотрицательных чисел!" sqref="AE1303">
      <formula1>0</formula1>
      <formula2>9.99999999999999E+23</formula2>
    </dataValidation>
    <dataValidation type="decimal" allowBlank="1" showErrorMessage="1" errorTitle="Ошибка" error="Допускается ввод только неотрицательных чисел!" sqref="AC1303">
      <formula1>0</formula1>
      <formula2>9.99999999999999E+23</formula2>
    </dataValidation>
    <dataValidation type="textLength" operator="lessThanOrEqual" allowBlank="1" showInputMessage="1" showErrorMessage="1" errorTitle="Ошибка" error="Допускается ввод не более 900 символов!" sqref="K1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3">
      <formula1>"a"</formula1>
    </dataValidation>
    <dataValidation type="whole" allowBlank="1" showErrorMessage="1" errorTitle="Ошибка" error="Допускается ввод только неотрицательных целых чисел!" sqref="AI1297">
      <formula1>0</formula1>
      <formula2>9.99999999999999E+23</formula2>
    </dataValidation>
    <dataValidation type="whole" allowBlank="1" showErrorMessage="1" errorTitle="Ошибка" error="Допускается ввод только неотрицательных целых чисел!" sqref="AF1297">
      <formula1>0</formula1>
      <formula2>9.99999999999999E+23</formula2>
    </dataValidation>
    <dataValidation type="decimal" allowBlank="1" showErrorMessage="1" errorTitle="Ошибка" error="Допускается ввод только неотрицательных чисел!" sqref="AE1297">
      <formula1>0</formula1>
      <formula2>9.99999999999999E+23</formula2>
    </dataValidation>
    <dataValidation type="decimal" allowBlank="1" showErrorMessage="1" errorTitle="Ошибка" error="Допускается ввод только неотрицательных чисел!" sqref="AC1297">
      <formula1>0</formula1>
      <formula2>9.99999999999999E+23</formula2>
    </dataValidation>
    <dataValidation type="textLength" operator="lessThanOrEqual" allowBlank="1" showInputMessage="1" showErrorMessage="1" errorTitle="Ошибка" error="Допускается ввод не более 900 символов!" sqref="K1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7">
      <formula1>"a"</formula1>
    </dataValidation>
    <dataValidation type="whole" allowBlank="1" showErrorMessage="1" errorTitle="Ошибка" error="Допускается ввод только неотрицательных целых чисел!" sqref="AI1296">
      <formula1>0</formula1>
      <formula2>9.99999999999999E+23</formula2>
    </dataValidation>
    <dataValidation type="whole" allowBlank="1" showErrorMessage="1" errorTitle="Ошибка" error="Допускается ввод только неотрицательных целых чисел!" sqref="AF1296">
      <formula1>0</formula1>
      <formula2>9.99999999999999E+23</formula2>
    </dataValidation>
    <dataValidation type="decimal" allowBlank="1" showErrorMessage="1" errorTitle="Ошибка" error="Допускается ввод только неотрицательных чисел!" sqref="AE1296">
      <formula1>0</formula1>
      <formula2>9.99999999999999E+23</formula2>
    </dataValidation>
    <dataValidation type="decimal" allowBlank="1" showErrorMessage="1" errorTitle="Ошибка" error="Допускается ввод только неотрицательных чисел!" sqref="AC1296">
      <formula1>0</formula1>
      <formula2>9.99999999999999E+23</formula2>
    </dataValidation>
    <dataValidation type="textLength" operator="lessThanOrEqual" allowBlank="1" showInputMessage="1" showErrorMessage="1" errorTitle="Ошибка" error="Допускается ввод не более 900 символов!" sqref="K1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6">
      <formula1>"a"</formula1>
    </dataValidation>
    <dataValidation type="whole" allowBlank="1" showErrorMessage="1" errorTitle="Ошибка" error="Допускается ввод только неотрицательных целых чисел!" sqref="AI1290">
      <formula1>0</formula1>
      <formula2>9.99999999999999E+23</formula2>
    </dataValidation>
    <dataValidation type="whole" allowBlank="1" showErrorMessage="1" errorTitle="Ошибка" error="Допускается ввод только неотрицательных целых чисел!" sqref="AF1290">
      <formula1>0</formula1>
      <formula2>9.99999999999999E+23</formula2>
    </dataValidation>
    <dataValidation type="decimal" allowBlank="1" showErrorMessage="1" errorTitle="Ошибка" error="Допускается ввод только неотрицательных чисел!" sqref="AE1290">
      <formula1>0</formula1>
      <formula2>9.99999999999999E+23</formula2>
    </dataValidation>
    <dataValidation type="decimal" allowBlank="1" showErrorMessage="1" errorTitle="Ошибка" error="Допускается ввод только неотрицательных чисел!" sqref="AC1290">
      <formula1>0</formula1>
      <formula2>9.99999999999999E+23</formula2>
    </dataValidation>
    <dataValidation type="textLength" operator="lessThanOrEqual" allowBlank="1" showInputMessage="1" showErrorMessage="1" errorTitle="Ошибка" error="Допускается ввод не более 900 символов!" sqref="K1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0">
      <formula1>"a"</formula1>
    </dataValidation>
    <dataValidation type="whole" allowBlank="1" showErrorMessage="1" errorTitle="Ошибка" error="Допускается ввод только неотрицательных целых чисел!" sqref="AI1289">
      <formula1>0</formula1>
      <formula2>9.99999999999999E+23</formula2>
    </dataValidation>
    <dataValidation type="whole" allowBlank="1" showErrorMessage="1" errorTitle="Ошибка" error="Допускается ввод только неотрицательных целых чисел!" sqref="AF1289">
      <formula1>0</formula1>
      <formula2>9.99999999999999E+23</formula2>
    </dataValidation>
    <dataValidation type="decimal" allowBlank="1" showErrorMessage="1" errorTitle="Ошибка" error="Допускается ввод только неотрицательных чисел!" sqref="AE1289">
      <formula1>0</formula1>
      <formula2>9.99999999999999E+23</formula2>
    </dataValidation>
    <dataValidation type="decimal" allowBlank="1" showErrorMessage="1" errorTitle="Ошибка" error="Допускается ввод только неотрицательных чисел!" sqref="AC1289">
      <formula1>0</formula1>
      <formula2>9.99999999999999E+23</formula2>
    </dataValidation>
    <dataValidation type="textLength" operator="lessThanOrEqual" allowBlank="1" showInputMessage="1" showErrorMessage="1" errorTitle="Ошибка" error="Допускается ввод не более 900 символов!" sqref="K1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9">
      <formula1>"a"</formula1>
    </dataValidation>
    <dataValidation type="whole" allowBlank="1" showErrorMessage="1" errorTitle="Ошибка" error="Допускается ввод только неотрицательных целых чисел!" sqref="AI1362">
      <formula1>0</formula1>
      <formula2>9.99999999999999E+23</formula2>
    </dataValidation>
    <dataValidation type="whole" allowBlank="1" showErrorMessage="1" errorTitle="Ошибка" error="Допускается ввод только неотрицательных целых чисел!" sqref="AF1362">
      <formula1>0</formula1>
      <formula2>9.99999999999999E+23</formula2>
    </dataValidation>
    <dataValidation type="whole" allowBlank="1" showErrorMessage="1" errorTitle="Ошибка" error="Допускается ввод только неотрицательных целых чисел!" sqref="AI1361">
      <formula1>0</formula1>
      <formula2>9.99999999999999E+23</formula2>
    </dataValidation>
    <dataValidation type="whole" allowBlank="1" showErrorMessage="1" errorTitle="Ошибка" error="Допускается ввод только неотрицательных целых чисел!" sqref="AF1361">
      <formula1>0</formula1>
      <formula2>9.99999999999999E+23</formula2>
    </dataValidation>
    <dataValidation type="textLength" operator="lessThanOrEqual" allowBlank="1" showInputMessage="1" showErrorMessage="1" errorTitle="Ошибка" error="Допускается ввод не более 900 символов!" sqref="K1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1">
      <formula1>"a"</formula1>
    </dataValidation>
    <dataValidation type="whole" allowBlank="1" showErrorMessage="1" errorTitle="Ошибка" error="Допускается ввод только неотрицательных целых чисел!" sqref="AI1358">
      <formula1>0</formula1>
      <formula2>9.99999999999999E+23</formula2>
    </dataValidation>
    <dataValidation type="whole" allowBlank="1" showErrorMessage="1" errorTitle="Ошибка" error="Допускается ввод только неотрицательных целых чисел!" sqref="AF1358">
      <formula1>0</formula1>
      <formula2>9.99999999999999E+23</formula2>
    </dataValidation>
    <dataValidation type="decimal" allowBlank="1" showErrorMessage="1" errorTitle="Ошибка" error="Допускается ввод только неотрицательных чисел!" sqref="AE1358">
      <formula1>0</formula1>
      <formula2>9.99999999999999E+23</formula2>
    </dataValidation>
    <dataValidation type="decimal" allowBlank="1" showErrorMessage="1" errorTitle="Ошибка" error="Допускается ввод только неотрицательных чисел!" sqref="AC1358">
      <formula1>0</formula1>
      <formula2>9.99999999999999E+23</formula2>
    </dataValidation>
    <dataValidation type="textLength" operator="lessThanOrEqual" allowBlank="1" showInputMessage="1" showErrorMessage="1" errorTitle="Ошибка" error="Допускается ввод не более 900 символов!" sqref="K1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8">
      <formula1>"a"</formula1>
    </dataValidation>
    <dataValidation type="whole" allowBlank="1" showErrorMessage="1" errorTitle="Ошибка" error="Допускается ввод только неотрицательных целых чисел!" sqref="AI1357">
      <formula1>0</formula1>
      <formula2>9.99999999999999E+23</formula2>
    </dataValidation>
    <dataValidation type="whole" allowBlank="1" showErrorMessage="1" errorTitle="Ошибка" error="Допускается ввод только неотрицательных целых чисел!" sqref="AF1357">
      <formula1>0</formula1>
      <formula2>9.99999999999999E+23</formula2>
    </dataValidation>
    <dataValidation type="textLength" operator="lessThanOrEqual" allowBlank="1" showInputMessage="1" showErrorMessage="1" errorTitle="Ошибка" error="Допускается ввод не более 900 символов!" sqref="K1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7">
      <formula1>"a"</formula1>
    </dataValidation>
    <dataValidation type="whole" allowBlank="1" showErrorMessage="1" errorTitle="Ошибка" error="Допускается ввод только неотрицательных целых чисел!" sqref="AI1356">
      <formula1>0</formula1>
      <formula2>9.99999999999999E+23</formula2>
    </dataValidation>
    <dataValidation type="whole" allowBlank="1" showErrorMessage="1" errorTitle="Ошибка" error="Допускается ввод только неотрицательных целых чисел!" sqref="AF1356">
      <formula1>0</formula1>
      <formula2>9.99999999999999E+23</formula2>
    </dataValidation>
    <dataValidation type="textLength" operator="lessThanOrEqual" allowBlank="1" showInputMessage="1" showErrorMessage="1" errorTitle="Ошибка" error="Допускается ввод не более 900 символов!" sqref="M1356">
      <formula1>900</formula1>
    </dataValidation>
    <dataValidation type="textLength" operator="lessThanOrEqual" allowBlank="1" showInputMessage="1" showErrorMessage="1" errorTitle="Ошибка" error="Допускается ввод не более 900 символов!" sqref="K1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6">
      <formula1>"a"</formula1>
    </dataValidation>
    <dataValidation type="whole" allowBlank="1" showErrorMessage="1" errorTitle="Ошибка" error="Допускается ввод только неотрицательных целых чисел!" sqref="AI1355">
      <formula1>0</formula1>
      <formula2>9.99999999999999E+23</formula2>
    </dataValidation>
    <dataValidation type="whole" allowBlank="1" showErrorMessage="1" errorTitle="Ошибка" error="Допускается ввод только неотрицательных целых чисел!" sqref="AF1355">
      <formula1>0</formula1>
      <formula2>9.99999999999999E+23</formula2>
    </dataValidation>
    <dataValidation type="whole" allowBlank="1" showErrorMessage="1" errorTitle="Ошибка" error="Допускается ввод только неотрицательных целых чисел!" sqref="AI1354">
      <formula1>0</formula1>
      <formula2>9.99999999999999E+23</formula2>
    </dataValidation>
    <dataValidation type="whole" allowBlank="1" showErrorMessage="1" errorTitle="Ошибка" error="Допускается ввод только неотрицательных целых чисел!" sqref="AF1354">
      <formula1>0</formula1>
      <formula2>9.99999999999999E+23</formula2>
    </dataValidation>
    <dataValidation type="textLength" operator="lessThanOrEqual" allowBlank="1" showInputMessage="1" showErrorMessage="1" errorTitle="Ошибка" error="Допускается ввод не более 900 символов!" sqref="K1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4">
      <formula1>"a"</formula1>
    </dataValidation>
    <dataValidation type="whole" allowBlank="1" showErrorMessage="1" errorTitle="Ошибка" error="Допускается ввод только неотрицательных целых чисел!" sqref="AI1351">
      <formula1>0</formula1>
      <formula2>9.99999999999999E+23</formula2>
    </dataValidation>
    <dataValidation type="whole" allowBlank="1" showErrorMessage="1" errorTitle="Ошибка" error="Допускается ввод только неотрицательных целых чисел!" sqref="AF1351">
      <formula1>0</formula1>
      <formula2>9.99999999999999E+23</formula2>
    </dataValidation>
    <dataValidation type="decimal" allowBlank="1" showErrorMessage="1" errorTitle="Ошибка" error="Допускается ввод только неотрицательных чисел!" sqref="AE1351">
      <formula1>0</formula1>
      <formula2>9.99999999999999E+23</formula2>
    </dataValidation>
    <dataValidation type="decimal" allowBlank="1" showErrorMessage="1" errorTitle="Ошибка" error="Допускается ввод только неотрицательных чисел!" sqref="AC1351">
      <formula1>0</formula1>
      <formula2>9.99999999999999E+23</formula2>
    </dataValidation>
    <dataValidation type="textLength" operator="lessThanOrEqual" allowBlank="1" showInputMessage="1" showErrorMessage="1" errorTitle="Ошибка" error="Допускается ввод не более 900 символов!" sqref="K1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1">
      <formula1>"a"</formula1>
    </dataValidation>
    <dataValidation type="whole" allowBlank="1" showErrorMessage="1" errorTitle="Ошибка" error="Допускается ввод только неотрицательных целых чисел!" sqref="AI1350">
      <formula1>0</formula1>
      <formula2>9.99999999999999E+23</formula2>
    </dataValidation>
    <dataValidation type="whole" allowBlank="1" showErrorMessage="1" errorTitle="Ошибка" error="Допускается ввод только неотрицательных целых чисел!" sqref="AF1350">
      <formula1>0</formula1>
      <formula2>9.99999999999999E+23</formula2>
    </dataValidation>
    <dataValidation type="textLength" operator="lessThanOrEqual" allowBlank="1" showInputMessage="1" showErrorMessage="1" errorTitle="Ошибка" error="Допускается ввод не более 900 символов!" sqref="K1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0">
      <formula1>"a"</formula1>
    </dataValidation>
    <dataValidation type="whole" allowBlank="1" showErrorMessage="1" errorTitle="Ошибка" error="Допускается ввод только неотрицательных целых чисел!" sqref="AI1349">
      <formula1>0</formula1>
      <formula2>9.99999999999999E+23</formula2>
    </dataValidation>
    <dataValidation type="whole" allowBlank="1" showErrorMessage="1" errorTitle="Ошибка" error="Допускается ввод только неотрицательных целых чисел!" sqref="AF1349">
      <formula1>0</formula1>
      <formula2>9.99999999999999E+23</formula2>
    </dataValidation>
    <dataValidation type="textLength" operator="lessThanOrEqual" allowBlank="1" showInputMessage="1" showErrorMessage="1" errorTitle="Ошибка" error="Допускается ввод не более 900 символов!" sqref="M1349">
      <formula1>900</formula1>
    </dataValidation>
    <dataValidation type="textLength" operator="lessThanOrEqual" allowBlank="1" showInputMessage="1" showErrorMessage="1" errorTitle="Ошибка" error="Допускается ввод не более 900 символов!" sqref="K1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9">
      <formula1>"a"</formula1>
    </dataValidation>
    <dataValidation type="whole" allowBlank="1" showErrorMessage="1" errorTitle="Ошибка" error="Допускается ввод только неотрицательных целых чисел!" sqref="AI1348">
      <formula1>0</formula1>
      <formula2>9.99999999999999E+23</formula2>
    </dataValidation>
    <dataValidation type="whole" allowBlank="1" showErrorMessage="1" errorTitle="Ошибка" error="Допускается ввод только неотрицательных целых чисел!" sqref="AF1348">
      <formula1>0</formula1>
      <formula2>9.99999999999999E+23</formula2>
    </dataValidation>
    <dataValidation type="whole" allowBlank="1" showErrorMessage="1" errorTitle="Ошибка" error="Допускается ввод только неотрицательных целых чисел!" sqref="AI1347">
      <formula1>0</formula1>
      <formula2>9.99999999999999E+23</formula2>
    </dataValidation>
    <dataValidation type="whole" allowBlank="1" showErrorMessage="1" errorTitle="Ошибка" error="Допускается ввод только неотрицательных целых чисел!" sqref="AF1347">
      <formula1>0</formula1>
      <formula2>9.99999999999999E+23</formula2>
    </dataValidation>
    <dataValidation type="textLength" operator="lessThanOrEqual" allowBlank="1" showInputMessage="1" showErrorMessage="1" errorTitle="Ошибка" error="Допускается ввод не более 900 символов!" sqref="K1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7">
      <formula1>"a"</formula1>
    </dataValidation>
    <dataValidation type="whole" allowBlank="1" showErrorMessage="1" errorTitle="Ошибка" error="Допускается ввод только неотрицательных целых чисел!" sqref="AI1344">
      <formula1>0</formula1>
      <formula2>9.99999999999999E+23</formula2>
    </dataValidation>
    <dataValidation type="whole" allowBlank="1" showErrorMessage="1" errorTitle="Ошибка" error="Допускается ввод только неотрицательных целых чисел!" sqref="AF1344">
      <formula1>0</formula1>
      <formula2>9.99999999999999E+23</formula2>
    </dataValidation>
    <dataValidation type="decimal" allowBlank="1" showErrorMessage="1" errorTitle="Ошибка" error="Допускается ввод только неотрицательных чисел!" sqref="AE1344">
      <formula1>0</formula1>
      <formula2>9.99999999999999E+23</formula2>
    </dataValidation>
    <dataValidation type="decimal" allowBlank="1" showErrorMessage="1" errorTitle="Ошибка" error="Допускается ввод только неотрицательных чисел!" sqref="AC1344">
      <formula1>0</formula1>
      <formula2>9.99999999999999E+23</formula2>
    </dataValidation>
    <dataValidation type="textLength" operator="lessThanOrEqual" allowBlank="1" showInputMessage="1" showErrorMessage="1" errorTitle="Ошибка" error="Допускается ввод не более 900 символов!" sqref="K1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4">
      <formula1>"a"</formula1>
    </dataValidation>
    <dataValidation type="whole" allowBlank="1" showErrorMessage="1" errorTitle="Ошибка" error="Допускается ввод только неотрицательных целых чисел!" sqref="AI1343">
      <formula1>0</formula1>
      <formula2>9.99999999999999E+23</formula2>
    </dataValidation>
    <dataValidation type="whole" allowBlank="1" showErrorMessage="1" errorTitle="Ошибка" error="Допускается ввод только неотрицательных целых чисел!" sqref="AF1343">
      <formula1>0</formula1>
      <formula2>9.99999999999999E+23</formula2>
    </dataValidation>
    <dataValidation type="textLength" operator="lessThanOrEqual" allowBlank="1" showInputMessage="1" showErrorMessage="1" errorTitle="Ошибка" error="Допускается ввод не более 900 символов!" sqref="K1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3">
      <formula1>"a"</formula1>
    </dataValidation>
    <dataValidation type="whole" allowBlank="1" showErrorMessage="1" errorTitle="Ошибка" error="Допускается ввод только неотрицательных целых чисел!" sqref="AI1342">
      <formula1>0</formula1>
      <formula2>9.99999999999999E+23</formula2>
    </dataValidation>
    <dataValidation type="whole" allowBlank="1" showErrorMessage="1" errorTitle="Ошибка" error="Допускается ввод только неотрицательных целых чисел!" sqref="AF1342">
      <formula1>0</formula1>
      <formula2>9.99999999999999E+23</formula2>
    </dataValidation>
    <dataValidation type="textLength" operator="lessThanOrEqual" allowBlank="1" showInputMessage="1" showErrorMessage="1" errorTitle="Ошибка" error="Допускается ввод не более 900 символов!" sqref="M1342">
      <formula1>900</formula1>
    </dataValidation>
    <dataValidation type="textLength" operator="lessThanOrEqual" allowBlank="1" showInputMessage="1" showErrorMessage="1" errorTitle="Ошибка" error="Допускается ввод не более 900 символов!" sqref="K1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2">
      <formula1>"a"</formula1>
    </dataValidation>
    <dataValidation type="whole" allowBlank="1" showErrorMessage="1" errorTitle="Ошибка" error="Допускается ввод только неотрицательных целых чисел!" sqref="AI1341">
      <formula1>0</formula1>
      <formula2>9.99999999999999E+23</formula2>
    </dataValidation>
    <dataValidation type="whole" allowBlank="1" showErrorMessage="1" errorTitle="Ошибка" error="Допускается ввод только неотрицательных целых чисел!" sqref="AF1341">
      <formula1>0</formula1>
      <formula2>9.99999999999999E+23</formula2>
    </dataValidation>
    <dataValidation type="whole" allowBlank="1" showErrorMessage="1" errorTitle="Ошибка" error="Допускается ввод только неотрицательных целых чисел!" sqref="AI1340">
      <formula1>0</formula1>
      <formula2>9.99999999999999E+23</formula2>
    </dataValidation>
    <dataValidation type="whole" allowBlank="1" showErrorMessage="1" errorTitle="Ошибка" error="Допускается ввод только неотрицательных целых чисел!" sqref="AF1340">
      <formula1>0</formula1>
      <formula2>9.99999999999999E+23</formula2>
    </dataValidation>
    <dataValidation type="textLength" operator="lessThanOrEqual" allowBlank="1" showInputMessage="1" showErrorMessage="1" errorTitle="Ошибка" error="Допускается ввод не более 900 символов!" sqref="K1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0">
      <formula1>"a"</formula1>
    </dataValidation>
    <dataValidation type="whole" allowBlank="1" showErrorMessage="1" errorTitle="Ошибка" error="Допускается ввод только неотрицательных целых чисел!" sqref="AI1337">
      <formula1>0</formula1>
      <formula2>9.99999999999999E+23</formula2>
    </dataValidation>
    <dataValidation type="whole" allowBlank="1" showErrorMessage="1" errorTitle="Ошибка" error="Допускается ввод только неотрицательных целых чисел!" sqref="AF1337">
      <formula1>0</formula1>
      <formula2>9.99999999999999E+23</formula2>
    </dataValidation>
    <dataValidation type="decimal" allowBlank="1" showErrorMessage="1" errorTitle="Ошибка" error="Допускается ввод только неотрицательных чисел!" sqref="AE1337">
      <formula1>0</formula1>
      <formula2>9.99999999999999E+23</formula2>
    </dataValidation>
    <dataValidation type="decimal" allowBlank="1" showErrorMessage="1" errorTitle="Ошибка" error="Допускается ввод только неотрицательных чисел!" sqref="AC1337">
      <formula1>0</formula1>
      <formula2>9.99999999999999E+23</formula2>
    </dataValidation>
    <dataValidation type="textLength" operator="lessThanOrEqual" allowBlank="1" showInputMessage="1" showErrorMessage="1" errorTitle="Ошибка" error="Допускается ввод не более 900 символов!" sqref="K1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7">
      <formula1>"a"</formula1>
    </dataValidation>
    <dataValidation type="whole" allowBlank="1" showErrorMessage="1" errorTitle="Ошибка" error="Допускается ввод только неотрицательных целых чисел!" sqref="AI1336">
      <formula1>0</formula1>
      <formula2>9.99999999999999E+23</formula2>
    </dataValidation>
    <dataValidation type="whole" allowBlank="1" showErrorMessage="1" errorTitle="Ошибка" error="Допускается ввод только неотрицательных целых чисел!" sqref="AF1336">
      <formula1>0</formula1>
      <formula2>9.99999999999999E+23</formula2>
    </dataValidation>
    <dataValidation type="textLength" operator="lessThanOrEqual" allowBlank="1" showInputMessage="1" showErrorMessage="1" errorTitle="Ошибка" error="Допускается ввод не более 900 символов!" sqref="K1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6">
      <formula1>"a"</formula1>
    </dataValidation>
    <dataValidation type="whole" allowBlank="1" showErrorMessage="1" errorTitle="Ошибка" error="Допускается ввод только неотрицательных целых чисел!" sqref="AI1335">
      <formula1>0</formula1>
      <formula2>9.99999999999999E+23</formula2>
    </dataValidation>
    <dataValidation type="whole" allowBlank="1" showErrorMessage="1" errorTitle="Ошибка" error="Допускается ввод только неотрицательных целых чисел!" sqref="AF1335">
      <formula1>0</formula1>
      <formula2>9.99999999999999E+23</formula2>
    </dataValidation>
    <dataValidation type="textLength" operator="lessThanOrEqual" allowBlank="1" showInputMessage="1" showErrorMessage="1" errorTitle="Ошибка" error="Допускается ввод не более 900 символов!" sqref="M1335">
      <formula1>900</formula1>
    </dataValidation>
    <dataValidation type="textLength" operator="lessThanOrEqual" allowBlank="1" showInputMessage="1" showErrorMessage="1" errorTitle="Ошибка" error="Допускается ввод не более 900 символов!" sqref="K1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5">
      <formula1>"a"</formula1>
    </dataValidation>
    <dataValidation type="whole" allowBlank="1" showErrorMessage="1" errorTitle="Ошибка" error="Допускается ввод только неотрицательных целых чисел!" sqref="AI1334">
      <formula1>0</formula1>
      <formula2>9.99999999999999E+23</formula2>
    </dataValidation>
    <dataValidation type="whole" allowBlank="1" showErrorMessage="1" errorTitle="Ошибка" error="Допускается ввод только неотрицательных целых чисел!" sqref="AF1334">
      <formula1>0</formula1>
      <formula2>9.99999999999999E+23</formula2>
    </dataValidation>
    <dataValidation type="whole" allowBlank="1" showErrorMessage="1" errorTitle="Ошибка" error="Допускается ввод только неотрицательных целых чисел!" sqref="AI1333">
      <formula1>0</formula1>
      <formula2>9.99999999999999E+23</formula2>
    </dataValidation>
    <dataValidation type="whole" allowBlank="1" showErrorMessage="1" errorTitle="Ошибка" error="Допускается ввод только неотрицательных целых чисел!" sqref="AF1333">
      <formula1>0</formula1>
      <formula2>9.99999999999999E+23</formula2>
    </dataValidation>
    <dataValidation type="textLength" operator="lessThanOrEqual" allowBlank="1" showInputMessage="1" showErrorMessage="1" errorTitle="Ошибка" error="Допускается ввод не более 900 символов!" sqref="K1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3">
      <formula1>"a"</formula1>
    </dataValidation>
    <dataValidation type="whole" allowBlank="1" showErrorMessage="1" errorTitle="Ошибка" error="Допускается ввод только неотрицательных целых чисел!" sqref="AI1330">
      <formula1>0</formula1>
      <formula2>9.99999999999999E+23</formula2>
    </dataValidation>
    <dataValidation type="whole" allowBlank="1" showErrorMessage="1" errorTitle="Ошибка" error="Допускается ввод только неотрицательных целых чисел!" sqref="AF1330">
      <formula1>0</formula1>
      <formula2>9.99999999999999E+23</formula2>
    </dataValidation>
    <dataValidation type="decimal" allowBlank="1" showErrorMessage="1" errorTitle="Ошибка" error="Допускается ввод только неотрицательных чисел!" sqref="AE1330">
      <formula1>0</formula1>
      <formula2>9.99999999999999E+23</formula2>
    </dataValidation>
    <dataValidation type="decimal" allowBlank="1" showErrorMessage="1" errorTitle="Ошибка" error="Допускается ввод только неотрицательных чисел!" sqref="AC1330">
      <formula1>0</formula1>
      <formula2>9.99999999999999E+23</formula2>
    </dataValidation>
    <dataValidation type="textLength" operator="lessThanOrEqual" allowBlank="1" showInputMessage="1" showErrorMessage="1" errorTitle="Ошибка" error="Допускается ввод не более 900 символов!" sqref="K1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0">
      <formula1>"a"</formula1>
    </dataValidation>
    <dataValidation type="whole" allowBlank="1" showErrorMessage="1" errorTitle="Ошибка" error="Допускается ввод только неотрицательных целых чисел!" sqref="AI1329">
      <formula1>0</formula1>
      <formula2>9.99999999999999E+23</formula2>
    </dataValidation>
    <dataValidation type="whole" allowBlank="1" showErrorMessage="1" errorTitle="Ошибка" error="Допускается ввод только неотрицательных целых чисел!" sqref="AF1329">
      <formula1>0</formula1>
      <formula2>9.99999999999999E+23</formula2>
    </dataValidation>
    <dataValidation type="textLength" operator="lessThanOrEqual" allowBlank="1" showInputMessage="1" showErrorMessage="1" errorTitle="Ошибка" error="Допускается ввод не более 900 символов!" sqref="K1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9">
      <formula1>"a"</formula1>
    </dataValidation>
    <dataValidation type="whole" allowBlank="1" showErrorMessage="1" errorTitle="Ошибка" error="Допускается ввод только неотрицательных целых чисел!" sqref="AI1328">
      <formula1>0</formula1>
      <formula2>9.99999999999999E+23</formula2>
    </dataValidation>
    <dataValidation type="whole" allowBlank="1" showErrorMessage="1" errorTitle="Ошибка" error="Допускается ввод только неотрицательных целых чисел!" sqref="AF1328">
      <formula1>0</formula1>
      <formula2>9.99999999999999E+23</formula2>
    </dataValidation>
    <dataValidation type="textLength" operator="lessThanOrEqual" allowBlank="1" showInputMessage="1" showErrorMessage="1" errorTitle="Ошибка" error="Допускается ввод не более 900 символов!" sqref="M1328">
      <formula1>900</formula1>
    </dataValidation>
    <dataValidation type="textLength" operator="lessThanOrEqual" allowBlank="1" showInputMessage="1" showErrorMessage="1" errorTitle="Ошибка" error="Допускается ввод не более 900 символов!" sqref="K1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8">
      <formula1>"a"</formula1>
    </dataValidation>
    <dataValidation type="whole" allowBlank="1" showErrorMessage="1" errorTitle="Ошибка" error="Допускается ввод только неотрицательных целых чисел!" sqref="AI1327">
      <formula1>0</formula1>
      <formula2>9.99999999999999E+23</formula2>
    </dataValidation>
    <dataValidation type="whole" allowBlank="1" showErrorMessage="1" errorTitle="Ошибка" error="Допускается ввод только неотрицательных целых чисел!" sqref="AF1327">
      <formula1>0</formula1>
      <formula2>9.99999999999999E+23</formula2>
    </dataValidation>
    <dataValidation type="whole" allowBlank="1" showErrorMessage="1" errorTitle="Ошибка" error="Допускается ввод только неотрицательных целых чисел!" sqref="AI1326">
      <formula1>0</formula1>
      <formula2>9.99999999999999E+23</formula2>
    </dataValidation>
    <dataValidation type="whole" allowBlank="1" showErrorMessage="1" errorTitle="Ошибка" error="Допускается ввод только неотрицательных целых чисел!" sqref="AF1326">
      <formula1>0</formula1>
      <formula2>9.99999999999999E+23</formula2>
    </dataValidation>
    <dataValidation type="textLength" operator="lessThanOrEqual" allowBlank="1" showInputMessage="1" showErrorMessage="1" errorTitle="Ошибка" error="Допускается ввод не более 900 символов!" sqref="K1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6">
      <formula1>"a"</formula1>
    </dataValidation>
    <dataValidation type="whole" allowBlank="1" showErrorMessage="1" errorTitle="Ошибка" error="Допускается ввод только неотрицательных целых чисел!" sqref="AI1323">
      <formula1>0</formula1>
      <formula2>9.99999999999999E+23</formula2>
    </dataValidation>
    <dataValidation type="whole" allowBlank="1" showErrorMessage="1" errorTitle="Ошибка" error="Допускается ввод только неотрицательных целых чисел!" sqref="AF1323">
      <formula1>0</formula1>
      <formula2>9.99999999999999E+23</formula2>
    </dataValidation>
    <dataValidation type="decimal" allowBlank="1" showErrorMessage="1" errorTitle="Ошибка" error="Допускается ввод только неотрицательных чисел!" sqref="AE1323">
      <formula1>0</formula1>
      <formula2>9.99999999999999E+23</formula2>
    </dataValidation>
    <dataValidation type="decimal" allowBlank="1" showErrorMessage="1" errorTitle="Ошибка" error="Допускается ввод только неотрицательных чисел!" sqref="AC1323">
      <formula1>0</formula1>
      <formula2>9.99999999999999E+23</formula2>
    </dataValidation>
    <dataValidation type="textLength" operator="lessThanOrEqual" allowBlank="1" showInputMessage="1" showErrorMessage="1" errorTitle="Ошибка" error="Допускается ввод не более 900 символов!" sqref="K1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3">
      <formula1>"a"</formula1>
    </dataValidation>
    <dataValidation type="whole" allowBlank="1" showErrorMessage="1" errorTitle="Ошибка" error="Допускается ввод только неотрицательных целых чисел!" sqref="AI1322">
      <formula1>0</formula1>
      <formula2>9.99999999999999E+23</formula2>
    </dataValidation>
    <dataValidation type="whole" allowBlank="1" showErrorMessage="1" errorTitle="Ошибка" error="Допускается ввод только неотрицательных целых чисел!" sqref="AF1322">
      <formula1>0</formula1>
      <formula2>9.99999999999999E+23</formula2>
    </dataValidation>
    <dataValidation type="textLength" operator="lessThanOrEqual" allowBlank="1" showInputMessage="1" showErrorMessage="1" errorTitle="Ошибка" error="Допускается ввод не более 900 символов!" sqref="K1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2">
      <formula1>"a"</formula1>
    </dataValidation>
    <dataValidation type="whole" allowBlank="1" showErrorMessage="1" errorTitle="Ошибка" error="Допускается ввод только неотрицательных целых чисел!" sqref="AI1321">
      <formula1>0</formula1>
      <formula2>9.99999999999999E+23</formula2>
    </dataValidation>
    <dataValidation type="whole" allowBlank="1" showErrorMessage="1" errorTitle="Ошибка" error="Допускается ввод только неотрицательных целых чисел!" sqref="AF1321">
      <formula1>0</formula1>
      <formula2>9.99999999999999E+23</formula2>
    </dataValidation>
    <dataValidation type="textLength" operator="lessThanOrEqual" allowBlank="1" showInputMessage="1" showErrorMessage="1" errorTitle="Ошибка" error="Допускается ввод не более 900 символов!" sqref="M1321">
      <formula1>900</formula1>
    </dataValidation>
    <dataValidation type="textLength" operator="lessThanOrEqual" allowBlank="1" showInputMessage="1" showErrorMessage="1" errorTitle="Ошибка" error="Допускается ввод не более 900 символов!" sqref="K1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1">
      <formula1>"a"</formula1>
    </dataValidation>
    <dataValidation type="whole" allowBlank="1" showErrorMessage="1" errorTitle="Ошибка" error="Допускается ввод только неотрицательных целых чисел!" sqref="AI1320">
      <formula1>0</formula1>
      <formula2>9.99999999999999E+23</formula2>
    </dataValidation>
    <dataValidation type="whole" allowBlank="1" showErrorMessage="1" errorTitle="Ошибка" error="Допускается ввод только неотрицательных целых чисел!" sqref="AF1320">
      <formula1>0</formula1>
      <formula2>9.99999999999999E+23</formula2>
    </dataValidation>
    <dataValidation type="whole" allowBlank="1" showErrorMessage="1" errorTitle="Ошибка" error="Допускается ввод только неотрицательных целых чисел!" sqref="AI1319">
      <formula1>0</formula1>
      <formula2>9.99999999999999E+23</formula2>
    </dataValidation>
    <dataValidation type="whole" allowBlank="1" showErrorMessage="1" errorTitle="Ошибка" error="Допускается ввод только неотрицательных целых чисел!" sqref="AF1319">
      <formula1>0</formula1>
      <formula2>9.99999999999999E+23</formula2>
    </dataValidation>
    <dataValidation type="textLength" operator="lessThanOrEqual" allowBlank="1" showInputMessage="1" showErrorMessage="1" errorTitle="Ошибка" error="Допускается ввод не более 900 символов!" sqref="K1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9">
      <formula1>"a"</formula1>
    </dataValidation>
    <dataValidation type="whole" allowBlank="1" showErrorMessage="1" errorTitle="Ошибка" error="Допускается ввод только неотрицательных целых чисел!" sqref="AI1316">
      <formula1>0</formula1>
      <formula2>9.99999999999999E+23</formula2>
    </dataValidation>
    <dataValidation type="whole" allowBlank="1" showErrorMessage="1" errorTitle="Ошибка" error="Допускается ввод только неотрицательных целых чисел!" sqref="AF1316">
      <formula1>0</formula1>
      <formula2>9.99999999999999E+23</formula2>
    </dataValidation>
    <dataValidation type="decimal" allowBlank="1" showErrorMessage="1" errorTitle="Ошибка" error="Допускается ввод только неотрицательных чисел!" sqref="AE1316">
      <formula1>0</formula1>
      <formula2>9.99999999999999E+23</formula2>
    </dataValidation>
    <dataValidation type="decimal" allowBlank="1" showErrorMessage="1" errorTitle="Ошибка" error="Допускается ввод только неотрицательных чисел!" sqref="AC1316">
      <formula1>0</formula1>
      <formula2>9.99999999999999E+23</formula2>
    </dataValidation>
    <dataValidation type="textLength" operator="lessThanOrEqual" allowBlank="1" showInputMessage="1" showErrorMessage="1" errorTitle="Ошибка" error="Допускается ввод не более 900 символов!" sqref="K1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6">
      <formula1>"a"</formula1>
    </dataValidation>
    <dataValidation type="whole" allowBlank="1" showErrorMessage="1" errorTitle="Ошибка" error="Допускается ввод только неотрицательных целых чисел!" sqref="AI1315">
      <formula1>0</formula1>
      <formula2>9.99999999999999E+23</formula2>
    </dataValidation>
    <dataValidation type="whole" allowBlank="1" showErrorMessage="1" errorTitle="Ошибка" error="Допускается ввод только неотрицательных целых чисел!" sqref="AF1315">
      <formula1>0</formula1>
      <formula2>9.99999999999999E+23</formula2>
    </dataValidation>
    <dataValidation type="textLength" operator="lessThanOrEqual" allowBlank="1" showInputMessage="1" showErrorMessage="1" errorTitle="Ошибка" error="Допускается ввод не более 900 символов!" sqref="K1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5">
      <formula1>"a"</formula1>
    </dataValidation>
    <dataValidation type="whole" allowBlank="1" showErrorMessage="1" errorTitle="Ошибка" error="Допускается ввод только неотрицательных целых чисел!" sqref="AI1314">
      <formula1>0</formula1>
      <formula2>9.99999999999999E+23</formula2>
    </dataValidation>
    <dataValidation type="whole" allowBlank="1" showErrorMessage="1" errorTitle="Ошибка" error="Допускается ввод только неотрицательных целых чисел!" sqref="AF1314">
      <formula1>0</formula1>
      <formula2>9.99999999999999E+23</formula2>
    </dataValidation>
    <dataValidation type="textLength" operator="lessThanOrEqual" allowBlank="1" showInputMessage="1" showErrorMessage="1" errorTitle="Ошибка" error="Допускается ввод не более 900 символов!" sqref="M1314">
      <formula1>900</formula1>
    </dataValidation>
    <dataValidation type="textLength" operator="lessThanOrEqual" allowBlank="1" showInputMessage="1" showErrorMessage="1" errorTitle="Ошибка" error="Допускается ввод не более 900 символов!" sqref="K1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4">
      <formula1>"a"</formula1>
    </dataValidation>
    <dataValidation type="whole" allowBlank="1" showErrorMessage="1" errorTitle="Ошибка" error="Допускается ввод только неотрицательных целых чисел!" sqref="AI1313">
      <formula1>0</formula1>
      <formula2>9.99999999999999E+23</formula2>
    </dataValidation>
    <dataValidation type="whole" allowBlank="1" showErrorMessage="1" errorTitle="Ошибка" error="Допускается ввод только неотрицательных целых чисел!" sqref="AF1313">
      <formula1>0</formula1>
      <formula2>9.99999999999999E+23</formula2>
    </dataValidation>
    <dataValidation type="whole" allowBlank="1" showErrorMessage="1" errorTitle="Ошибка" error="Допускается ввод только неотрицательных целых чисел!" sqref="AI1312">
      <formula1>0</formula1>
      <formula2>9.99999999999999E+23</formula2>
    </dataValidation>
    <dataValidation type="whole" allowBlank="1" showErrorMessage="1" errorTitle="Ошибка" error="Допускается ввод только неотрицательных целых чисел!" sqref="AF1312">
      <formula1>0</formula1>
      <formula2>9.99999999999999E+23</formula2>
    </dataValidation>
    <dataValidation type="textLength" operator="lessThanOrEqual" allowBlank="1" showInputMessage="1" showErrorMessage="1" errorTitle="Ошибка" error="Допускается ввод не более 900 символов!" sqref="K1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2">
      <formula1>"a"</formula1>
    </dataValidation>
    <dataValidation type="whole" allowBlank="1" showErrorMessage="1" errorTitle="Ошибка" error="Допускается ввод только неотрицательных целых чисел!" sqref="AI1309">
      <formula1>0</formula1>
      <formula2>9.99999999999999E+23</formula2>
    </dataValidation>
    <dataValidation type="whole" allowBlank="1" showErrorMessage="1" errorTitle="Ошибка" error="Допускается ввод только неотрицательных целых чисел!" sqref="AF1309">
      <formula1>0</formula1>
      <formula2>9.99999999999999E+23</formula2>
    </dataValidation>
    <dataValidation type="decimal" allowBlank="1" showErrorMessage="1" errorTitle="Ошибка" error="Допускается ввод только неотрицательных чисел!" sqref="AE1309">
      <formula1>0</formula1>
      <formula2>9.99999999999999E+23</formula2>
    </dataValidation>
    <dataValidation type="decimal" allowBlank="1" showErrorMessage="1" errorTitle="Ошибка" error="Допускается ввод только неотрицательных чисел!" sqref="AC1309">
      <formula1>0</formula1>
      <formula2>9.99999999999999E+23</formula2>
    </dataValidation>
    <dataValidation type="textLength" operator="lessThanOrEqual" allowBlank="1" showInputMessage="1" showErrorMessage="1" errorTitle="Ошибка" error="Допускается ввод не более 900 символов!" sqref="K1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9">
      <formula1>"a"</formula1>
    </dataValidation>
    <dataValidation type="whole" allowBlank="1" showErrorMessage="1" errorTitle="Ошибка" error="Допускается ввод только неотрицательных целых чисел!" sqref="AI1308">
      <formula1>0</formula1>
      <formula2>9.99999999999999E+23</formula2>
    </dataValidation>
    <dataValidation type="whole" allowBlank="1" showErrorMessage="1" errorTitle="Ошибка" error="Допускается ввод только неотрицательных целых чисел!" sqref="AF1308">
      <formula1>0</formula1>
      <formula2>9.99999999999999E+23</formula2>
    </dataValidation>
    <dataValidation type="textLength" operator="lessThanOrEqual" allowBlank="1" showInputMessage="1" showErrorMessage="1" errorTitle="Ошибка" error="Допускается ввод не более 900 символов!" sqref="K1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8">
      <formula1>"a"</formula1>
    </dataValidation>
    <dataValidation type="whole" allowBlank="1" showErrorMessage="1" errorTitle="Ошибка" error="Допускается ввод только неотрицательных целых чисел!" sqref="AI1307">
      <formula1>0</formula1>
      <formula2>9.99999999999999E+23</formula2>
    </dataValidation>
    <dataValidation type="whole" allowBlank="1" showErrorMessage="1" errorTitle="Ошибка" error="Допускается ввод только неотрицательных целых чисел!" sqref="AF1307">
      <formula1>0</formula1>
      <formula2>9.99999999999999E+23</formula2>
    </dataValidation>
    <dataValidation type="textLength" operator="lessThanOrEqual" allowBlank="1" showInputMessage="1" showErrorMessage="1" errorTitle="Ошибка" error="Допускается ввод не более 900 символов!" sqref="M1307">
      <formula1>900</formula1>
    </dataValidation>
    <dataValidation type="textLength" operator="lessThanOrEqual" allowBlank="1" showInputMessage="1" showErrorMessage="1" errorTitle="Ошибка" error="Допускается ввод не более 900 символов!" sqref="K1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7">
      <formula1>"a"</formula1>
    </dataValidation>
    <dataValidation type="whole" allowBlank="1" showErrorMessage="1" errorTitle="Ошибка" error="Допускается ввод только неотрицательных целых чисел!" sqref="AI1306">
      <formula1>0</formula1>
      <formula2>9.99999999999999E+23</formula2>
    </dataValidation>
    <dataValidation type="whole" allowBlank="1" showErrorMessage="1" errorTitle="Ошибка" error="Допускается ввод только неотрицательных целых чисел!" sqref="AF1306">
      <formula1>0</formula1>
      <formula2>9.99999999999999E+23</formula2>
    </dataValidation>
    <dataValidation type="whole" allowBlank="1" showErrorMessage="1" errorTitle="Ошибка" error="Допускается ввод только неотрицательных целых чисел!" sqref="AI1305">
      <formula1>0</formula1>
      <formula2>9.99999999999999E+23</formula2>
    </dataValidation>
    <dataValidation type="whole" allowBlank="1" showErrorMessage="1" errorTitle="Ошибка" error="Допускается ввод только неотрицательных целых чисел!" sqref="AF1305">
      <formula1>0</formula1>
      <formula2>9.99999999999999E+23</formula2>
    </dataValidation>
    <dataValidation type="textLength" operator="lessThanOrEqual" allowBlank="1" showInputMessage="1" showErrorMessage="1" errorTitle="Ошибка" error="Допускается ввод не более 900 символов!" sqref="K1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5">
      <formula1>"a"</formula1>
    </dataValidation>
    <dataValidation type="whole" allowBlank="1" showErrorMessage="1" errorTitle="Ошибка" error="Допускается ввод только неотрицательных целых чисел!" sqref="AI1302">
      <formula1>0</formula1>
      <formula2>9.99999999999999E+23</formula2>
    </dataValidation>
    <dataValidation type="whole" allowBlank="1" showErrorMessage="1" errorTitle="Ошибка" error="Допускается ввод только неотрицательных целых чисел!" sqref="AF1302">
      <formula1>0</formula1>
      <formula2>9.99999999999999E+23</formula2>
    </dataValidation>
    <dataValidation type="decimal" allowBlank="1" showErrorMessage="1" errorTitle="Ошибка" error="Допускается ввод только неотрицательных чисел!" sqref="AE1302">
      <formula1>0</formula1>
      <formula2>9.99999999999999E+23</formula2>
    </dataValidation>
    <dataValidation type="decimal" allowBlank="1" showErrorMessage="1" errorTitle="Ошибка" error="Допускается ввод только неотрицательных чисел!" sqref="AC1302">
      <formula1>0</formula1>
      <formula2>9.99999999999999E+23</formula2>
    </dataValidation>
    <dataValidation type="textLength" operator="lessThanOrEqual" allowBlank="1" showInputMessage="1" showErrorMessage="1" errorTitle="Ошибка" error="Допускается ввод не более 900 символов!" sqref="K1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2">
      <formula1>"a"</formula1>
    </dataValidation>
    <dataValidation type="whole" allowBlank="1" showErrorMessage="1" errorTitle="Ошибка" error="Допускается ввод только неотрицательных целых чисел!" sqref="AI1301">
      <formula1>0</formula1>
      <formula2>9.99999999999999E+23</formula2>
    </dataValidation>
    <dataValidation type="whole" allowBlank="1" showErrorMessage="1" errorTitle="Ошибка" error="Допускается ввод только неотрицательных целых чисел!" sqref="AF1301">
      <formula1>0</formula1>
      <formula2>9.99999999999999E+23</formula2>
    </dataValidation>
    <dataValidation type="textLength" operator="lessThanOrEqual" allowBlank="1" showInputMessage="1" showErrorMessage="1" errorTitle="Ошибка" error="Допускается ввод не более 900 символов!" sqref="K1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1">
      <formula1>"a"</formula1>
    </dataValidation>
    <dataValidation type="whole" allowBlank="1" showErrorMessage="1" errorTitle="Ошибка" error="Допускается ввод только неотрицательных целых чисел!" sqref="AI1300">
      <formula1>0</formula1>
      <formula2>9.99999999999999E+23</formula2>
    </dataValidation>
    <dataValidation type="whole" allowBlank="1" showErrorMessage="1" errorTitle="Ошибка" error="Допускается ввод только неотрицательных целых чисел!" sqref="AF1300">
      <formula1>0</formula1>
      <formula2>9.99999999999999E+23</formula2>
    </dataValidation>
    <dataValidation type="textLength" operator="lessThanOrEqual" allowBlank="1" showInputMessage="1" showErrorMessage="1" errorTitle="Ошибка" error="Допускается ввод не более 900 символов!" sqref="M1300">
      <formula1>900</formula1>
    </dataValidation>
    <dataValidation type="textLength" operator="lessThanOrEqual" allowBlank="1" showInputMessage="1" showErrorMessage="1" errorTitle="Ошибка" error="Допускается ввод не более 900 символов!" sqref="K1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0">
      <formula1>"a"</formula1>
    </dataValidation>
    <dataValidation type="whole" allowBlank="1" showErrorMessage="1" errorTitle="Ошибка" error="Допускается ввод только неотрицательных целых чисел!" sqref="AI1299">
      <formula1>0</formula1>
      <formula2>9.99999999999999E+23</formula2>
    </dataValidation>
    <dataValidation type="whole" allowBlank="1" showErrorMessage="1" errorTitle="Ошибка" error="Допускается ввод только неотрицательных целых чисел!" sqref="AF1299">
      <formula1>0</formula1>
      <formula2>9.99999999999999E+23</formula2>
    </dataValidation>
    <dataValidation type="whole" allowBlank="1" showErrorMessage="1" errorTitle="Ошибка" error="Допускается ввод только неотрицательных целых чисел!" sqref="AI1298">
      <formula1>0</formula1>
      <formula2>9.99999999999999E+23</formula2>
    </dataValidation>
    <dataValidation type="whole" allowBlank="1" showErrorMessage="1" errorTitle="Ошибка" error="Допускается ввод только неотрицательных целых чисел!" sqref="AF1298">
      <formula1>0</formula1>
      <formula2>9.99999999999999E+23</formula2>
    </dataValidation>
    <dataValidation type="textLength" operator="lessThanOrEqual" allowBlank="1" showInputMessage="1" showErrorMessage="1" errorTitle="Ошибка" error="Допускается ввод не более 900 символов!" sqref="K1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8">
      <formula1>"a"</formula1>
    </dataValidation>
    <dataValidation type="whole" allowBlank="1" showErrorMessage="1" errorTitle="Ошибка" error="Допускается ввод только неотрицательных целых чисел!" sqref="AI1295">
      <formula1>0</formula1>
      <formula2>9.99999999999999E+23</formula2>
    </dataValidation>
    <dataValidation type="whole" allowBlank="1" showErrorMessage="1" errorTitle="Ошибка" error="Допускается ввод только неотрицательных целых чисел!" sqref="AF1295">
      <formula1>0</formula1>
      <formula2>9.99999999999999E+23</formula2>
    </dataValidation>
    <dataValidation type="decimal" allowBlank="1" showErrorMessage="1" errorTitle="Ошибка" error="Допускается ввод только неотрицательных чисел!" sqref="AE1295">
      <formula1>0</formula1>
      <formula2>9.99999999999999E+23</formula2>
    </dataValidation>
    <dataValidation type="decimal" allowBlank="1" showErrorMessage="1" errorTitle="Ошибка" error="Допускается ввод только неотрицательных чисел!" sqref="AC1295">
      <formula1>0</formula1>
      <formula2>9.99999999999999E+23</formula2>
    </dataValidation>
    <dataValidation type="textLength" operator="lessThanOrEqual" allowBlank="1" showInputMessage="1" showErrorMessage="1" errorTitle="Ошибка" error="Допускается ввод не более 900 символов!" sqref="K1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5">
      <formula1>"a"</formula1>
    </dataValidation>
    <dataValidation type="whole" allowBlank="1" showErrorMessage="1" errorTitle="Ошибка" error="Допускается ввод только неотрицательных целых чисел!" sqref="AI1294">
      <formula1>0</formula1>
      <formula2>9.99999999999999E+23</formula2>
    </dataValidation>
    <dataValidation type="whole" allowBlank="1" showErrorMessage="1" errorTitle="Ошибка" error="Допускается ввод только неотрицательных целых чисел!" sqref="AF1294">
      <formula1>0</formula1>
      <formula2>9.99999999999999E+23</formula2>
    </dataValidation>
    <dataValidation type="textLength" operator="lessThanOrEqual" allowBlank="1" showInputMessage="1" showErrorMessage="1" errorTitle="Ошибка" error="Допускается ввод не более 900 символов!" sqref="K1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4">
      <formula1>"a"</formula1>
    </dataValidation>
    <dataValidation type="whole" allowBlank="1" showErrorMessage="1" errorTitle="Ошибка" error="Допускается ввод только неотрицательных целых чисел!" sqref="AI1293">
      <formula1>0</formula1>
      <formula2>9.99999999999999E+23</formula2>
    </dataValidation>
    <dataValidation type="whole" allowBlank="1" showErrorMessage="1" errorTitle="Ошибка" error="Допускается ввод только неотрицательных целых чисел!" sqref="AF1293">
      <formula1>0</formula1>
      <formula2>9.99999999999999E+23</formula2>
    </dataValidation>
    <dataValidation type="textLength" operator="lessThanOrEqual" allowBlank="1" showInputMessage="1" showErrorMessage="1" errorTitle="Ошибка" error="Допускается ввод не более 900 символов!" sqref="M1293">
      <formula1>900</formula1>
    </dataValidation>
    <dataValidation type="textLength" operator="lessThanOrEqual" allowBlank="1" showInputMessage="1" showErrorMessage="1" errorTitle="Ошибка" error="Допускается ввод не более 900 символов!" sqref="K1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3">
      <formula1>"a"</formula1>
    </dataValidation>
    <dataValidation type="whole" allowBlank="1" showErrorMessage="1" errorTitle="Ошибка" error="Допускается ввод только неотрицательных целых чисел!" sqref="AI1292">
      <formula1>0</formula1>
      <formula2>9.99999999999999E+23</formula2>
    </dataValidation>
    <dataValidation type="whole" allowBlank="1" showErrorMessage="1" errorTitle="Ошибка" error="Допускается ввод только неотрицательных целых чисел!" sqref="AF1292">
      <formula1>0</formula1>
      <formula2>9.99999999999999E+23</formula2>
    </dataValidation>
    <dataValidation type="whole" allowBlank="1" showErrorMessage="1" errorTitle="Ошибка" error="Допускается ввод только неотрицательных целых чисел!" sqref="AI1291">
      <formula1>0</formula1>
      <formula2>9.99999999999999E+23</formula2>
    </dataValidation>
    <dataValidation type="whole" allowBlank="1" showErrorMessage="1" errorTitle="Ошибка" error="Допускается ввод только неотрицательных целых чисел!" sqref="AF1291">
      <formula1>0</formula1>
      <formula2>9.99999999999999E+23</formula2>
    </dataValidation>
    <dataValidation type="textLength" operator="lessThanOrEqual" allowBlank="1" showInputMessage="1" showErrorMessage="1" errorTitle="Ошибка" error="Допускается ввод не более 900 символов!" sqref="K1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1">
      <formula1>"a"</formula1>
    </dataValidation>
    <dataValidation type="whole" allowBlank="1" showErrorMessage="1" errorTitle="Ошибка" error="Допускается ввод только неотрицательных целых чисел!" sqref="AI1288">
      <formula1>0</formula1>
      <formula2>9.99999999999999E+23</formula2>
    </dataValidation>
    <dataValidation type="whole" allowBlank="1" showErrorMessage="1" errorTitle="Ошибка" error="Допускается ввод только неотрицательных целых чисел!" sqref="AF1288">
      <formula1>0</formula1>
      <formula2>9.99999999999999E+23</formula2>
    </dataValidation>
    <dataValidation type="decimal" allowBlank="1" showErrorMessage="1" errorTitle="Ошибка" error="Допускается ввод только неотрицательных чисел!" sqref="AE1288">
      <formula1>0</formula1>
      <formula2>9.99999999999999E+23</formula2>
    </dataValidation>
    <dataValidation type="decimal" allowBlank="1" showErrorMessage="1" errorTitle="Ошибка" error="Допускается ввод только неотрицательных чисел!" sqref="AC1288">
      <formula1>0</formula1>
      <formula2>9.99999999999999E+23</formula2>
    </dataValidation>
    <dataValidation type="textLength" operator="lessThanOrEqual" allowBlank="1" showInputMessage="1" showErrorMessage="1" errorTitle="Ошибка" error="Допускается ввод не более 900 символов!" sqref="K1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8">
      <formula1>"a"</formula1>
    </dataValidation>
    <dataValidation type="whole" allowBlank="1" showErrorMessage="1" errorTitle="Ошибка" error="Допускается ввод только неотрицательных целых чисел!" sqref="AI1287">
      <formula1>0</formula1>
      <formula2>9.99999999999999E+23</formula2>
    </dataValidation>
    <dataValidation type="whole" allowBlank="1" showErrorMessage="1" errorTitle="Ошибка" error="Допускается ввод только неотрицательных целых чисел!" sqref="AF1287">
      <formula1>0</formula1>
      <formula2>9.99999999999999E+23</formula2>
    </dataValidation>
    <dataValidation type="textLength" operator="lessThanOrEqual" allowBlank="1" showInputMessage="1" showErrorMessage="1" errorTitle="Ошибка" error="Допускается ввод не более 900 символов!" sqref="K1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7">
      <formula1>"a"</formula1>
    </dataValidation>
    <dataValidation type="whole" allowBlank="1" showErrorMessage="1" errorTitle="Ошибка" error="Допускается ввод только неотрицательных целых чисел!" sqref="AI1286">
      <formula1>0</formula1>
      <formula2>9.99999999999999E+23</formula2>
    </dataValidation>
    <dataValidation type="whole" allowBlank="1" showErrorMessage="1" errorTitle="Ошибка" error="Допускается ввод только неотрицательных целых чисел!" sqref="AF1286">
      <formula1>0</formula1>
      <formula2>9.99999999999999E+23</formula2>
    </dataValidation>
    <dataValidation type="textLength" operator="lessThanOrEqual" allowBlank="1" showInputMessage="1" showErrorMessage="1" errorTitle="Ошибка" error="Допускается ввод не более 900 символов!" sqref="M1286">
      <formula1>900</formula1>
    </dataValidation>
    <dataValidation type="textLength" operator="lessThanOrEqual" allowBlank="1" showInputMessage="1" showErrorMessage="1" errorTitle="Ошибка" error="Допускается ввод не более 900 символов!" sqref="K1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6">
      <formula1>"a"</formula1>
    </dataValidation>
    <dataValidation type="whole" allowBlank="1" showErrorMessage="1" errorTitle="Ошибка" error="Допускается ввод только неотрицательных целых чисел!" sqref="AI1277">
      <formula1>0</formula1>
      <formula2>9.99999999999999E+23</formula2>
    </dataValidation>
    <dataValidation type="whole" allowBlank="1" showErrorMessage="1" errorTitle="Ошибка" error="Допускается ввод только неотрицательных целых чисел!" sqref="AF1277">
      <formula1>0</formula1>
      <formula2>9.99999999999999E+23</formula2>
    </dataValidation>
    <dataValidation type="decimal" allowBlank="1" showErrorMessage="1" errorTitle="Ошибка" error="Допускается ввод только неотрицательных чисел!" sqref="AE1277">
      <formula1>0</formula1>
      <formula2>9.99999999999999E+23</formula2>
    </dataValidation>
    <dataValidation type="decimal" allowBlank="1" showErrorMessage="1" errorTitle="Ошибка" error="Допускается ввод только неотрицательных чисел!" sqref="AC1277">
      <formula1>0</formula1>
      <formula2>9.99999999999999E+23</formula2>
    </dataValidation>
    <dataValidation type="textLength" operator="lessThanOrEqual" allowBlank="1" showInputMessage="1" showErrorMessage="1" errorTitle="Ошибка" error="Допускается ввод не более 900 символов!" sqref="K1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7">
      <formula1>"a"</formula1>
    </dataValidation>
    <dataValidation type="whole" allowBlank="1" showErrorMessage="1" errorTitle="Ошибка" error="Допускается ввод только неотрицательных целых чисел!" sqref="AI1276">
      <formula1>0</formula1>
      <formula2>9.99999999999999E+23</formula2>
    </dataValidation>
    <dataValidation type="whole" allowBlank="1" showErrorMessage="1" errorTitle="Ошибка" error="Допускается ввод только неотрицательных целых чисел!" sqref="AF1276">
      <formula1>0</formula1>
      <formula2>9.99999999999999E+23</formula2>
    </dataValidation>
    <dataValidation type="decimal" allowBlank="1" showErrorMessage="1" errorTitle="Ошибка" error="Допускается ввод только неотрицательных чисел!" sqref="AE1276">
      <formula1>0</formula1>
      <formula2>9.99999999999999E+23</formula2>
    </dataValidation>
    <dataValidation type="decimal" allowBlank="1" showErrorMessage="1" errorTitle="Ошибка" error="Допускается ввод только неотрицательных чисел!" sqref="AC1276">
      <formula1>0</formula1>
      <formula2>9.99999999999999E+23</formula2>
    </dataValidation>
    <dataValidation type="textLength" operator="lessThanOrEqual" allowBlank="1" showInputMessage="1" showErrorMessage="1" errorTitle="Ошибка" error="Допускается ввод не более 900 символов!" sqref="K1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6">
      <formula1>"a"</formula1>
    </dataValidation>
    <dataValidation type="whole" allowBlank="1" showErrorMessage="1" errorTitle="Ошибка" error="Допускается ввод только неотрицательных целых чисел!" sqref="AI1270">
      <formula1>0</formula1>
      <formula2>9.99999999999999E+23</formula2>
    </dataValidation>
    <dataValidation type="whole" allowBlank="1" showErrorMessage="1" errorTitle="Ошибка" error="Допускается ввод только неотрицательных целых чисел!" sqref="AF1270">
      <formula1>0</formula1>
      <formula2>9.99999999999999E+23</formula2>
    </dataValidation>
    <dataValidation type="decimal" allowBlank="1" showErrorMessage="1" errorTitle="Ошибка" error="Допускается ввод только неотрицательных чисел!" sqref="AE1270">
      <formula1>0</formula1>
      <formula2>9.99999999999999E+23</formula2>
    </dataValidation>
    <dataValidation type="decimal" allowBlank="1" showErrorMessage="1" errorTitle="Ошибка" error="Допускается ввод только неотрицательных чисел!" sqref="AC1270">
      <formula1>0</formula1>
      <formula2>9.99999999999999E+23</formula2>
    </dataValidation>
    <dataValidation type="textLength" operator="lessThanOrEqual" allowBlank="1" showInputMessage="1" showErrorMessage="1" errorTitle="Ошибка" error="Допускается ввод не более 900 символов!" sqref="K1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0">
      <formula1>"a"</formula1>
    </dataValidation>
    <dataValidation type="whole" allowBlank="1" showErrorMessage="1" errorTitle="Ошибка" error="Допускается ввод только неотрицательных целых чисел!" sqref="AI1269">
      <formula1>0</formula1>
      <formula2>9.99999999999999E+23</formula2>
    </dataValidation>
    <dataValidation type="whole" allowBlank="1" showErrorMessage="1" errorTitle="Ошибка" error="Допускается ввод только неотрицательных целых чисел!" sqref="AF1269">
      <formula1>0</formula1>
      <formula2>9.99999999999999E+23</formula2>
    </dataValidation>
    <dataValidation type="decimal" allowBlank="1" showErrorMessage="1" errorTitle="Ошибка" error="Допускается ввод только неотрицательных чисел!" sqref="AE1269">
      <formula1>0</formula1>
      <formula2>9.99999999999999E+23</formula2>
    </dataValidation>
    <dataValidation type="decimal" allowBlank="1" showErrorMessage="1" errorTitle="Ошибка" error="Допускается ввод только неотрицательных чисел!" sqref="AC1269">
      <formula1>0</formula1>
      <formula2>9.99999999999999E+23</formula2>
    </dataValidation>
    <dataValidation type="textLength" operator="lessThanOrEqual" allowBlank="1" showInputMessage="1" showErrorMessage="1" errorTitle="Ошибка" error="Допускается ввод не более 900 символов!" sqref="K1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9">
      <formula1>"a"</formula1>
    </dataValidation>
    <dataValidation type="whole" allowBlank="1" showErrorMessage="1" errorTitle="Ошибка" error="Допускается ввод только неотрицательных целых чисел!" sqref="AI1263">
      <formula1>0</formula1>
      <formula2>9.99999999999999E+23</formula2>
    </dataValidation>
    <dataValidation type="whole" allowBlank="1" showErrorMessage="1" errorTitle="Ошибка" error="Допускается ввод только неотрицательных целых чисел!" sqref="AF1263">
      <formula1>0</formula1>
      <formula2>9.99999999999999E+23</formula2>
    </dataValidation>
    <dataValidation type="decimal" allowBlank="1" showErrorMessage="1" errorTitle="Ошибка" error="Допускается ввод только неотрицательных чисел!" sqref="AE1263">
      <formula1>0</formula1>
      <formula2>9.99999999999999E+23</formula2>
    </dataValidation>
    <dataValidation type="decimal" allowBlank="1" showErrorMessage="1" errorTitle="Ошибка" error="Допускается ввод только неотрицательных чисел!" sqref="AC1263">
      <formula1>0</formula1>
      <formula2>9.99999999999999E+23</formula2>
    </dataValidation>
    <dataValidation type="textLength" operator="lessThanOrEqual" allowBlank="1" showInputMessage="1" showErrorMessage="1" errorTitle="Ошибка" error="Допускается ввод не более 900 символов!" sqref="K1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3">
      <formula1>"a"</formula1>
    </dataValidation>
    <dataValidation type="whole" allowBlank="1" showErrorMessage="1" errorTitle="Ошибка" error="Допускается ввод только неотрицательных целых чисел!" sqref="AI1262">
      <formula1>0</formula1>
      <formula2>9.99999999999999E+23</formula2>
    </dataValidation>
    <dataValidation type="whole" allowBlank="1" showErrorMessage="1" errorTitle="Ошибка" error="Допускается ввод только неотрицательных целых чисел!" sqref="AF1262">
      <formula1>0</formula1>
      <formula2>9.99999999999999E+23</formula2>
    </dataValidation>
    <dataValidation type="decimal" allowBlank="1" showErrorMessage="1" errorTitle="Ошибка" error="Допускается ввод только неотрицательных чисел!" sqref="AE1262">
      <formula1>0</formula1>
      <formula2>9.99999999999999E+23</formula2>
    </dataValidation>
    <dataValidation type="decimal" allowBlank="1" showErrorMessage="1" errorTitle="Ошибка" error="Допускается ввод только неотрицательных чисел!" sqref="AC1262">
      <formula1>0</formula1>
      <formula2>9.99999999999999E+23</formula2>
    </dataValidation>
    <dataValidation type="textLength" operator="lessThanOrEqual" allowBlank="1" showInputMessage="1" showErrorMessage="1" errorTitle="Ошибка" error="Допускается ввод не более 900 символов!" sqref="K1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2">
      <formula1>"a"</formula1>
    </dataValidation>
    <dataValidation type="whole" allowBlank="1" showErrorMessage="1" errorTitle="Ошибка" error="Допускается ввод только неотрицательных целых чисел!" sqref="AI1256">
      <formula1>0</formula1>
      <formula2>9.99999999999999E+23</formula2>
    </dataValidation>
    <dataValidation type="whole" allowBlank="1" showErrorMessage="1" errorTitle="Ошибка" error="Допускается ввод только неотрицательных целых чисел!" sqref="AF1256">
      <formula1>0</formula1>
      <formula2>9.99999999999999E+23</formula2>
    </dataValidation>
    <dataValidation type="decimal" allowBlank="1" showErrorMessage="1" errorTitle="Ошибка" error="Допускается ввод только неотрицательных чисел!" sqref="AE1256">
      <formula1>0</formula1>
      <formula2>9.99999999999999E+23</formula2>
    </dataValidation>
    <dataValidation type="decimal" allowBlank="1" showErrorMessage="1" errorTitle="Ошибка" error="Допускается ввод только неотрицательных чисел!" sqref="AC1256">
      <formula1>0</formula1>
      <formula2>9.99999999999999E+23</formula2>
    </dataValidation>
    <dataValidation type="textLength" operator="lessThanOrEqual" allowBlank="1" showInputMessage="1" showErrorMessage="1" errorTitle="Ошибка" error="Допускается ввод не более 900 символов!" sqref="K1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6">
      <formula1>"a"</formula1>
    </dataValidation>
    <dataValidation type="whole" allowBlank="1" showErrorMessage="1" errorTitle="Ошибка" error="Допускается ввод только неотрицательных целых чисел!" sqref="AI1255">
      <formula1>0</formula1>
      <formula2>9.99999999999999E+23</formula2>
    </dataValidation>
    <dataValidation type="whole" allowBlank="1" showErrorMessage="1" errorTitle="Ошибка" error="Допускается ввод только неотрицательных целых чисел!" sqref="AF1255">
      <formula1>0</formula1>
      <formula2>9.99999999999999E+23</formula2>
    </dataValidation>
    <dataValidation type="decimal" allowBlank="1" showErrorMessage="1" errorTitle="Ошибка" error="Допускается ввод только неотрицательных чисел!" sqref="AE1255">
      <formula1>0</formula1>
      <formula2>9.99999999999999E+23</formula2>
    </dataValidation>
    <dataValidation type="decimal" allowBlank="1" showErrorMessage="1" errorTitle="Ошибка" error="Допускается ввод только неотрицательных чисел!" sqref="AC1255">
      <formula1>0</formula1>
      <formula2>9.99999999999999E+23</formula2>
    </dataValidation>
    <dataValidation type="textLength" operator="lessThanOrEqual" allowBlank="1" showInputMessage="1" showErrorMessage="1" errorTitle="Ошибка" error="Допускается ввод не более 900 символов!" sqref="K1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5">
      <formula1>"a"</formula1>
    </dataValidation>
    <dataValidation type="whole" allowBlank="1" showErrorMessage="1" errorTitle="Ошибка" error="Допускается ввод только неотрицательных целых чисел!" sqref="AI1249">
      <formula1>0</formula1>
      <formula2>9.99999999999999E+23</formula2>
    </dataValidation>
    <dataValidation type="whole" allowBlank="1" showErrorMessage="1" errorTitle="Ошибка" error="Допускается ввод только неотрицательных целых чисел!" sqref="AF1249">
      <formula1>0</formula1>
      <formula2>9.99999999999999E+23</formula2>
    </dataValidation>
    <dataValidation type="decimal" allowBlank="1" showErrorMessage="1" errorTitle="Ошибка" error="Допускается ввод только неотрицательных чисел!" sqref="AE1249">
      <formula1>0</formula1>
      <formula2>9.99999999999999E+23</formula2>
    </dataValidation>
    <dataValidation type="decimal" allowBlank="1" showErrorMessage="1" errorTitle="Ошибка" error="Допускается ввод только неотрицательных чисел!" sqref="AC1249">
      <formula1>0</formula1>
      <formula2>9.99999999999999E+23</formula2>
    </dataValidation>
    <dataValidation type="textLength" operator="lessThanOrEqual" allowBlank="1" showInputMessage="1" showErrorMessage="1" errorTitle="Ошибка" error="Допускается ввод не более 900 символов!" sqref="K1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9">
      <formula1>"a"</formula1>
    </dataValidation>
    <dataValidation type="whole" allowBlank="1" showErrorMessage="1" errorTitle="Ошибка" error="Допускается ввод только неотрицательных целых чисел!" sqref="AI1248">
      <formula1>0</formula1>
      <formula2>9.99999999999999E+23</formula2>
    </dataValidation>
    <dataValidation type="whole" allowBlank="1" showErrorMessage="1" errorTitle="Ошибка" error="Допускается ввод только неотрицательных целых чисел!" sqref="AF1248">
      <formula1>0</formula1>
      <formula2>9.99999999999999E+23</formula2>
    </dataValidation>
    <dataValidation type="decimal" allowBlank="1" showErrorMessage="1" errorTitle="Ошибка" error="Допускается ввод только неотрицательных чисел!" sqref="AE1248">
      <formula1>0</formula1>
      <formula2>9.99999999999999E+23</formula2>
    </dataValidation>
    <dataValidation type="decimal" allowBlank="1" showErrorMessage="1" errorTitle="Ошибка" error="Допускается ввод только неотрицательных чисел!" sqref="AC1248">
      <formula1>0</formula1>
      <formula2>9.99999999999999E+23</formula2>
    </dataValidation>
    <dataValidation type="textLength" operator="lessThanOrEqual" allowBlank="1" showInputMessage="1" showErrorMessage="1" errorTitle="Ошибка" error="Допускается ввод не более 900 символов!" sqref="K1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8">
      <formula1>"a"</formula1>
    </dataValidation>
    <dataValidation type="whole" allowBlank="1" showErrorMessage="1" errorTitle="Ошибка" error="Допускается ввод только неотрицательных целых чисел!" sqref="AI1242">
      <formula1>0</formula1>
      <formula2>9.99999999999999E+23</formula2>
    </dataValidation>
    <dataValidation type="whole" allowBlank="1" showErrorMessage="1" errorTitle="Ошибка" error="Допускается ввод только неотрицательных целых чисел!" sqref="AF1242">
      <formula1>0</formula1>
      <formula2>9.99999999999999E+23</formula2>
    </dataValidation>
    <dataValidation type="decimal" allowBlank="1" showErrorMessage="1" errorTitle="Ошибка" error="Допускается ввод только неотрицательных чисел!" sqref="AE1242">
      <formula1>0</formula1>
      <formula2>9.99999999999999E+23</formula2>
    </dataValidation>
    <dataValidation type="decimal" allowBlank="1" showErrorMessage="1" errorTitle="Ошибка" error="Допускается ввод только неотрицательных чисел!" sqref="AC1242">
      <formula1>0</formula1>
      <formula2>9.99999999999999E+23</formula2>
    </dataValidation>
    <dataValidation type="textLength" operator="lessThanOrEqual" allowBlank="1" showInputMessage="1" showErrorMessage="1" errorTitle="Ошибка" error="Допускается ввод не более 900 символов!" sqref="K1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2">
      <formula1>"a"</formula1>
    </dataValidation>
    <dataValidation type="whole" allowBlank="1" showErrorMessage="1" errorTitle="Ошибка" error="Допускается ввод только неотрицательных целых чисел!" sqref="AI1241">
      <formula1>0</formula1>
      <formula2>9.99999999999999E+23</formula2>
    </dataValidation>
    <dataValidation type="whole" allowBlank="1" showErrorMessage="1" errorTitle="Ошибка" error="Допускается ввод только неотрицательных целых чисел!" sqref="AF1241">
      <formula1>0</formula1>
      <formula2>9.99999999999999E+23</formula2>
    </dataValidation>
    <dataValidation type="decimal" allowBlank="1" showErrorMessage="1" errorTitle="Ошибка" error="Допускается ввод только неотрицательных чисел!" sqref="AE1241">
      <formula1>0</formula1>
      <formula2>9.99999999999999E+23</formula2>
    </dataValidation>
    <dataValidation type="decimal" allowBlank="1" showErrorMessage="1" errorTitle="Ошибка" error="Допускается ввод только неотрицательных чисел!" sqref="AC1241">
      <formula1>0</formula1>
      <formula2>9.99999999999999E+23</formula2>
    </dataValidation>
    <dataValidation type="textLength" operator="lessThanOrEqual" allowBlank="1" showInputMessage="1" showErrorMessage="1" errorTitle="Ошибка" error="Допускается ввод не более 900 символов!" sqref="K1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1">
      <formula1>"a"</formula1>
    </dataValidation>
    <dataValidation type="whole" allowBlank="1" showErrorMessage="1" errorTitle="Ошибка" error="Допускается ввод только неотрицательных целых чисел!" sqref="AI1235">
      <formula1>0</formula1>
      <formula2>9.99999999999999E+23</formula2>
    </dataValidation>
    <dataValidation type="whole" allowBlank="1" showErrorMessage="1" errorTitle="Ошибка" error="Допускается ввод только неотрицательных целых чисел!" sqref="AF1235">
      <formula1>0</formula1>
      <formula2>9.99999999999999E+23</formula2>
    </dataValidation>
    <dataValidation type="decimal" allowBlank="1" showErrorMessage="1" errorTitle="Ошибка" error="Допускается ввод только неотрицательных чисел!" sqref="AE1235">
      <formula1>0</formula1>
      <formula2>9.99999999999999E+23</formula2>
    </dataValidation>
    <dataValidation type="decimal" allowBlank="1" showErrorMessage="1" errorTitle="Ошибка" error="Допускается ввод только неотрицательных чисел!" sqref="AC1235">
      <formula1>0</formula1>
      <formula2>9.99999999999999E+23</formula2>
    </dataValidation>
    <dataValidation type="textLength" operator="lessThanOrEqual" allowBlank="1" showInputMessage="1" showErrorMessage="1" errorTitle="Ошибка" error="Допускается ввод не более 900 символов!" sqref="K1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5">
      <formula1>"a"</formula1>
    </dataValidation>
    <dataValidation type="whole" allowBlank="1" showErrorMessage="1" errorTitle="Ошибка" error="Допускается ввод только неотрицательных целых чисел!" sqref="AI1234">
      <formula1>0</formula1>
      <formula2>9.99999999999999E+23</formula2>
    </dataValidation>
    <dataValidation type="whole" allowBlank="1" showErrorMessage="1" errorTitle="Ошибка" error="Допускается ввод только неотрицательных целых чисел!" sqref="AF1234">
      <formula1>0</formula1>
      <formula2>9.99999999999999E+23</formula2>
    </dataValidation>
    <dataValidation type="decimal" allowBlank="1" showErrorMessage="1" errorTitle="Ошибка" error="Допускается ввод только неотрицательных чисел!" sqref="AE1234">
      <formula1>0</formula1>
      <formula2>9.99999999999999E+23</formula2>
    </dataValidation>
    <dataValidation type="decimal" allowBlank="1" showErrorMessage="1" errorTitle="Ошибка" error="Допускается ввод только неотрицательных чисел!" sqref="AC1234">
      <formula1>0</formula1>
      <formula2>9.99999999999999E+23</formula2>
    </dataValidation>
    <dataValidation type="textLength" operator="lessThanOrEqual" allowBlank="1" showInputMessage="1" showErrorMessage="1" errorTitle="Ошибка" error="Допускается ввод не более 900 символов!" sqref="K1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4">
      <formula1>"a"</formula1>
    </dataValidation>
    <dataValidation type="whole" allowBlank="1" showErrorMessage="1" errorTitle="Ошибка" error="Допускается ввод только неотрицательных целых чисел!" sqref="AI1228">
      <formula1>0</formula1>
      <formula2>9.99999999999999E+23</formula2>
    </dataValidation>
    <dataValidation type="whole" allowBlank="1" showErrorMessage="1" errorTitle="Ошибка" error="Допускается ввод только неотрицательных целых чисел!" sqref="AF1228">
      <formula1>0</formula1>
      <formula2>9.99999999999999E+23</formula2>
    </dataValidation>
    <dataValidation type="decimal" allowBlank="1" showErrorMessage="1" errorTitle="Ошибка" error="Допускается ввод только неотрицательных чисел!" sqref="AE1228">
      <formula1>0</formula1>
      <formula2>9.99999999999999E+23</formula2>
    </dataValidation>
    <dataValidation type="decimal" allowBlank="1" showErrorMessage="1" errorTitle="Ошибка" error="Допускается ввод только неотрицательных чисел!" sqref="AC1228">
      <formula1>0</formula1>
      <formula2>9.99999999999999E+23</formula2>
    </dataValidation>
    <dataValidation type="textLength" operator="lessThanOrEqual" allowBlank="1" showInputMessage="1" showErrorMessage="1" errorTitle="Ошибка" error="Допускается ввод не более 900 символов!" sqref="K1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8">
      <formula1>"a"</formula1>
    </dataValidation>
    <dataValidation type="whole" allowBlank="1" showErrorMessage="1" errorTitle="Ошибка" error="Допускается ввод только неотрицательных целых чисел!" sqref="AI1227">
      <formula1>0</formula1>
      <formula2>9.99999999999999E+23</formula2>
    </dataValidation>
    <dataValidation type="whole" allowBlank="1" showErrorMessage="1" errorTitle="Ошибка" error="Допускается ввод только неотрицательных целых чисел!" sqref="AF1227">
      <formula1>0</formula1>
      <formula2>9.99999999999999E+23</formula2>
    </dataValidation>
    <dataValidation type="decimal" allowBlank="1" showErrorMessage="1" errorTitle="Ошибка" error="Допускается ввод только неотрицательных чисел!" sqref="AE1227">
      <formula1>0</formula1>
      <formula2>9.99999999999999E+23</formula2>
    </dataValidation>
    <dataValidation type="decimal" allowBlank="1" showErrorMessage="1" errorTitle="Ошибка" error="Допускается ввод только неотрицательных чисел!" sqref="AC1227">
      <formula1>0</formula1>
      <formula2>9.99999999999999E+23</formula2>
    </dataValidation>
    <dataValidation type="textLength" operator="lessThanOrEqual" allowBlank="1" showInputMessage="1" showErrorMessage="1" errorTitle="Ошибка" error="Допускается ввод не более 900 символов!" sqref="K1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7">
      <formula1>"a"</formula1>
    </dataValidation>
    <dataValidation type="whole" allowBlank="1" showErrorMessage="1" errorTitle="Ошибка" error="Допускается ввод только неотрицательных целых чисел!" sqref="AI1221">
      <formula1>0</formula1>
      <formula2>9.99999999999999E+23</formula2>
    </dataValidation>
    <dataValidation type="whole" allowBlank="1" showErrorMessage="1" errorTitle="Ошибка" error="Допускается ввод только неотрицательных целых чисел!" sqref="AF1221">
      <formula1>0</formula1>
      <formula2>9.99999999999999E+23</formula2>
    </dataValidation>
    <dataValidation type="decimal" allowBlank="1" showErrorMessage="1" errorTitle="Ошибка" error="Допускается ввод только неотрицательных чисел!" sqref="AE1221">
      <formula1>0</formula1>
      <formula2>9.99999999999999E+23</formula2>
    </dataValidation>
    <dataValidation type="decimal" allowBlank="1" showErrorMessage="1" errorTitle="Ошибка" error="Допускается ввод только неотрицательных чисел!" sqref="AC1221">
      <formula1>0</formula1>
      <formula2>9.99999999999999E+23</formula2>
    </dataValidation>
    <dataValidation type="textLength" operator="lessThanOrEqual" allowBlank="1" showInputMessage="1" showErrorMessage="1" errorTitle="Ошибка" error="Допускается ввод не более 900 символов!" sqref="K1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1">
      <formula1>"a"</formula1>
    </dataValidation>
    <dataValidation type="whole" allowBlank="1" showErrorMessage="1" errorTitle="Ошибка" error="Допускается ввод только неотрицательных целых чисел!" sqref="AI1220">
      <formula1>0</formula1>
      <formula2>9.99999999999999E+23</formula2>
    </dataValidation>
    <dataValidation type="whole" allowBlank="1" showErrorMessage="1" errorTitle="Ошибка" error="Допускается ввод только неотрицательных целых чисел!" sqref="AF1220">
      <formula1>0</formula1>
      <formula2>9.99999999999999E+23</formula2>
    </dataValidation>
    <dataValidation type="decimal" allowBlank="1" showErrorMessage="1" errorTitle="Ошибка" error="Допускается ввод только неотрицательных чисел!" sqref="AE1220">
      <formula1>0</formula1>
      <formula2>9.99999999999999E+23</formula2>
    </dataValidation>
    <dataValidation type="decimal" allowBlank="1" showErrorMessage="1" errorTitle="Ошибка" error="Допускается ввод только неотрицательных чисел!" sqref="AC1220">
      <formula1>0</formula1>
      <formula2>9.99999999999999E+23</formula2>
    </dataValidation>
    <dataValidation type="textLength" operator="lessThanOrEqual" allowBlank="1" showInputMessage="1" showErrorMessage="1" errorTitle="Ошибка" error="Допускается ввод не более 900 символов!" sqref="K1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0">
      <formula1>"a"</formula1>
    </dataValidation>
    <dataValidation type="whole" allowBlank="1" showErrorMessage="1" errorTitle="Ошибка" error="Допускается ввод только неотрицательных целых чисел!" sqref="AI1214">
      <formula1>0</formula1>
      <formula2>9.99999999999999E+23</formula2>
    </dataValidation>
    <dataValidation type="whole" allowBlank="1" showErrorMessage="1" errorTitle="Ошибка" error="Допускается ввод только неотрицательных целых чисел!" sqref="AF1214">
      <formula1>0</formula1>
      <formula2>9.99999999999999E+23</formula2>
    </dataValidation>
    <dataValidation type="decimal" allowBlank="1" showErrorMessage="1" errorTitle="Ошибка" error="Допускается ввод только неотрицательных чисел!" sqref="AE1214">
      <formula1>0</formula1>
      <formula2>9.99999999999999E+23</formula2>
    </dataValidation>
    <dataValidation type="decimal" allowBlank="1" showErrorMessage="1" errorTitle="Ошибка" error="Допускается ввод только неотрицательных чисел!" sqref="AC1214">
      <formula1>0</formula1>
      <formula2>9.99999999999999E+23</formula2>
    </dataValidation>
    <dataValidation type="textLength" operator="lessThanOrEqual" allowBlank="1" showInputMessage="1" showErrorMessage="1" errorTitle="Ошибка" error="Допускается ввод не более 900 символов!" sqref="K1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4">
      <formula1>"a"</formula1>
    </dataValidation>
    <dataValidation type="whole" allowBlank="1" showErrorMessage="1" errorTitle="Ошибка" error="Допускается ввод только неотрицательных целых чисел!" sqref="AI1213">
      <formula1>0</formula1>
      <formula2>9.99999999999999E+23</formula2>
    </dataValidation>
    <dataValidation type="whole" allowBlank="1" showErrorMessage="1" errorTitle="Ошибка" error="Допускается ввод только неотрицательных целых чисел!" sqref="AF1213">
      <formula1>0</formula1>
      <formula2>9.99999999999999E+23</formula2>
    </dataValidation>
    <dataValidation type="decimal" allowBlank="1" showErrorMessage="1" errorTitle="Ошибка" error="Допускается ввод только неотрицательных чисел!" sqref="AE1213">
      <formula1>0</formula1>
      <formula2>9.99999999999999E+23</formula2>
    </dataValidation>
    <dataValidation type="decimal" allowBlank="1" showErrorMessage="1" errorTitle="Ошибка" error="Допускается ввод только неотрицательных чисел!" sqref="AC1213">
      <formula1>0</formula1>
      <formula2>9.99999999999999E+23</formula2>
    </dataValidation>
    <dataValidation type="textLength" operator="lessThanOrEqual" allowBlank="1" showInputMessage="1" showErrorMessage="1" errorTitle="Ошибка" error="Допускается ввод не более 900 символов!" sqref="K1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3">
      <formula1>"a"</formula1>
    </dataValidation>
    <dataValidation type="whole" allowBlank="1" showErrorMessage="1" errorTitle="Ошибка" error="Допускается ввод только неотрицательных целых чисел!" sqref="AI1207">
      <formula1>0</formula1>
      <formula2>9.99999999999999E+23</formula2>
    </dataValidation>
    <dataValidation type="whole" allowBlank="1" showErrorMessage="1" errorTitle="Ошибка" error="Допускается ввод только неотрицательных целых чисел!" sqref="AF1207">
      <formula1>0</formula1>
      <formula2>9.99999999999999E+23</formula2>
    </dataValidation>
    <dataValidation type="decimal" allowBlank="1" showErrorMessage="1" errorTitle="Ошибка" error="Допускается ввод только неотрицательных чисел!" sqref="AE1207">
      <formula1>0</formula1>
      <formula2>9.99999999999999E+23</formula2>
    </dataValidation>
    <dataValidation type="decimal" allowBlank="1" showErrorMessage="1" errorTitle="Ошибка" error="Допускается ввод только неотрицательных чисел!" sqref="AC1207">
      <formula1>0</formula1>
      <formula2>9.99999999999999E+23</formula2>
    </dataValidation>
    <dataValidation type="textLength" operator="lessThanOrEqual" allowBlank="1" showInputMessage="1" showErrorMessage="1" errorTitle="Ошибка" error="Допускается ввод не более 900 символов!" sqref="K1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7">
      <formula1>"a"</formula1>
    </dataValidation>
    <dataValidation type="whole" allowBlank="1" showErrorMessage="1" errorTitle="Ошибка" error="Допускается ввод только неотрицательных целых чисел!" sqref="AI1206">
      <formula1>0</formula1>
      <formula2>9.99999999999999E+23</formula2>
    </dataValidation>
    <dataValidation type="whole" allowBlank="1" showErrorMessage="1" errorTitle="Ошибка" error="Допускается ввод только неотрицательных целых чисел!" sqref="AF1206">
      <formula1>0</formula1>
      <formula2>9.99999999999999E+23</formula2>
    </dataValidation>
    <dataValidation type="decimal" allowBlank="1" showErrorMessage="1" errorTitle="Ошибка" error="Допускается ввод только неотрицательных чисел!" sqref="AE1206">
      <formula1>0</formula1>
      <formula2>9.99999999999999E+23</formula2>
    </dataValidation>
    <dataValidation type="decimal" allowBlank="1" showErrorMessage="1" errorTitle="Ошибка" error="Допускается ввод только неотрицательных чисел!" sqref="AC1206">
      <formula1>0</formula1>
      <formula2>9.99999999999999E+23</formula2>
    </dataValidation>
    <dataValidation type="textLength" operator="lessThanOrEqual" allowBlank="1" showInputMessage="1" showErrorMessage="1" errorTitle="Ошибка" error="Допускается ввод не более 900 символов!" sqref="K1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6">
      <formula1>"a"</formula1>
    </dataValidation>
    <dataValidation type="whole" allowBlank="1" showErrorMessage="1" errorTitle="Ошибка" error="Допускается ввод только неотрицательных целых чисел!" sqref="AI1279">
      <formula1>0</formula1>
      <formula2>9.99999999999999E+23</formula2>
    </dataValidation>
    <dataValidation type="whole" allowBlank="1" showErrorMessage="1" errorTitle="Ошибка" error="Допускается ввод только неотрицательных целых чисел!" sqref="AF1279">
      <formula1>0</formula1>
      <formula2>9.99999999999999E+23</formula2>
    </dataValidation>
    <dataValidation type="whole" allowBlank="1" showErrorMessage="1" errorTitle="Ошибка" error="Допускается ввод только неотрицательных целых чисел!" sqref="AI1278">
      <formula1>0</formula1>
      <formula2>9.99999999999999E+23</formula2>
    </dataValidation>
    <dataValidation type="whole" allowBlank="1" showErrorMessage="1" errorTitle="Ошибка" error="Допускается ввод только неотрицательных целых чисел!" sqref="AF1278">
      <formula1>0</formula1>
      <formula2>9.99999999999999E+23</formula2>
    </dataValidation>
    <dataValidation type="textLength" operator="lessThanOrEqual" allowBlank="1" showInputMessage="1" showErrorMessage="1" errorTitle="Ошибка" error="Допускается ввод не более 900 символов!" sqref="K1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8">
      <formula1>"a"</formula1>
    </dataValidation>
    <dataValidation type="whole" allowBlank="1" showErrorMessage="1" errorTitle="Ошибка" error="Допускается ввод только неотрицательных целых чисел!" sqref="AI1275">
      <formula1>0</formula1>
      <formula2>9.99999999999999E+23</formula2>
    </dataValidation>
    <dataValidation type="whole" allowBlank="1" showErrorMessage="1" errorTitle="Ошибка" error="Допускается ввод только неотрицательных целых чисел!" sqref="AF1275">
      <formula1>0</formula1>
      <formula2>9.99999999999999E+23</formula2>
    </dataValidation>
    <dataValidation type="decimal" allowBlank="1" showErrorMessage="1" errorTitle="Ошибка" error="Допускается ввод только неотрицательных чисел!" sqref="AE1275">
      <formula1>0</formula1>
      <formula2>9.99999999999999E+23</formula2>
    </dataValidation>
    <dataValidation type="decimal" allowBlank="1" showErrorMessage="1" errorTitle="Ошибка" error="Допускается ввод только неотрицательных чисел!" sqref="AC1275">
      <formula1>0</formula1>
      <formula2>9.99999999999999E+23</formula2>
    </dataValidation>
    <dataValidation type="textLength" operator="lessThanOrEqual" allowBlank="1" showInputMessage="1" showErrorMessage="1" errorTitle="Ошибка" error="Допускается ввод не более 900 символов!" sqref="K1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5">
      <formula1>"a"</formula1>
    </dataValidation>
    <dataValidation type="whole" allowBlank="1" showErrorMessage="1" errorTitle="Ошибка" error="Допускается ввод только неотрицательных целых чисел!" sqref="AI1274">
      <formula1>0</formula1>
      <formula2>9.99999999999999E+23</formula2>
    </dataValidation>
    <dataValidation type="whole" allowBlank="1" showErrorMessage="1" errorTitle="Ошибка" error="Допускается ввод только неотрицательных целых чисел!" sqref="AF1274">
      <formula1>0</formula1>
      <formula2>9.99999999999999E+23</formula2>
    </dataValidation>
    <dataValidation type="textLength" operator="lessThanOrEqual" allowBlank="1" showInputMessage="1" showErrorMessage="1" errorTitle="Ошибка" error="Допускается ввод не более 900 символов!" sqref="K1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4">
      <formula1>"a"</formula1>
    </dataValidation>
    <dataValidation type="whole" allowBlank="1" showErrorMessage="1" errorTitle="Ошибка" error="Допускается ввод только неотрицательных целых чисел!" sqref="AI1273">
      <formula1>0</formula1>
      <formula2>9.99999999999999E+23</formula2>
    </dataValidation>
    <dataValidation type="whole" allowBlank="1" showErrorMessage="1" errorTitle="Ошибка" error="Допускается ввод только неотрицательных целых чисел!" sqref="AF1273">
      <formula1>0</formula1>
      <formula2>9.99999999999999E+23</formula2>
    </dataValidation>
    <dataValidation type="textLength" operator="lessThanOrEqual" allowBlank="1" showInputMessage="1" showErrorMessage="1" errorTitle="Ошибка" error="Допускается ввод не более 900 символов!" sqref="M1273">
      <formula1>900</formula1>
    </dataValidation>
    <dataValidation type="textLength" operator="lessThanOrEqual" allowBlank="1" showInputMessage="1" showErrorMessage="1" errorTitle="Ошибка" error="Допускается ввод не более 900 символов!" sqref="K1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3">
      <formula1>"a"</formula1>
    </dataValidation>
    <dataValidation type="whole" allowBlank="1" showErrorMessage="1" errorTitle="Ошибка" error="Допускается ввод только неотрицательных целых чисел!" sqref="AI1272">
      <formula1>0</formula1>
      <formula2>9.99999999999999E+23</formula2>
    </dataValidation>
    <dataValidation type="whole" allowBlank="1" showErrorMessage="1" errorTitle="Ошибка" error="Допускается ввод только неотрицательных целых чисел!" sqref="AF1272">
      <formula1>0</formula1>
      <formula2>9.99999999999999E+23</formula2>
    </dataValidation>
    <dataValidation type="whole" allowBlank="1" showErrorMessage="1" errorTitle="Ошибка" error="Допускается ввод только неотрицательных целых чисел!" sqref="AI1271">
      <formula1>0</formula1>
      <formula2>9.99999999999999E+23</formula2>
    </dataValidation>
    <dataValidation type="whole" allowBlank="1" showErrorMessage="1" errorTitle="Ошибка" error="Допускается ввод только неотрицательных целых чисел!" sqref="AF1271">
      <formula1>0</formula1>
      <formula2>9.99999999999999E+23</formula2>
    </dataValidation>
    <dataValidation type="textLength" operator="lessThanOrEqual" allowBlank="1" showInputMessage="1" showErrorMessage="1" errorTitle="Ошибка" error="Допускается ввод не более 900 символов!" sqref="K1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1">
      <formula1>"a"</formula1>
    </dataValidation>
    <dataValidation type="whole" allowBlank="1" showErrorMessage="1" errorTitle="Ошибка" error="Допускается ввод только неотрицательных целых чисел!" sqref="AI1268">
      <formula1>0</formula1>
      <formula2>9.99999999999999E+23</formula2>
    </dataValidation>
    <dataValidation type="whole" allowBlank="1" showErrorMessage="1" errorTitle="Ошибка" error="Допускается ввод только неотрицательных целых чисел!" sqref="AF1268">
      <formula1>0</formula1>
      <formula2>9.99999999999999E+23</formula2>
    </dataValidation>
    <dataValidation type="decimal" allowBlank="1" showErrorMessage="1" errorTitle="Ошибка" error="Допускается ввод только неотрицательных чисел!" sqref="AE1268">
      <formula1>0</formula1>
      <formula2>9.99999999999999E+23</formula2>
    </dataValidation>
    <dataValidation type="decimal" allowBlank="1" showErrorMessage="1" errorTitle="Ошибка" error="Допускается ввод только неотрицательных чисел!" sqref="AC1268">
      <formula1>0</formula1>
      <formula2>9.99999999999999E+23</formula2>
    </dataValidation>
    <dataValidation type="textLength" operator="lessThanOrEqual" allowBlank="1" showInputMessage="1" showErrorMessage="1" errorTitle="Ошибка" error="Допускается ввод не более 900 символов!" sqref="K1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8">
      <formula1>"a"</formula1>
    </dataValidation>
    <dataValidation type="whole" allowBlank="1" showErrorMessage="1" errorTitle="Ошибка" error="Допускается ввод только неотрицательных целых чисел!" sqref="AI1267">
      <formula1>0</formula1>
      <formula2>9.99999999999999E+23</formula2>
    </dataValidation>
    <dataValidation type="whole" allowBlank="1" showErrorMessage="1" errorTitle="Ошибка" error="Допускается ввод только неотрицательных целых чисел!" sqref="AF1267">
      <formula1>0</formula1>
      <formula2>9.99999999999999E+23</formula2>
    </dataValidation>
    <dataValidation type="textLength" operator="lessThanOrEqual" allowBlank="1" showInputMessage="1" showErrorMessage="1" errorTitle="Ошибка" error="Допускается ввод не более 900 символов!" sqref="K1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7">
      <formula1>"a"</formula1>
    </dataValidation>
    <dataValidation type="whole" allowBlank="1" showErrorMessage="1" errorTitle="Ошибка" error="Допускается ввод только неотрицательных целых чисел!" sqref="AI1266">
      <formula1>0</formula1>
      <formula2>9.99999999999999E+23</formula2>
    </dataValidation>
    <dataValidation type="whole" allowBlank="1" showErrorMessage="1" errorTitle="Ошибка" error="Допускается ввод только неотрицательных целых чисел!" sqref="AF1266">
      <formula1>0</formula1>
      <formula2>9.99999999999999E+23</formula2>
    </dataValidation>
    <dataValidation type="textLength" operator="lessThanOrEqual" allowBlank="1" showInputMessage="1" showErrorMessage="1" errorTitle="Ошибка" error="Допускается ввод не более 900 символов!" sqref="M1266">
      <formula1>900</formula1>
    </dataValidation>
    <dataValidation type="textLength" operator="lessThanOrEqual" allowBlank="1" showInputMessage="1" showErrorMessage="1" errorTitle="Ошибка" error="Допускается ввод не более 900 символов!" sqref="K1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6">
      <formula1>"a"</formula1>
    </dataValidation>
    <dataValidation type="whole" allowBlank="1" showErrorMessage="1" errorTitle="Ошибка" error="Допускается ввод только неотрицательных целых чисел!" sqref="AI1265">
      <formula1>0</formula1>
      <formula2>9.99999999999999E+23</formula2>
    </dataValidation>
    <dataValidation type="whole" allowBlank="1" showErrorMessage="1" errorTitle="Ошибка" error="Допускается ввод только неотрицательных целых чисел!" sqref="AF1265">
      <formula1>0</formula1>
      <formula2>9.99999999999999E+23</formula2>
    </dataValidation>
    <dataValidation type="whole" allowBlank="1" showErrorMessage="1" errorTitle="Ошибка" error="Допускается ввод только неотрицательных целых чисел!" sqref="AI1264">
      <formula1>0</formula1>
      <formula2>9.99999999999999E+23</formula2>
    </dataValidation>
    <dataValidation type="whole" allowBlank="1" showErrorMessage="1" errorTitle="Ошибка" error="Допускается ввод только неотрицательных целых чисел!" sqref="AF1264">
      <formula1>0</formula1>
      <formula2>9.99999999999999E+23</formula2>
    </dataValidation>
    <dataValidation type="textLength" operator="lessThanOrEqual" allowBlank="1" showInputMessage="1" showErrorMessage="1" errorTitle="Ошибка" error="Допускается ввод не более 900 символов!" sqref="K1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4">
      <formula1>"a"</formula1>
    </dataValidation>
    <dataValidation type="whole" allowBlank="1" showErrorMessage="1" errorTitle="Ошибка" error="Допускается ввод только неотрицательных целых чисел!" sqref="AI1261">
      <formula1>0</formula1>
      <formula2>9.99999999999999E+23</formula2>
    </dataValidation>
    <dataValidation type="whole" allowBlank="1" showErrorMessage="1" errorTitle="Ошибка" error="Допускается ввод только неотрицательных целых чисел!" sqref="AF1261">
      <formula1>0</formula1>
      <formula2>9.99999999999999E+23</formula2>
    </dataValidation>
    <dataValidation type="decimal" allowBlank="1" showErrorMessage="1" errorTitle="Ошибка" error="Допускается ввод только неотрицательных чисел!" sqref="AE1261">
      <formula1>0</formula1>
      <formula2>9.99999999999999E+23</formula2>
    </dataValidation>
    <dataValidation type="decimal" allowBlank="1" showErrorMessage="1" errorTitle="Ошибка" error="Допускается ввод только неотрицательных чисел!" sqref="AC1261">
      <formula1>0</formula1>
      <formula2>9.99999999999999E+23</formula2>
    </dataValidation>
    <dataValidation type="textLength" operator="lessThanOrEqual" allowBlank="1" showInputMessage="1" showErrorMessage="1" errorTitle="Ошибка" error="Допускается ввод не более 900 символов!" sqref="K1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1">
      <formula1>"a"</formula1>
    </dataValidation>
    <dataValidation type="whole" allowBlank="1" showErrorMessage="1" errorTitle="Ошибка" error="Допускается ввод только неотрицательных целых чисел!" sqref="AI1260">
      <formula1>0</formula1>
      <formula2>9.99999999999999E+23</formula2>
    </dataValidation>
    <dataValidation type="whole" allowBlank="1" showErrorMessage="1" errorTitle="Ошибка" error="Допускается ввод только неотрицательных целых чисел!" sqref="AF1260">
      <formula1>0</formula1>
      <formula2>9.99999999999999E+23</formula2>
    </dataValidation>
    <dataValidation type="textLength" operator="lessThanOrEqual" allowBlank="1" showInputMessage="1" showErrorMessage="1" errorTitle="Ошибка" error="Допускается ввод не более 900 символов!" sqref="K1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0">
      <formula1>"a"</formula1>
    </dataValidation>
    <dataValidation type="whole" allowBlank="1" showErrorMessage="1" errorTitle="Ошибка" error="Допускается ввод только неотрицательных целых чисел!" sqref="AI1259">
      <formula1>0</formula1>
      <formula2>9.99999999999999E+23</formula2>
    </dataValidation>
    <dataValidation type="whole" allowBlank="1" showErrorMessage="1" errorTitle="Ошибка" error="Допускается ввод только неотрицательных целых чисел!" sqref="AF1259">
      <formula1>0</formula1>
      <formula2>9.99999999999999E+23</formula2>
    </dataValidation>
    <dataValidation type="textLength" operator="lessThanOrEqual" allowBlank="1" showInputMessage="1" showErrorMessage="1" errorTitle="Ошибка" error="Допускается ввод не более 900 символов!" sqref="M1259">
      <formula1>900</formula1>
    </dataValidation>
    <dataValidation type="textLength" operator="lessThanOrEqual" allowBlank="1" showInputMessage="1" showErrorMessage="1" errorTitle="Ошибка" error="Допускается ввод не более 900 символов!" sqref="K1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9">
      <formula1>"a"</formula1>
    </dataValidation>
    <dataValidation type="whole" allowBlank="1" showErrorMessage="1" errorTitle="Ошибка" error="Допускается ввод только неотрицательных целых чисел!" sqref="AI1258">
      <formula1>0</formula1>
      <formula2>9.99999999999999E+23</formula2>
    </dataValidation>
    <dataValidation type="whole" allowBlank="1" showErrorMessage="1" errorTitle="Ошибка" error="Допускается ввод только неотрицательных целых чисел!" sqref="AF1258">
      <formula1>0</formula1>
      <formula2>9.99999999999999E+23</formula2>
    </dataValidation>
    <dataValidation type="whole" allowBlank="1" showErrorMessage="1" errorTitle="Ошибка" error="Допускается ввод только неотрицательных целых чисел!" sqref="AI1257">
      <formula1>0</formula1>
      <formula2>9.99999999999999E+23</formula2>
    </dataValidation>
    <dataValidation type="whole" allowBlank="1" showErrorMessage="1" errorTitle="Ошибка" error="Допускается ввод только неотрицательных целых чисел!" sqref="AF1257">
      <formula1>0</formula1>
      <formula2>9.99999999999999E+23</formula2>
    </dataValidation>
    <dataValidation type="textLength" operator="lessThanOrEqual" allowBlank="1" showInputMessage="1" showErrorMessage="1" errorTitle="Ошибка" error="Допускается ввод не более 900 символов!" sqref="K1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7">
      <formula1>"a"</formula1>
    </dataValidation>
    <dataValidation type="whole" allowBlank="1" showErrorMessage="1" errorTitle="Ошибка" error="Допускается ввод только неотрицательных целых чисел!" sqref="AI1254">
      <formula1>0</formula1>
      <formula2>9.99999999999999E+23</formula2>
    </dataValidation>
    <dataValidation type="whole" allowBlank="1" showErrorMessage="1" errorTitle="Ошибка" error="Допускается ввод только неотрицательных целых чисел!" sqref="AF1254">
      <formula1>0</formula1>
      <formula2>9.99999999999999E+23</formula2>
    </dataValidation>
    <dataValidation type="decimal" allowBlank="1" showErrorMessage="1" errorTitle="Ошибка" error="Допускается ввод только неотрицательных чисел!" sqref="AE1254">
      <formula1>0</formula1>
      <formula2>9.99999999999999E+23</formula2>
    </dataValidation>
    <dataValidation type="decimal" allowBlank="1" showErrorMessage="1" errorTitle="Ошибка" error="Допускается ввод только неотрицательных чисел!" sqref="AC1254">
      <formula1>0</formula1>
      <formula2>9.99999999999999E+23</formula2>
    </dataValidation>
    <dataValidation type="textLength" operator="lessThanOrEqual" allowBlank="1" showInputMessage="1" showErrorMessage="1" errorTitle="Ошибка" error="Допускается ввод не более 900 символов!" sqref="K1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4">
      <formula1>"a"</formula1>
    </dataValidation>
    <dataValidation type="whole" allowBlank="1" showErrorMessage="1" errorTitle="Ошибка" error="Допускается ввод только неотрицательных целых чисел!" sqref="AI1253">
      <formula1>0</formula1>
      <formula2>9.99999999999999E+23</formula2>
    </dataValidation>
    <dataValidation type="whole" allowBlank="1" showErrorMessage="1" errorTitle="Ошибка" error="Допускается ввод только неотрицательных целых чисел!" sqref="AF1253">
      <formula1>0</formula1>
      <formula2>9.99999999999999E+23</formula2>
    </dataValidation>
    <dataValidation type="textLength" operator="lessThanOrEqual" allowBlank="1" showInputMessage="1" showErrorMessage="1" errorTitle="Ошибка" error="Допускается ввод не более 900 символов!" sqref="K1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3">
      <formula1>"a"</formula1>
    </dataValidation>
    <dataValidation type="whole" allowBlank="1" showErrorMessage="1" errorTitle="Ошибка" error="Допускается ввод только неотрицательных целых чисел!" sqref="AI1252">
      <formula1>0</formula1>
      <formula2>9.99999999999999E+23</formula2>
    </dataValidation>
    <dataValidation type="whole" allowBlank="1" showErrorMessage="1" errorTitle="Ошибка" error="Допускается ввод только неотрицательных целых чисел!" sqref="AF1252">
      <formula1>0</formula1>
      <formula2>9.99999999999999E+23</formula2>
    </dataValidation>
    <dataValidation type="textLength" operator="lessThanOrEqual" allowBlank="1" showInputMessage="1" showErrorMessage="1" errorTitle="Ошибка" error="Допускается ввод не более 900 символов!" sqref="M1252">
      <formula1>900</formula1>
    </dataValidation>
    <dataValidation type="textLength" operator="lessThanOrEqual" allowBlank="1" showInputMessage="1" showErrorMessage="1" errorTitle="Ошибка" error="Допускается ввод не более 900 символов!" sqref="K1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2">
      <formula1>"a"</formula1>
    </dataValidation>
    <dataValidation type="whole" allowBlank="1" showErrorMessage="1" errorTitle="Ошибка" error="Допускается ввод только неотрицательных целых чисел!" sqref="AI1251">
      <formula1>0</formula1>
      <formula2>9.99999999999999E+23</formula2>
    </dataValidation>
    <dataValidation type="whole" allowBlank="1" showErrorMessage="1" errorTitle="Ошибка" error="Допускается ввод только неотрицательных целых чисел!" sqref="AF1251">
      <formula1>0</formula1>
      <formula2>9.99999999999999E+23</formula2>
    </dataValidation>
    <dataValidation type="whole" allowBlank="1" showErrorMessage="1" errorTitle="Ошибка" error="Допускается ввод только неотрицательных целых чисел!" sqref="AI1250">
      <formula1>0</formula1>
      <formula2>9.99999999999999E+23</formula2>
    </dataValidation>
    <dataValidation type="whole" allowBlank="1" showErrorMessage="1" errorTitle="Ошибка" error="Допускается ввод только неотрицательных целых чисел!" sqref="AF1250">
      <formula1>0</formula1>
      <formula2>9.99999999999999E+23</formula2>
    </dataValidation>
    <dataValidation type="textLength" operator="lessThanOrEqual" allowBlank="1" showInputMessage="1" showErrorMessage="1" errorTitle="Ошибка" error="Допускается ввод не более 900 символов!" sqref="K1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0">
      <formula1>"a"</formula1>
    </dataValidation>
    <dataValidation type="whole" allowBlank="1" showErrorMessage="1" errorTitle="Ошибка" error="Допускается ввод только неотрицательных целых чисел!" sqref="AI1247">
      <formula1>0</formula1>
      <formula2>9.99999999999999E+23</formula2>
    </dataValidation>
    <dataValidation type="whole" allowBlank="1" showErrorMessage="1" errorTitle="Ошибка" error="Допускается ввод только неотрицательных целых чисел!" sqref="AF1247">
      <formula1>0</formula1>
      <formula2>9.99999999999999E+23</formula2>
    </dataValidation>
    <dataValidation type="decimal" allowBlank="1" showErrorMessage="1" errorTitle="Ошибка" error="Допускается ввод только неотрицательных чисел!" sqref="AE1247">
      <formula1>0</formula1>
      <formula2>9.99999999999999E+23</formula2>
    </dataValidation>
    <dataValidation type="decimal" allowBlank="1" showErrorMessage="1" errorTitle="Ошибка" error="Допускается ввод только неотрицательных чисел!" sqref="AC1247">
      <formula1>0</formula1>
      <formula2>9.99999999999999E+23</formula2>
    </dataValidation>
    <dataValidation type="textLength" operator="lessThanOrEqual" allowBlank="1" showInputMessage="1" showErrorMessage="1" errorTitle="Ошибка" error="Допускается ввод не более 900 символов!" sqref="K1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7">
      <formula1>"a"</formula1>
    </dataValidation>
    <dataValidation type="whole" allowBlank="1" showErrorMessage="1" errorTitle="Ошибка" error="Допускается ввод только неотрицательных целых чисел!" sqref="AI1246">
      <formula1>0</formula1>
      <formula2>9.99999999999999E+23</formula2>
    </dataValidation>
    <dataValidation type="whole" allowBlank="1" showErrorMessage="1" errorTitle="Ошибка" error="Допускается ввод только неотрицательных целых чисел!" sqref="AF1246">
      <formula1>0</formula1>
      <formula2>9.99999999999999E+23</formula2>
    </dataValidation>
    <dataValidation type="textLength" operator="lessThanOrEqual" allowBlank="1" showInputMessage="1" showErrorMessage="1" errorTitle="Ошибка" error="Допускается ввод не более 900 символов!" sqref="K1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6">
      <formula1>"a"</formula1>
    </dataValidation>
    <dataValidation type="whole" allowBlank="1" showErrorMessage="1" errorTitle="Ошибка" error="Допускается ввод только неотрицательных целых чисел!" sqref="AI1245">
      <formula1>0</formula1>
      <formula2>9.99999999999999E+23</formula2>
    </dataValidation>
    <dataValidation type="whole" allowBlank="1" showErrorMessage="1" errorTitle="Ошибка" error="Допускается ввод только неотрицательных целых чисел!" sqref="AF1245">
      <formula1>0</formula1>
      <formula2>9.99999999999999E+23</formula2>
    </dataValidation>
    <dataValidation type="textLength" operator="lessThanOrEqual" allowBlank="1" showInputMessage="1" showErrorMessage="1" errorTitle="Ошибка" error="Допускается ввод не более 900 символов!" sqref="M1245">
      <formula1>900</formula1>
    </dataValidation>
    <dataValidation type="textLength" operator="lessThanOrEqual" allowBlank="1" showInputMessage="1" showErrorMessage="1" errorTitle="Ошибка" error="Допускается ввод не более 900 символов!" sqref="K1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5">
      <formula1>"a"</formula1>
    </dataValidation>
    <dataValidation type="whole" allowBlank="1" showErrorMessage="1" errorTitle="Ошибка" error="Допускается ввод только неотрицательных целых чисел!" sqref="AI1244">
      <formula1>0</formula1>
      <formula2>9.99999999999999E+23</formula2>
    </dataValidation>
    <dataValidation type="whole" allowBlank="1" showErrorMessage="1" errorTitle="Ошибка" error="Допускается ввод только неотрицательных целых чисел!" sqref="AF1244">
      <formula1>0</formula1>
      <formula2>9.99999999999999E+23</formula2>
    </dataValidation>
    <dataValidation type="whole" allowBlank="1" showErrorMessage="1" errorTitle="Ошибка" error="Допускается ввод только неотрицательных целых чисел!" sqref="AI1243">
      <formula1>0</formula1>
      <formula2>9.99999999999999E+23</formula2>
    </dataValidation>
    <dataValidation type="whole" allowBlank="1" showErrorMessage="1" errorTitle="Ошибка" error="Допускается ввод только неотрицательных целых чисел!" sqref="AF1243">
      <formula1>0</formula1>
      <formula2>9.99999999999999E+23</formula2>
    </dataValidation>
    <dataValidation type="textLength" operator="lessThanOrEqual" allowBlank="1" showInputMessage="1" showErrorMessage="1" errorTitle="Ошибка" error="Допускается ввод не более 900 символов!" sqref="K1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3">
      <formula1>"a"</formula1>
    </dataValidation>
    <dataValidation type="whole" allowBlank="1" showErrorMessage="1" errorTitle="Ошибка" error="Допускается ввод только неотрицательных целых чисел!" sqref="AI1240">
      <formula1>0</formula1>
      <formula2>9.99999999999999E+23</formula2>
    </dataValidation>
    <dataValidation type="whole" allowBlank="1" showErrorMessage="1" errorTitle="Ошибка" error="Допускается ввод только неотрицательных целых чисел!" sqref="AF1240">
      <formula1>0</formula1>
      <formula2>9.99999999999999E+23</formula2>
    </dataValidation>
    <dataValidation type="decimal" allowBlank="1" showErrorMessage="1" errorTitle="Ошибка" error="Допускается ввод только неотрицательных чисел!" sqref="AE1240">
      <formula1>0</formula1>
      <formula2>9.99999999999999E+23</formula2>
    </dataValidation>
    <dataValidation type="decimal" allowBlank="1" showErrorMessage="1" errorTitle="Ошибка" error="Допускается ввод только неотрицательных чисел!" sqref="AC1240">
      <formula1>0</formula1>
      <formula2>9.99999999999999E+23</formula2>
    </dataValidation>
    <dataValidation type="textLength" operator="lessThanOrEqual" allowBlank="1" showInputMessage="1" showErrorMessage="1" errorTitle="Ошибка" error="Допускается ввод не более 900 символов!" sqref="K1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0">
      <formula1>"a"</formula1>
    </dataValidation>
    <dataValidation type="whole" allowBlank="1" showErrorMessage="1" errorTitle="Ошибка" error="Допускается ввод только неотрицательных целых чисел!" sqref="AI1239">
      <formula1>0</formula1>
      <formula2>9.99999999999999E+23</formula2>
    </dataValidation>
    <dataValidation type="whole" allowBlank="1" showErrorMessage="1" errorTitle="Ошибка" error="Допускается ввод только неотрицательных целых чисел!" sqref="AF1239">
      <formula1>0</formula1>
      <formula2>9.99999999999999E+23</formula2>
    </dataValidation>
    <dataValidation type="textLength" operator="lessThanOrEqual" allowBlank="1" showInputMessage="1" showErrorMessage="1" errorTitle="Ошибка" error="Допускается ввод не более 900 символов!" sqref="K1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9">
      <formula1>"a"</formula1>
    </dataValidation>
    <dataValidation type="whole" allowBlank="1" showErrorMessage="1" errorTitle="Ошибка" error="Допускается ввод только неотрицательных целых чисел!" sqref="AI1238">
      <formula1>0</formula1>
      <formula2>9.99999999999999E+23</formula2>
    </dataValidation>
    <dataValidation type="whole" allowBlank="1" showErrorMessage="1" errorTitle="Ошибка" error="Допускается ввод только неотрицательных целых чисел!" sqref="AF1238">
      <formula1>0</formula1>
      <formula2>9.99999999999999E+23</formula2>
    </dataValidation>
    <dataValidation type="textLength" operator="lessThanOrEqual" allowBlank="1" showInputMessage="1" showErrorMessage="1" errorTitle="Ошибка" error="Допускается ввод не более 900 символов!" sqref="M1238">
      <formula1>900</formula1>
    </dataValidation>
    <dataValidation type="textLength" operator="lessThanOrEqual" allowBlank="1" showInputMessage="1" showErrorMessage="1" errorTitle="Ошибка" error="Допускается ввод не более 900 символов!" sqref="K1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8">
      <formula1>"a"</formula1>
    </dataValidation>
    <dataValidation type="whole" allowBlank="1" showErrorMessage="1" errorTitle="Ошибка" error="Допускается ввод только неотрицательных целых чисел!" sqref="AI1237">
      <formula1>0</formula1>
      <formula2>9.99999999999999E+23</formula2>
    </dataValidation>
    <dataValidation type="whole" allowBlank="1" showErrorMessage="1" errorTitle="Ошибка" error="Допускается ввод только неотрицательных целых чисел!" sqref="AF1237">
      <formula1>0</formula1>
      <formula2>9.99999999999999E+23</formula2>
    </dataValidation>
    <dataValidation type="whole" allowBlank="1" showErrorMessage="1" errorTitle="Ошибка" error="Допускается ввод только неотрицательных целых чисел!" sqref="AI1236">
      <formula1>0</formula1>
      <formula2>9.99999999999999E+23</formula2>
    </dataValidation>
    <dataValidation type="whole" allowBlank="1" showErrorMessage="1" errorTitle="Ошибка" error="Допускается ввод только неотрицательных целых чисел!" sqref="AF1236">
      <formula1>0</formula1>
      <formula2>9.99999999999999E+23</formula2>
    </dataValidation>
    <dataValidation type="textLength" operator="lessThanOrEqual" allowBlank="1" showInputMessage="1" showErrorMessage="1" errorTitle="Ошибка" error="Допускается ввод не более 900 символов!" sqref="K1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6">
      <formula1>"a"</formula1>
    </dataValidation>
    <dataValidation type="whole" allowBlank="1" showErrorMessage="1" errorTitle="Ошибка" error="Допускается ввод только неотрицательных целых чисел!" sqref="AI1233">
      <formula1>0</formula1>
      <formula2>9.99999999999999E+23</formula2>
    </dataValidation>
    <dataValidation type="whole" allowBlank="1" showErrorMessage="1" errorTitle="Ошибка" error="Допускается ввод только неотрицательных целых чисел!" sqref="AF1233">
      <formula1>0</formula1>
      <formula2>9.99999999999999E+23</formula2>
    </dataValidation>
    <dataValidation type="decimal" allowBlank="1" showErrorMessage="1" errorTitle="Ошибка" error="Допускается ввод только неотрицательных чисел!" sqref="AE1233">
      <formula1>0</formula1>
      <formula2>9.99999999999999E+23</formula2>
    </dataValidation>
    <dataValidation type="decimal" allowBlank="1" showErrorMessage="1" errorTitle="Ошибка" error="Допускается ввод только неотрицательных чисел!" sqref="AC1233">
      <formula1>0</formula1>
      <formula2>9.99999999999999E+23</formula2>
    </dataValidation>
    <dataValidation type="textLength" operator="lessThanOrEqual" allowBlank="1" showInputMessage="1" showErrorMessage="1" errorTitle="Ошибка" error="Допускается ввод не более 900 символов!" sqref="K1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3">
      <formula1>"a"</formula1>
    </dataValidation>
    <dataValidation type="whole" allowBlank="1" showErrorMessage="1" errorTitle="Ошибка" error="Допускается ввод только неотрицательных целых чисел!" sqref="AI1232">
      <formula1>0</formula1>
      <formula2>9.99999999999999E+23</formula2>
    </dataValidation>
    <dataValidation type="whole" allowBlank="1" showErrorMessage="1" errorTitle="Ошибка" error="Допускается ввод только неотрицательных целых чисел!" sqref="AF1232">
      <formula1>0</formula1>
      <formula2>9.99999999999999E+23</formula2>
    </dataValidation>
    <dataValidation type="textLength" operator="lessThanOrEqual" allowBlank="1" showInputMessage="1" showErrorMessage="1" errorTitle="Ошибка" error="Допускается ввод не более 900 символов!" sqref="K1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2">
      <formula1>"a"</formula1>
    </dataValidation>
    <dataValidation type="whole" allowBlank="1" showErrorMessage="1" errorTitle="Ошибка" error="Допускается ввод только неотрицательных целых чисел!" sqref="AI1231">
      <formula1>0</formula1>
      <formula2>9.99999999999999E+23</formula2>
    </dataValidation>
    <dataValidation type="whole" allowBlank="1" showErrorMessage="1" errorTitle="Ошибка" error="Допускается ввод только неотрицательных целых чисел!" sqref="AF1231">
      <formula1>0</formula1>
      <formula2>9.99999999999999E+23</formula2>
    </dataValidation>
    <dataValidation type="textLength" operator="lessThanOrEqual" allowBlank="1" showInputMessage="1" showErrorMessage="1" errorTitle="Ошибка" error="Допускается ввод не более 900 символов!" sqref="M1231">
      <formula1>900</formula1>
    </dataValidation>
    <dataValidation type="textLength" operator="lessThanOrEqual" allowBlank="1" showInputMessage="1" showErrorMessage="1" errorTitle="Ошибка" error="Допускается ввод не более 900 символов!" sqref="K1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1">
      <formula1>"a"</formula1>
    </dataValidation>
    <dataValidation type="whole" allowBlank="1" showErrorMessage="1" errorTitle="Ошибка" error="Допускается ввод только неотрицательных целых чисел!" sqref="AI1230">
      <formula1>0</formula1>
      <formula2>9.99999999999999E+23</formula2>
    </dataValidation>
    <dataValidation type="whole" allowBlank="1" showErrorMessage="1" errorTitle="Ошибка" error="Допускается ввод только неотрицательных целых чисел!" sqref="AF1230">
      <formula1>0</formula1>
      <formula2>9.99999999999999E+23</formula2>
    </dataValidation>
    <dataValidation type="whole" allowBlank="1" showErrorMessage="1" errorTitle="Ошибка" error="Допускается ввод только неотрицательных целых чисел!" sqref="AI1229">
      <formula1>0</formula1>
      <formula2>9.99999999999999E+23</formula2>
    </dataValidation>
    <dataValidation type="whole" allowBlank="1" showErrorMessage="1" errorTitle="Ошибка" error="Допускается ввод только неотрицательных целых чисел!" sqref="AF1229">
      <formula1>0</formula1>
      <formula2>9.99999999999999E+23</formula2>
    </dataValidation>
    <dataValidation type="textLength" operator="lessThanOrEqual" allowBlank="1" showInputMessage="1" showErrorMessage="1" errorTitle="Ошибка" error="Допускается ввод не более 900 символов!" sqref="K1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9">
      <formula1>"a"</formula1>
    </dataValidation>
    <dataValidation type="whole" allowBlank="1" showErrorMessage="1" errorTitle="Ошибка" error="Допускается ввод только неотрицательных целых чисел!" sqref="AI1226">
      <formula1>0</formula1>
      <formula2>9.99999999999999E+23</formula2>
    </dataValidation>
    <dataValidation type="whole" allowBlank="1" showErrorMessage="1" errorTitle="Ошибка" error="Допускается ввод только неотрицательных целых чисел!" sqref="AF1226">
      <formula1>0</formula1>
      <formula2>9.99999999999999E+23</formula2>
    </dataValidation>
    <dataValidation type="decimal" allowBlank="1" showErrorMessage="1" errorTitle="Ошибка" error="Допускается ввод только неотрицательных чисел!" sqref="AE1226">
      <formula1>0</formula1>
      <formula2>9.99999999999999E+23</formula2>
    </dataValidation>
    <dataValidation type="decimal" allowBlank="1" showErrorMessage="1" errorTitle="Ошибка" error="Допускается ввод только неотрицательных чисел!" sqref="AC1226">
      <formula1>0</formula1>
      <formula2>9.99999999999999E+23</formula2>
    </dataValidation>
    <dataValidation type="textLength" operator="lessThanOrEqual" allowBlank="1" showInputMessage="1" showErrorMessage="1" errorTitle="Ошибка" error="Допускается ввод не более 900 символов!" sqref="K1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6">
      <formula1>"a"</formula1>
    </dataValidation>
    <dataValidation type="whole" allowBlank="1" showErrorMessage="1" errorTitle="Ошибка" error="Допускается ввод только неотрицательных целых чисел!" sqref="AI1225">
      <formula1>0</formula1>
      <formula2>9.99999999999999E+23</formula2>
    </dataValidation>
    <dataValidation type="whole" allowBlank="1" showErrorMessage="1" errorTitle="Ошибка" error="Допускается ввод только неотрицательных целых чисел!" sqref="AF1225">
      <formula1>0</formula1>
      <formula2>9.99999999999999E+23</formula2>
    </dataValidation>
    <dataValidation type="textLength" operator="lessThanOrEqual" allowBlank="1" showInputMessage="1" showErrorMessage="1" errorTitle="Ошибка" error="Допускается ввод не более 900 символов!" sqref="K1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5">
      <formula1>"a"</formula1>
    </dataValidation>
    <dataValidation type="whole" allowBlank="1" showErrorMessage="1" errorTitle="Ошибка" error="Допускается ввод только неотрицательных целых чисел!" sqref="AI1224">
      <formula1>0</formula1>
      <formula2>9.99999999999999E+23</formula2>
    </dataValidation>
    <dataValidation type="whole" allowBlank="1" showErrorMessage="1" errorTitle="Ошибка" error="Допускается ввод только неотрицательных целых чисел!" sqref="AF1224">
      <formula1>0</formula1>
      <formula2>9.99999999999999E+23</formula2>
    </dataValidation>
    <dataValidation type="textLength" operator="lessThanOrEqual" allowBlank="1" showInputMessage="1" showErrorMessage="1" errorTitle="Ошибка" error="Допускается ввод не более 900 символов!" sqref="M1224">
      <formula1>900</formula1>
    </dataValidation>
    <dataValidation type="textLength" operator="lessThanOrEqual" allowBlank="1" showInputMessage="1" showErrorMessage="1" errorTitle="Ошибка" error="Допускается ввод не более 900 символов!" sqref="K1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4">
      <formula1>"a"</formula1>
    </dataValidation>
    <dataValidation type="whole" allowBlank="1" showErrorMessage="1" errorTitle="Ошибка" error="Допускается ввод только неотрицательных целых чисел!" sqref="AI1223">
      <formula1>0</formula1>
      <formula2>9.99999999999999E+23</formula2>
    </dataValidation>
    <dataValidation type="whole" allowBlank="1" showErrorMessage="1" errorTitle="Ошибка" error="Допускается ввод только неотрицательных целых чисел!" sqref="AF1223">
      <formula1>0</formula1>
      <formula2>9.99999999999999E+23</formula2>
    </dataValidation>
    <dataValidation type="whole" allowBlank="1" showErrorMessage="1" errorTitle="Ошибка" error="Допускается ввод только неотрицательных целых чисел!" sqref="AI1222">
      <formula1>0</formula1>
      <formula2>9.99999999999999E+23</formula2>
    </dataValidation>
    <dataValidation type="whole" allowBlank="1" showErrorMessage="1" errorTitle="Ошибка" error="Допускается ввод только неотрицательных целых чисел!" sqref="AF1222">
      <formula1>0</formula1>
      <formula2>9.99999999999999E+23</formula2>
    </dataValidation>
    <dataValidation type="textLength" operator="lessThanOrEqual" allowBlank="1" showInputMessage="1" showErrorMessage="1" errorTitle="Ошибка" error="Допускается ввод не более 900 символов!" sqref="K1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2">
      <formula1>"a"</formula1>
    </dataValidation>
    <dataValidation type="whole" allowBlank="1" showErrorMessage="1" errorTitle="Ошибка" error="Допускается ввод только неотрицательных целых чисел!" sqref="AI1219">
      <formula1>0</formula1>
      <formula2>9.99999999999999E+23</formula2>
    </dataValidation>
    <dataValidation type="whole" allowBlank="1" showErrorMessage="1" errorTitle="Ошибка" error="Допускается ввод только неотрицательных целых чисел!" sqref="AF1219">
      <formula1>0</formula1>
      <formula2>9.99999999999999E+23</formula2>
    </dataValidation>
    <dataValidation type="decimal" allowBlank="1" showErrorMessage="1" errorTitle="Ошибка" error="Допускается ввод только неотрицательных чисел!" sqref="AE1219">
      <formula1>0</formula1>
      <formula2>9.99999999999999E+23</formula2>
    </dataValidation>
    <dataValidation type="decimal" allowBlank="1" showErrorMessage="1" errorTitle="Ошибка" error="Допускается ввод только неотрицательных чисел!" sqref="AC1219">
      <formula1>0</formula1>
      <formula2>9.99999999999999E+23</formula2>
    </dataValidation>
    <dataValidation type="textLength" operator="lessThanOrEqual" allowBlank="1" showInputMessage="1" showErrorMessage="1" errorTitle="Ошибка" error="Допускается ввод не более 900 символов!" sqref="K1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9">
      <formula1>"a"</formula1>
    </dataValidation>
    <dataValidation type="whole" allowBlank="1" showErrorMessage="1" errorTitle="Ошибка" error="Допускается ввод только неотрицательных целых чисел!" sqref="AI1218">
      <formula1>0</formula1>
      <formula2>9.99999999999999E+23</formula2>
    </dataValidation>
    <dataValidation type="whole" allowBlank="1" showErrorMessage="1" errorTitle="Ошибка" error="Допускается ввод только неотрицательных целых чисел!" sqref="AF1218">
      <formula1>0</formula1>
      <formula2>9.99999999999999E+23</formula2>
    </dataValidation>
    <dataValidation type="textLength" operator="lessThanOrEqual" allowBlank="1" showInputMessage="1" showErrorMessage="1" errorTitle="Ошибка" error="Допускается ввод не более 900 символов!" sqref="K1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8">
      <formula1>"a"</formula1>
    </dataValidation>
    <dataValidation type="whole" allowBlank="1" showErrorMessage="1" errorTitle="Ошибка" error="Допускается ввод только неотрицательных целых чисел!" sqref="AI1217">
      <formula1>0</formula1>
      <formula2>9.99999999999999E+23</formula2>
    </dataValidation>
    <dataValidation type="whole" allowBlank="1" showErrorMessage="1" errorTitle="Ошибка" error="Допускается ввод только неотрицательных целых чисел!" sqref="AF1217">
      <formula1>0</formula1>
      <formula2>9.99999999999999E+23</formula2>
    </dataValidation>
    <dataValidation type="textLength" operator="lessThanOrEqual" allowBlank="1" showInputMessage="1" showErrorMessage="1" errorTitle="Ошибка" error="Допускается ввод не более 900 символов!" sqref="M1217">
      <formula1>900</formula1>
    </dataValidation>
    <dataValidation type="textLength" operator="lessThanOrEqual" allowBlank="1" showInputMessage="1" showErrorMessage="1" errorTitle="Ошибка" error="Допускается ввод не более 900 символов!" sqref="K1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7">
      <formula1>"a"</formula1>
    </dataValidation>
    <dataValidation type="whole" allowBlank="1" showErrorMessage="1" errorTitle="Ошибка" error="Допускается ввод только неотрицательных целых чисел!" sqref="AI1216">
      <formula1>0</formula1>
      <formula2>9.99999999999999E+23</formula2>
    </dataValidation>
    <dataValidation type="whole" allowBlank="1" showErrorMessage="1" errorTitle="Ошибка" error="Допускается ввод только неотрицательных целых чисел!" sqref="AF1216">
      <formula1>0</formula1>
      <formula2>9.99999999999999E+23</formula2>
    </dataValidation>
    <dataValidation type="whole" allowBlank="1" showErrorMessage="1" errorTitle="Ошибка" error="Допускается ввод только неотрицательных целых чисел!" sqref="AI1215">
      <formula1>0</formula1>
      <formula2>9.99999999999999E+23</formula2>
    </dataValidation>
    <dataValidation type="whole" allowBlank="1" showErrorMessage="1" errorTitle="Ошибка" error="Допускается ввод только неотрицательных целых чисел!" sqref="AF1215">
      <formula1>0</formula1>
      <formula2>9.99999999999999E+23</formula2>
    </dataValidation>
    <dataValidation type="textLength" operator="lessThanOrEqual" allowBlank="1" showInputMessage="1" showErrorMessage="1" errorTitle="Ошибка" error="Допускается ввод не более 900 символов!" sqref="K1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5">
      <formula1>"a"</formula1>
    </dataValidation>
    <dataValidation type="whole" allowBlank="1" showErrorMessage="1" errorTitle="Ошибка" error="Допускается ввод только неотрицательных целых чисел!" sqref="AI1212">
      <formula1>0</formula1>
      <formula2>9.99999999999999E+23</formula2>
    </dataValidation>
    <dataValidation type="whole" allowBlank="1" showErrorMessage="1" errorTitle="Ошибка" error="Допускается ввод только неотрицательных целых чисел!" sqref="AF1212">
      <formula1>0</formula1>
      <formula2>9.99999999999999E+23</formula2>
    </dataValidation>
    <dataValidation type="decimal" allowBlank="1" showErrorMessage="1" errorTitle="Ошибка" error="Допускается ввод только неотрицательных чисел!" sqref="AE1212">
      <formula1>0</formula1>
      <formula2>9.99999999999999E+23</formula2>
    </dataValidation>
    <dataValidation type="decimal" allowBlank="1" showErrorMessage="1" errorTitle="Ошибка" error="Допускается ввод только неотрицательных чисел!" sqref="AC1212">
      <formula1>0</formula1>
      <formula2>9.99999999999999E+23</formula2>
    </dataValidation>
    <dataValidation type="textLength" operator="lessThanOrEqual" allowBlank="1" showInputMessage="1" showErrorMessage="1" errorTitle="Ошибка" error="Допускается ввод не более 900 символов!" sqref="K1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2">
      <formula1>"a"</formula1>
    </dataValidation>
    <dataValidation type="whole" allowBlank="1" showErrorMessage="1" errorTitle="Ошибка" error="Допускается ввод только неотрицательных целых чисел!" sqref="AI1211">
      <formula1>0</formula1>
      <formula2>9.99999999999999E+23</formula2>
    </dataValidation>
    <dataValidation type="whole" allowBlank="1" showErrorMessage="1" errorTitle="Ошибка" error="Допускается ввод только неотрицательных целых чисел!" sqref="AF1211">
      <formula1>0</formula1>
      <formula2>9.99999999999999E+23</formula2>
    </dataValidation>
    <dataValidation type="textLength" operator="lessThanOrEqual" allowBlank="1" showInputMessage="1" showErrorMessage="1" errorTitle="Ошибка" error="Допускается ввод не более 900 символов!" sqref="K1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1">
      <formula1>"a"</formula1>
    </dataValidation>
    <dataValidation type="whole" allowBlank="1" showErrorMessage="1" errorTitle="Ошибка" error="Допускается ввод только неотрицательных целых чисел!" sqref="AI1210">
      <formula1>0</formula1>
      <formula2>9.99999999999999E+23</formula2>
    </dataValidation>
    <dataValidation type="whole" allowBlank="1" showErrorMessage="1" errorTitle="Ошибка" error="Допускается ввод только неотрицательных целых чисел!" sqref="AF1210">
      <formula1>0</formula1>
      <formula2>9.99999999999999E+23</formula2>
    </dataValidation>
    <dataValidation type="textLength" operator="lessThanOrEqual" allowBlank="1" showInputMessage="1" showErrorMessage="1" errorTitle="Ошибка" error="Допускается ввод не более 900 символов!" sqref="M1210">
      <formula1>900</formula1>
    </dataValidation>
    <dataValidation type="textLength" operator="lessThanOrEqual" allowBlank="1" showInputMessage="1" showErrorMessage="1" errorTitle="Ошибка" error="Допускается ввод не более 900 символов!" sqref="K1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0">
      <formula1>"a"</formula1>
    </dataValidation>
    <dataValidation type="whole" allowBlank="1" showErrorMessage="1" errorTitle="Ошибка" error="Допускается ввод только неотрицательных целых чисел!" sqref="AI1209">
      <formula1>0</formula1>
      <formula2>9.99999999999999E+23</formula2>
    </dataValidation>
    <dataValidation type="whole" allowBlank="1" showErrorMessage="1" errorTitle="Ошибка" error="Допускается ввод только неотрицательных целых чисел!" sqref="AF1209">
      <formula1>0</formula1>
      <formula2>9.99999999999999E+23</formula2>
    </dataValidation>
    <dataValidation type="whole" allowBlank="1" showErrorMessage="1" errorTitle="Ошибка" error="Допускается ввод только неотрицательных целых чисел!" sqref="AI1208">
      <formula1>0</formula1>
      <formula2>9.99999999999999E+23</formula2>
    </dataValidation>
    <dataValidation type="whole" allowBlank="1" showErrorMessage="1" errorTitle="Ошибка" error="Допускается ввод только неотрицательных целых чисел!" sqref="AF1208">
      <formula1>0</formula1>
      <formula2>9.99999999999999E+23</formula2>
    </dataValidation>
    <dataValidation type="textLength" operator="lessThanOrEqual" allowBlank="1" showInputMessage="1" showErrorMessage="1" errorTitle="Ошибка" error="Допускается ввод не более 900 символов!" sqref="K1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8">
      <formula1>"a"</formula1>
    </dataValidation>
    <dataValidation type="whole" allowBlank="1" showErrorMessage="1" errorTitle="Ошибка" error="Допускается ввод только неотрицательных целых чисел!" sqref="AI1205">
      <formula1>0</formula1>
      <formula2>9.99999999999999E+23</formula2>
    </dataValidation>
    <dataValidation type="whole" allowBlank="1" showErrorMessage="1" errorTitle="Ошибка" error="Допускается ввод только неотрицательных целых чисел!" sqref="AF1205">
      <formula1>0</formula1>
      <formula2>9.99999999999999E+23</formula2>
    </dataValidation>
    <dataValidation type="decimal" allowBlank="1" showErrorMessage="1" errorTitle="Ошибка" error="Допускается ввод только неотрицательных чисел!" sqref="AE1205">
      <formula1>0</formula1>
      <formula2>9.99999999999999E+23</formula2>
    </dataValidation>
    <dataValidation type="decimal" allowBlank="1" showErrorMessage="1" errorTitle="Ошибка" error="Допускается ввод только неотрицательных чисел!" sqref="AC1205">
      <formula1>0</formula1>
      <formula2>9.99999999999999E+23</formula2>
    </dataValidation>
    <dataValidation type="textLength" operator="lessThanOrEqual" allowBlank="1" showInputMessage="1" showErrorMessage="1" errorTitle="Ошибка" error="Допускается ввод не более 900 символов!" sqref="K1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5">
      <formula1>"a"</formula1>
    </dataValidation>
    <dataValidation type="whole" allowBlank="1" showErrorMessage="1" errorTitle="Ошибка" error="Допускается ввод только неотрицательных целых чисел!" sqref="AI1204">
      <formula1>0</formula1>
      <formula2>9.99999999999999E+23</formula2>
    </dataValidation>
    <dataValidation type="whole" allowBlank="1" showErrorMessage="1" errorTitle="Ошибка" error="Допускается ввод только неотрицательных целых чисел!" sqref="AF1204">
      <formula1>0</formula1>
      <formula2>9.99999999999999E+23</formula2>
    </dataValidation>
    <dataValidation type="textLength" operator="lessThanOrEqual" allowBlank="1" showInputMessage="1" showErrorMessage="1" errorTitle="Ошибка" error="Допускается ввод не более 900 символов!" sqref="K1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4">
      <formula1>"a"</formula1>
    </dataValidation>
    <dataValidation type="whole" allowBlank="1" showErrorMessage="1" errorTitle="Ошибка" error="Допускается ввод только неотрицательных целых чисел!" sqref="AI1203">
      <formula1>0</formula1>
      <formula2>9.99999999999999E+23</formula2>
    </dataValidation>
    <dataValidation type="whole" allowBlank="1" showErrorMessage="1" errorTitle="Ошибка" error="Допускается ввод только неотрицательных целых чисел!" sqref="AF1203">
      <formula1>0</formula1>
      <formula2>9.99999999999999E+23</formula2>
    </dataValidation>
    <dataValidation type="textLength" operator="lessThanOrEqual" allowBlank="1" showInputMessage="1" showErrorMessage="1" errorTitle="Ошибка" error="Допускается ввод не более 900 символов!" sqref="M1203">
      <formula1>900</formula1>
    </dataValidation>
    <dataValidation type="textLength" operator="lessThanOrEqual" allowBlank="1" showInputMessage="1" showErrorMessage="1" errorTitle="Ошибка" error="Допускается ввод не более 900 символов!" sqref="K1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3">
      <formula1>"a"</formula1>
    </dataValidation>
    <dataValidation type="whole" allowBlank="1" showErrorMessage="1" errorTitle="Ошибка" error="Допускается ввод только неотрицательных целых чисел!" sqref="AI1194">
      <formula1>0</formula1>
      <formula2>9.99999999999999E+23</formula2>
    </dataValidation>
    <dataValidation type="whole" allowBlank="1" showErrorMessage="1" errorTitle="Ошибка" error="Допускается ввод только неотрицательных целых чисел!" sqref="AF1194">
      <formula1>0</formula1>
      <formula2>9.99999999999999E+23</formula2>
    </dataValidation>
    <dataValidation type="decimal" allowBlank="1" showErrorMessage="1" errorTitle="Ошибка" error="Допускается ввод только неотрицательных чисел!" sqref="AE1194">
      <formula1>0</formula1>
      <formula2>9.99999999999999E+23</formula2>
    </dataValidation>
    <dataValidation type="decimal" allowBlank="1" showErrorMessage="1" errorTitle="Ошибка" error="Допускается ввод только неотрицательных чисел!" sqref="AC1194">
      <formula1>0</formula1>
      <formula2>9.99999999999999E+23</formula2>
    </dataValidation>
    <dataValidation type="textLength" operator="lessThanOrEqual" allowBlank="1" showInputMessage="1" showErrorMessage="1" errorTitle="Ошибка" error="Допускается ввод не более 900 символов!" sqref="K1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4">
      <formula1>"a"</formula1>
    </dataValidation>
    <dataValidation type="whole" allowBlank="1" showErrorMessage="1" errorTitle="Ошибка" error="Допускается ввод только неотрицательных целых чисел!" sqref="AI1193">
      <formula1>0</formula1>
      <formula2>9.99999999999999E+23</formula2>
    </dataValidation>
    <dataValidation type="whole" allowBlank="1" showErrorMessage="1" errorTitle="Ошибка" error="Допускается ввод только неотрицательных целых чисел!" sqref="AF1193">
      <formula1>0</formula1>
      <formula2>9.99999999999999E+23</formula2>
    </dataValidation>
    <dataValidation type="decimal" allowBlank="1" showErrorMessage="1" errorTitle="Ошибка" error="Допускается ввод только неотрицательных чисел!" sqref="AE1193">
      <formula1>0</formula1>
      <formula2>9.99999999999999E+23</formula2>
    </dataValidation>
    <dataValidation type="decimal" allowBlank="1" showErrorMessage="1" errorTitle="Ошибка" error="Допускается ввод только неотрицательных чисел!" sqref="AC1193">
      <formula1>0</formula1>
      <formula2>9.99999999999999E+23</formula2>
    </dataValidation>
    <dataValidation type="textLength" operator="lessThanOrEqual" allowBlank="1" showInputMessage="1" showErrorMessage="1" errorTitle="Ошибка" error="Допускается ввод не более 900 символов!" sqref="K1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3">
      <formula1>"a"</formula1>
    </dataValidation>
    <dataValidation type="whole" allowBlank="1" showErrorMessage="1" errorTitle="Ошибка" error="Допускается ввод только неотрицательных целых чисел!" sqref="AI1187">
      <formula1>0</formula1>
      <formula2>9.99999999999999E+23</formula2>
    </dataValidation>
    <dataValidation type="whole" allowBlank="1" showErrorMessage="1" errorTitle="Ошибка" error="Допускается ввод только неотрицательных целых чисел!" sqref="AF1187">
      <formula1>0</formula1>
      <formula2>9.99999999999999E+23</formula2>
    </dataValidation>
    <dataValidation type="decimal" allowBlank="1" showErrorMessage="1" errorTitle="Ошибка" error="Допускается ввод только неотрицательных чисел!" sqref="AE1187">
      <formula1>0</formula1>
      <formula2>9.99999999999999E+23</formula2>
    </dataValidation>
    <dataValidation type="decimal" allowBlank="1" showErrorMessage="1" errorTitle="Ошибка" error="Допускается ввод только неотрицательных чисел!" sqref="AC1187">
      <formula1>0</formula1>
      <formula2>9.99999999999999E+23</formula2>
    </dataValidation>
    <dataValidation type="textLength" operator="lessThanOrEqual" allowBlank="1" showInputMessage="1" showErrorMessage="1" errorTitle="Ошибка" error="Допускается ввод не более 900 символов!" sqref="K1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7">
      <formula1>"a"</formula1>
    </dataValidation>
    <dataValidation type="whole" allowBlank="1" showErrorMessage="1" errorTitle="Ошибка" error="Допускается ввод только неотрицательных целых чисел!" sqref="AI1186">
      <formula1>0</formula1>
      <formula2>9.99999999999999E+23</formula2>
    </dataValidation>
    <dataValidation type="whole" allowBlank="1" showErrorMessage="1" errorTitle="Ошибка" error="Допускается ввод только неотрицательных целых чисел!" sqref="AF1186">
      <formula1>0</formula1>
      <formula2>9.99999999999999E+23</formula2>
    </dataValidation>
    <dataValidation type="decimal" allowBlank="1" showErrorMessage="1" errorTitle="Ошибка" error="Допускается ввод только неотрицательных чисел!" sqref="AE1186">
      <formula1>0</formula1>
      <formula2>9.99999999999999E+23</formula2>
    </dataValidation>
    <dataValidation type="decimal" allowBlank="1" showErrorMessage="1" errorTitle="Ошибка" error="Допускается ввод только неотрицательных чисел!" sqref="AC1186">
      <formula1>0</formula1>
      <formula2>9.99999999999999E+23</formula2>
    </dataValidation>
    <dataValidation type="textLength" operator="lessThanOrEqual" allowBlank="1" showInputMessage="1" showErrorMessage="1" errorTitle="Ошибка" error="Допускается ввод не более 900 символов!" sqref="K1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6">
      <formula1>"a"</formula1>
    </dataValidation>
    <dataValidation type="whole" allowBlank="1" showErrorMessage="1" errorTitle="Ошибка" error="Допускается ввод только неотрицательных целых чисел!" sqref="AI1180">
      <formula1>0</formula1>
      <formula2>9.99999999999999E+23</formula2>
    </dataValidation>
    <dataValidation type="whole" allowBlank="1" showErrorMessage="1" errorTitle="Ошибка" error="Допускается ввод только неотрицательных целых чисел!" sqref="AF1180">
      <formula1>0</formula1>
      <formula2>9.99999999999999E+23</formula2>
    </dataValidation>
    <dataValidation type="decimal" allowBlank="1" showErrorMessage="1" errorTitle="Ошибка" error="Допускается ввод только неотрицательных чисел!" sqref="AE1180">
      <formula1>0</formula1>
      <formula2>9.99999999999999E+23</formula2>
    </dataValidation>
    <dataValidation type="decimal" allowBlank="1" showErrorMessage="1" errorTitle="Ошибка" error="Допускается ввод только неотрицательных чисел!" sqref="AC1180">
      <formula1>0</formula1>
      <formula2>9.99999999999999E+23</formula2>
    </dataValidation>
    <dataValidation type="textLength" operator="lessThanOrEqual" allowBlank="1" showInputMessage="1" showErrorMessage="1" errorTitle="Ошибка" error="Допускается ввод не более 900 символов!" sqref="K1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0">
      <formula1>"a"</formula1>
    </dataValidation>
    <dataValidation type="whole" allowBlank="1" showErrorMessage="1" errorTitle="Ошибка" error="Допускается ввод только неотрицательных целых чисел!" sqref="AI1179">
      <formula1>0</formula1>
      <formula2>9.99999999999999E+23</formula2>
    </dataValidation>
    <dataValidation type="whole" allowBlank="1" showErrorMessage="1" errorTitle="Ошибка" error="Допускается ввод только неотрицательных целых чисел!" sqref="AF1179">
      <formula1>0</formula1>
      <formula2>9.99999999999999E+23</formula2>
    </dataValidation>
    <dataValidation type="decimal" allowBlank="1" showErrorMessage="1" errorTitle="Ошибка" error="Допускается ввод только неотрицательных чисел!" sqref="AE1179">
      <formula1>0</formula1>
      <formula2>9.99999999999999E+23</formula2>
    </dataValidation>
    <dataValidation type="decimal" allowBlank="1" showErrorMessage="1" errorTitle="Ошибка" error="Допускается ввод только неотрицательных чисел!" sqref="AC1179">
      <formula1>0</formula1>
      <formula2>9.99999999999999E+23</formula2>
    </dataValidation>
    <dataValidation type="textLength" operator="lessThanOrEqual" allowBlank="1" showInputMessage="1" showErrorMessage="1" errorTitle="Ошибка" error="Допускается ввод не более 900 символов!" sqref="K1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9">
      <formula1>"a"</formula1>
    </dataValidation>
    <dataValidation type="whole" allowBlank="1" showErrorMessage="1" errorTitle="Ошибка" error="Допускается ввод только неотрицательных целых чисел!" sqref="AI1173">
      <formula1>0</formula1>
      <formula2>9.99999999999999E+23</formula2>
    </dataValidation>
    <dataValidation type="whole" allowBlank="1" showErrorMessage="1" errorTitle="Ошибка" error="Допускается ввод только неотрицательных целых чисел!" sqref="AF1173">
      <formula1>0</formula1>
      <formula2>9.99999999999999E+23</formula2>
    </dataValidation>
    <dataValidation type="decimal" allowBlank="1" showErrorMessage="1" errorTitle="Ошибка" error="Допускается ввод только неотрицательных чисел!" sqref="AE1173">
      <formula1>0</formula1>
      <formula2>9.99999999999999E+23</formula2>
    </dataValidation>
    <dataValidation type="decimal" allowBlank="1" showErrorMessage="1" errorTitle="Ошибка" error="Допускается ввод только неотрицательных чисел!" sqref="AC1173">
      <formula1>0</formula1>
      <formula2>9.99999999999999E+23</formula2>
    </dataValidation>
    <dataValidation type="textLength" operator="lessThanOrEqual" allowBlank="1" showInputMessage="1" showErrorMessage="1" errorTitle="Ошибка" error="Допускается ввод не более 900 символов!" sqref="K1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3">
      <formula1>"a"</formula1>
    </dataValidation>
    <dataValidation type="whole" allowBlank="1" showErrorMessage="1" errorTitle="Ошибка" error="Допускается ввод только неотрицательных целых чисел!" sqref="AI1172">
      <formula1>0</formula1>
      <formula2>9.99999999999999E+23</formula2>
    </dataValidation>
    <dataValidation type="whole" allowBlank="1" showErrorMessage="1" errorTitle="Ошибка" error="Допускается ввод только неотрицательных целых чисел!" sqref="AF1172">
      <formula1>0</formula1>
      <formula2>9.99999999999999E+23</formula2>
    </dataValidation>
    <dataValidation type="decimal" allowBlank="1" showErrorMessage="1" errorTitle="Ошибка" error="Допускается ввод только неотрицательных чисел!" sqref="AE1172">
      <formula1>0</formula1>
      <formula2>9.99999999999999E+23</formula2>
    </dataValidation>
    <dataValidation type="decimal" allowBlank="1" showErrorMessage="1" errorTitle="Ошибка" error="Допускается ввод только неотрицательных чисел!" sqref="AC1172">
      <formula1>0</formula1>
      <formula2>9.99999999999999E+23</formula2>
    </dataValidation>
    <dataValidation type="textLength" operator="lessThanOrEqual" allowBlank="1" showInputMessage="1" showErrorMessage="1" errorTitle="Ошибка" error="Допускается ввод не более 900 символов!" sqref="K1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2">
      <formula1>"a"</formula1>
    </dataValidation>
    <dataValidation type="whole" allowBlank="1" showErrorMessage="1" errorTitle="Ошибка" error="Допускается ввод только неотрицательных целых чисел!" sqref="AI1166">
      <formula1>0</formula1>
      <formula2>9.99999999999999E+23</formula2>
    </dataValidation>
    <dataValidation type="whole" allowBlank="1" showErrorMessage="1" errorTitle="Ошибка" error="Допускается ввод только неотрицательных целых чисел!" sqref="AF1166">
      <formula1>0</formula1>
      <formula2>9.99999999999999E+23</formula2>
    </dataValidation>
    <dataValidation type="decimal" allowBlank="1" showErrorMessage="1" errorTitle="Ошибка" error="Допускается ввод только неотрицательных чисел!" sqref="AE1166">
      <formula1>0</formula1>
      <formula2>9.99999999999999E+23</formula2>
    </dataValidation>
    <dataValidation type="decimal" allowBlank="1" showErrorMessage="1" errorTitle="Ошибка" error="Допускается ввод только неотрицательных чисел!" sqref="AC1166">
      <formula1>0</formula1>
      <formula2>9.99999999999999E+23</formula2>
    </dataValidation>
    <dataValidation type="textLength" operator="lessThanOrEqual" allowBlank="1" showInputMessage="1" showErrorMessage="1" errorTitle="Ошибка" error="Допускается ввод не более 900 символов!" sqref="K1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6">
      <formula1>"a"</formula1>
    </dataValidation>
    <dataValidation type="whole" allowBlank="1" showErrorMessage="1" errorTitle="Ошибка" error="Допускается ввод только неотрицательных целых чисел!" sqref="AI1165">
      <formula1>0</formula1>
      <formula2>9.99999999999999E+23</formula2>
    </dataValidation>
    <dataValidation type="whole" allowBlank="1" showErrorMessage="1" errorTitle="Ошибка" error="Допускается ввод только неотрицательных целых чисел!" sqref="AF1165">
      <formula1>0</formula1>
      <formula2>9.99999999999999E+23</formula2>
    </dataValidation>
    <dataValidation type="decimal" allowBlank="1" showErrorMessage="1" errorTitle="Ошибка" error="Допускается ввод только неотрицательных чисел!" sqref="AE1165">
      <formula1>0</formula1>
      <formula2>9.99999999999999E+23</formula2>
    </dataValidation>
    <dataValidation type="decimal" allowBlank="1" showErrorMessage="1" errorTitle="Ошибка" error="Допускается ввод только неотрицательных чисел!" sqref="AC1165">
      <formula1>0</formula1>
      <formula2>9.99999999999999E+23</formula2>
    </dataValidation>
    <dataValidation type="textLength" operator="lessThanOrEqual" allowBlank="1" showInputMessage="1" showErrorMessage="1" errorTitle="Ошибка" error="Допускается ввод не более 900 символов!" sqref="K1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5">
      <formula1>"a"</formula1>
    </dataValidation>
    <dataValidation type="whole" allowBlank="1" showErrorMessage="1" errorTitle="Ошибка" error="Допускается ввод только неотрицательных целых чисел!" sqref="AI1196">
      <formula1>0</formula1>
      <formula2>9.99999999999999E+23</formula2>
    </dataValidation>
    <dataValidation type="whole" allowBlank="1" showErrorMessage="1" errorTitle="Ошибка" error="Допускается ввод только неотрицательных целых чисел!" sqref="AF1196">
      <formula1>0</formula1>
      <formula2>9.99999999999999E+23</formula2>
    </dataValidation>
    <dataValidation type="whole" allowBlank="1" showErrorMessage="1" errorTitle="Ошибка" error="Допускается ввод только неотрицательных целых чисел!" sqref="AI1195">
      <formula1>0</formula1>
      <formula2>9.99999999999999E+23</formula2>
    </dataValidation>
    <dataValidation type="whole" allowBlank="1" showErrorMessage="1" errorTitle="Ошибка" error="Допускается ввод только неотрицательных целых чисел!" sqref="AF1195">
      <formula1>0</formula1>
      <formula2>9.99999999999999E+23</formula2>
    </dataValidation>
    <dataValidation type="textLength" operator="lessThanOrEqual" allowBlank="1" showInputMessage="1" showErrorMessage="1" errorTitle="Ошибка" error="Допускается ввод не более 900 символов!" sqref="K1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5">
      <formula1>"a"</formula1>
    </dataValidation>
    <dataValidation type="whole" allowBlank="1" showErrorMessage="1" errorTitle="Ошибка" error="Допускается ввод только неотрицательных целых чисел!" sqref="AI1192">
      <formula1>0</formula1>
      <formula2>9.99999999999999E+23</formula2>
    </dataValidation>
    <dataValidation type="whole" allowBlank="1" showErrorMessage="1" errorTitle="Ошибка" error="Допускается ввод только неотрицательных целых чисел!" sqref="AF1192">
      <formula1>0</formula1>
      <formula2>9.99999999999999E+23</formula2>
    </dataValidation>
    <dataValidation type="decimal" allowBlank="1" showErrorMessage="1" errorTitle="Ошибка" error="Допускается ввод только неотрицательных чисел!" sqref="AE1192">
      <formula1>0</formula1>
      <formula2>9.99999999999999E+23</formula2>
    </dataValidation>
    <dataValidation type="decimal" allowBlank="1" showErrorMessage="1" errorTitle="Ошибка" error="Допускается ввод только неотрицательных чисел!" sqref="AC1192">
      <formula1>0</formula1>
      <formula2>9.99999999999999E+23</formula2>
    </dataValidation>
    <dataValidation type="textLength" operator="lessThanOrEqual" allowBlank="1" showInputMessage="1" showErrorMessage="1" errorTitle="Ошибка" error="Допускается ввод не более 900 символов!" sqref="K1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2">
      <formula1>"a"</formula1>
    </dataValidation>
    <dataValidation type="whole" allowBlank="1" showErrorMessage="1" errorTitle="Ошибка" error="Допускается ввод только неотрицательных целых чисел!" sqref="AI1191">
      <formula1>0</formula1>
      <formula2>9.99999999999999E+23</formula2>
    </dataValidation>
    <dataValidation type="whole" allowBlank="1" showErrorMessage="1" errorTitle="Ошибка" error="Допускается ввод только неотрицательных целых чисел!" sqref="AF1191">
      <formula1>0</formula1>
      <formula2>9.99999999999999E+23</formula2>
    </dataValidation>
    <dataValidation type="textLength" operator="lessThanOrEqual" allowBlank="1" showInputMessage="1" showErrorMessage="1" errorTitle="Ошибка" error="Допускается ввод не более 900 символов!" sqref="K1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1">
      <formula1>"a"</formula1>
    </dataValidation>
    <dataValidation type="whole" allowBlank="1" showErrorMessage="1" errorTitle="Ошибка" error="Допускается ввод только неотрицательных целых чисел!" sqref="AI1190">
      <formula1>0</formula1>
      <formula2>9.99999999999999E+23</formula2>
    </dataValidation>
    <dataValidation type="whole" allowBlank="1" showErrorMessage="1" errorTitle="Ошибка" error="Допускается ввод только неотрицательных целых чисел!" sqref="AF1190">
      <formula1>0</formula1>
      <formula2>9.99999999999999E+23</formula2>
    </dataValidation>
    <dataValidation type="textLength" operator="lessThanOrEqual" allowBlank="1" showInputMessage="1" showErrorMessage="1" errorTitle="Ошибка" error="Допускается ввод не более 900 символов!" sqref="M1190">
      <formula1>900</formula1>
    </dataValidation>
    <dataValidation type="textLength" operator="lessThanOrEqual" allowBlank="1" showInputMessage="1" showErrorMessage="1" errorTitle="Ошибка" error="Допускается ввод не более 900 символов!" sqref="K1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0">
      <formula1>"a"</formula1>
    </dataValidation>
    <dataValidation type="whole" allowBlank="1" showErrorMessage="1" errorTitle="Ошибка" error="Допускается ввод только неотрицательных целых чисел!" sqref="AI1189">
      <formula1>0</formula1>
      <formula2>9.99999999999999E+23</formula2>
    </dataValidation>
    <dataValidation type="whole" allowBlank="1" showErrorMessage="1" errorTitle="Ошибка" error="Допускается ввод только неотрицательных целых чисел!" sqref="AF1189">
      <formula1>0</formula1>
      <formula2>9.99999999999999E+23</formula2>
    </dataValidation>
    <dataValidation type="whole" allowBlank="1" showErrorMessage="1" errorTitle="Ошибка" error="Допускается ввод только неотрицательных целых чисел!" sqref="AI1188">
      <formula1>0</formula1>
      <formula2>9.99999999999999E+23</formula2>
    </dataValidation>
    <dataValidation type="whole" allowBlank="1" showErrorMessage="1" errorTitle="Ошибка" error="Допускается ввод только неотрицательных целых чисел!" sqref="AF1188">
      <formula1>0</formula1>
      <formula2>9.99999999999999E+23</formula2>
    </dataValidation>
    <dataValidation type="textLength" operator="lessThanOrEqual" allowBlank="1" showInputMessage="1" showErrorMessage="1" errorTitle="Ошибка" error="Допускается ввод не более 900 символов!" sqref="K1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8">
      <formula1>"a"</formula1>
    </dataValidation>
    <dataValidation type="whole" allowBlank="1" showErrorMessage="1" errorTitle="Ошибка" error="Допускается ввод только неотрицательных целых чисел!" sqref="AI1185">
      <formula1>0</formula1>
      <formula2>9.99999999999999E+23</formula2>
    </dataValidation>
    <dataValidation type="whole" allowBlank="1" showErrorMessage="1" errorTitle="Ошибка" error="Допускается ввод только неотрицательных целых чисел!" sqref="AF1185">
      <formula1>0</formula1>
      <formula2>9.99999999999999E+23</formula2>
    </dataValidation>
    <dataValidation type="decimal" allowBlank="1" showErrorMessage="1" errorTitle="Ошибка" error="Допускается ввод только неотрицательных чисел!" sqref="AE1185">
      <formula1>0</formula1>
      <formula2>9.99999999999999E+23</formula2>
    </dataValidation>
    <dataValidation type="decimal" allowBlank="1" showErrorMessage="1" errorTitle="Ошибка" error="Допускается ввод только неотрицательных чисел!" sqref="AC1185">
      <formula1>0</formula1>
      <formula2>9.99999999999999E+23</formula2>
    </dataValidation>
    <dataValidation type="textLength" operator="lessThanOrEqual" allowBlank="1" showInputMessage="1" showErrorMessage="1" errorTitle="Ошибка" error="Допускается ввод не более 900 символов!" sqref="K1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5">
      <formula1>"a"</formula1>
    </dataValidation>
    <dataValidation type="whole" allowBlank="1" showErrorMessage="1" errorTitle="Ошибка" error="Допускается ввод только неотрицательных целых чисел!" sqref="AI1184">
      <formula1>0</formula1>
      <formula2>9.99999999999999E+23</formula2>
    </dataValidation>
    <dataValidation type="whole" allowBlank="1" showErrorMessage="1" errorTitle="Ошибка" error="Допускается ввод только неотрицательных целых чисел!" sqref="AF1184">
      <formula1>0</formula1>
      <formula2>9.99999999999999E+23</formula2>
    </dataValidation>
    <dataValidation type="textLength" operator="lessThanOrEqual" allowBlank="1" showInputMessage="1" showErrorMessage="1" errorTitle="Ошибка" error="Допускается ввод не более 900 символов!" sqref="K1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4">
      <formula1>"a"</formula1>
    </dataValidation>
    <dataValidation type="whole" allowBlank="1" showErrorMessage="1" errorTitle="Ошибка" error="Допускается ввод только неотрицательных целых чисел!" sqref="AI1183">
      <formula1>0</formula1>
      <formula2>9.99999999999999E+23</formula2>
    </dataValidation>
    <dataValidation type="whole" allowBlank="1" showErrorMessage="1" errorTitle="Ошибка" error="Допускается ввод только неотрицательных целых чисел!" sqref="AF1183">
      <formula1>0</formula1>
      <formula2>9.99999999999999E+23</formula2>
    </dataValidation>
    <dataValidation type="textLength" operator="lessThanOrEqual" allowBlank="1" showInputMessage="1" showErrorMessage="1" errorTitle="Ошибка" error="Допускается ввод не более 900 символов!" sqref="M1183">
      <formula1>900</formula1>
    </dataValidation>
    <dataValidation type="textLength" operator="lessThanOrEqual" allowBlank="1" showInputMessage="1" showErrorMessage="1" errorTitle="Ошибка" error="Допускается ввод не более 900 символов!" sqref="K1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3">
      <formula1>"a"</formula1>
    </dataValidation>
    <dataValidation type="whole" allowBlank="1" showErrorMessage="1" errorTitle="Ошибка" error="Допускается ввод только неотрицательных целых чисел!" sqref="AI1182">
      <formula1>0</formula1>
      <formula2>9.99999999999999E+23</formula2>
    </dataValidation>
    <dataValidation type="whole" allowBlank="1" showErrorMessage="1" errorTitle="Ошибка" error="Допускается ввод только неотрицательных целых чисел!" sqref="AF1182">
      <formula1>0</formula1>
      <formula2>9.99999999999999E+23</formula2>
    </dataValidation>
    <dataValidation type="whole" allowBlank="1" showErrorMessage="1" errorTitle="Ошибка" error="Допускается ввод только неотрицательных целых чисел!" sqref="AI1181">
      <formula1>0</formula1>
      <formula2>9.99999999999999E+23</formula2>
    </dataValidation>
    <dataValidation type="whole" allowBlank="1" showErrorMessage="1" errorTitle="Ошибка" error="Допускается ввод только неотрицательных целых чисел!" sqref="AF1181">
      <formula1>0</formula1>
      <formula2>9.99999999999999E+23</formula2>
    </dataValidation>
    <dataValidation type="textLength" operator="lessThanOrEqual" allowBlank="1" showInputMessage="1" showErrorMessage="1" errorTitle="Ошибка" error="Допускается ввод не более 900 символов!" sqref="K1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1">
      <formula1>"a"</formula1>
    </dataValidation>
    <dataValidation type="whole" allowBlank="1" showErrorMessage="1" errorTitle="Ошибка" error="Допускается ввод только неотрицательных целых чисел!" sqref="AI1178">
      <formula1>0</formula1>
      <formula2>9.99999999999999E+23</formula2>
    </dataValidation>
    <dataValidation type="whole" allowBlank="1" showErrorMessage="1" errorTitle="Ошибка" error="Допускается ввод только неотрицательных целых чисел!" sqref="AF1178">
      <formula1>0</formula1>
      <formula2>9.99999999999999E+23</formula2>
    </dataValidation>
    <dataValidation type="decimal" allowBlank="1" showErrorMessage="1" errorTitle="Ошибка" error="Допускается ввод только неотрицательных чисел!" sqref="AE1178">
      <formula1>0</formula1>
      <formula2>9.99999999999999E+23</formula2>
    </dataValidation>
    <dataValidation type="decimal" allowBlank="1" showErrorMessage="1" errorTitle="Ошибка" error="Допускается ввод только неотрицательных чисел!" sqref="AC1178">
      <formula1>0</formula1>
      <formula2>9.99999999999999E+23</formula2>
    </dataValidation>
    <dataValidation type="textLength" operator="lessThanOrEqual" allowBlank="1" showInputMessage="1" showErrorMessage="1" errorTitle="Ошибка" error="Допускается ввод не более 900 символов!" sqref="K1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8">
      <formula1>"a"</formula1>
    </dataValidation>
    <dataValidation type="whole" allowBlank="1" showErrorMessage="1" errorTitle="Ошибка" error="Допускается ввод только неотрицательных целых чисел!" sqref="AI1177">
      <formula1>0</formula1>
      <formula2>9.99999999999999E+23</formula2>
    </dataValidation>
    <dataValidation type="whole" allowBlank="1" showErrorMessage="1" errorTitle="Ошибка" error="Допускается ввод только неотрицательных целых чисел!" sqref="AF1177">
      <formula1>0</formula1>
      <formula2>9.99999999999999E+23</formula2>
    </dataValidation>
    <dataValidation type="textLength" operator="lessThanOrEqual" allowBlank="1" showInputMessage="1" showErrorMessage="1" errorTitle="Ошибка" error="Допускается ввод не более 900 символов!" sqref="K1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7">
      <formula1>"a"</formula1>
    </dataValidation>
    <dataValidation type="whole" allowBlank="1" showErrorMessage="1" errorTitle="Ошибка" error="Допускается ввод только неотрицательных целых чисел!" sqref="AI1176">
      <formula1>0</formula1>
      <formula2>9.99999999999999E+23</formula2>
    </dataValidation>
    <dataValidation type="whole" allowBlank="1" showErrorMessage="1" errorTitle="Ошибка" error="Допускается ввод только неотрицательных целых чисел!" sqref="AF1176">
      <formula1>0</formula1>
      <formula2>9.99999999999999E+23</formula2>
    </dataValidation>
    <dataValidation type="textLength" operator="lessThanOrEqual" allowBlank="1" showInputMessage="1" showErrorMessage="1" errorTitle="Ошибка" error="Допускается ввод не более 900 символов!" sqref="M1176">
      <formula1>900</formula1>
    </dataValidation>
    <dataValidation type="textLength" operator="lessThanOrEqual" allowBlank="1" showInputMessage="1" showErrorMessage="1" errorTitle="Ошибка" error="Допускается ввод не более 900 символов!" sqref="K1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6">
      <formula1>"a"</formula1>
    </dataValidation>
    <dataValidation type="whole" allowBlank="1" showErrorMessage="1" errorTitle="Ошибка" error="Допускается ввод только неотрицательных целых чисел!" sqref="AI1175">
      <formula1>0</formula1>
      <formula2>9.99999999999999E+23</formula2>
    </dataValidation>
    <dataValidation type="whole" allowBlank="1" showErrorMessage="1" errorTitle="Ошибка" error="Допускается ввод только неотрицательных целых чисел!" sqref="AF1175">
      <formula1>0</formula1>
      <formula2>9.99999999999999E+23</formula2>
    </dataValidation>
    <dataValidation type="whole" allowBlank="1" showErrorMessage="1" errorTitle="Ошибка" error="Допускается ввод только неотрицательных целых чисел!" sqref="AI1174">
      <formula1>0</formula1>
      <formula2>9.99999999999999E+23</formula2>
    </dataValidation>
    <dataValidation type="whole" allowBlank="1" showErrorMessage="1" errorTitle="Ошибка" error="Допускается ввод только неотрицательных целых чисел!" sqref="AF1174">
      <formula1>0</formula1>
      <formula2>9.99999999999999E+23</formula2>
    </dataValidation>
    <dataValidation type="textLength" operator="lessThanOrEqual" allowBlank="1" showInputMessage="1" showErrorMessage="1" errorTitle="Ошибка" error="Допускается ввод не более 900 символов!" sqref="K1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4">
      <formula1>"a"</formula1>
    </dataValidation>
    <dataValidation type="whole" allowBlank="1" showErrorMessage="1" errorTitle="Ошибка" error="Допускается ввод только неотрицательных целых чисел!" sqref="AI1171">
      <formula1>0</formula1>
      <formula2>9.99999999999999E+23</formula2>
    </dataValidation>
    <dataValidation type="whole" allowBlank="1" showErrorMessage="1" errorTitle="Ошибка" error="Допускается ввод только неотрицательных целых чисел!" sqref="AF1171">
      <formula1>0</formula1>
      <formula2>9.99999999999999E+23</formula2>
    </dataValidation>
    <dataValidation type="decimal" allowBlank="1" showErrorMessage="1" errorTitle="Ошибка" error="Допускается ввод только неотрицательных чисел!" sqref="AE1171">
      <formula1>0</formula1>
      <formula2>9.99999999999999E+23</formula2>
    </dataValidation>
    <dataValidation type="decimal" allowBlank="1" showErrorMessage="1" errorTitle="Ошибка" error="Допускается ввод только неотрицательных чисел!" sqref="AC1171">
      <formula1>0</formula1>
      <formula2>9.99999999999999E+23</formula2>
    </dataValidation>
    <dataValidation type="textLength" operator="lessThanOrEqual" allowBlank="1" showInputMessage="1" showErrorMessage="1" errorTitle="Ошибка" error="Допускается ввод не более 900 символов!" sqref="K1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1">
      <formula1>"a"</formula1>
    </dataValidation>
    <dataValidation type="whole" allowBlank="1" showErrorMessage="1" errorTitle="Ошибка" error="Допускается ввод только неотрицательных целых чисел!" sqref="AI1170">
      <formula1>0</formula1>
      <formula2>9.99999999999999E+23</formula2>
    </dataValidation>
    <dataValidation type="whole" allowBlank="1" showErrorMessage="1" errorTitle="Ошибка" error="Допускается ввод только неотрицательных целых чисел!" sqref="AF1170">
      <formula1>0</formula1>
      <formula2>9.99999999999999E+23</formula2>
    </dataValidation>
    <dataValidation type="textLength" operator="lessThanOrEqual" allowBlank="1" showInputMessage="1" showErrorMessage="1" errorTitle="Ошибка" error="Допускается ввод не более 900 символов!" sqref="K1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0">
      <formula1>"a"</formula1>
    </dataValidation>
    <dataValidation type="whole" allowBlank="1" showErrorMessage="1" errorTitle="Ошибка" error="Допускается ввод только неотрицательных целых чисел!" sqref="AI1169">
      <formula1>0</formula1>
      <formula2>9.99999999999999E+23</formula2>
    </dataValidation>
    <dataValidation type="whole" allowBlank="1" showErrorMessage="1" errorTitle="Ошибка" error="Допускается ввод только неотрицательных целых чисел!" sqref="AF1169">
      <formula1>0</formula1>
      <formula2>9.99999999999999E+23</formula2>
    </dataValidation>
    <dataValidation type="textLength" operator="lessThanOrEqual" allowBlank="1" showInputMessage="1" showErrorMessage="1" errorTitle="Ошибка" error="Допускается ввод не более 900 символов!" sqref="M1169">
      <formula1>900</formula1>
    </dataValidation>
    <dataValidation type="textLength" operator="lessThanOrEqual" allowBlank="1" showInputMessage="1" showErrorMessage="1" errorTitle="Ошибка" error="Допускается ввод не более 900 символов!" sqref="K1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9">
      <formula1>"a"</formula1>
    </dataValidation>
    <dataValidation type="whole" allowBlank="1" showErrorMessage="1" errorTitle="Ошибка" error="Допускается ввод только неотрицательных целых чисел!" sqref="AI1168">
      <formula1>0</formula1>
      <formula2>9.99999999999999E+23</formula2>
    </dataValidation>
    <dataValidation type="whole" allowBlank="1" showErrorMessage="1" errorTitle="Ошибка" error="Допускается ввод только неотрицательных целых чисел!" sqref="AF1168">
      <formula1>0</formula1>
      <formula2>9.99999999999999E+23</formula2>
    </dataValidation>
    <dataValidation type="whole" allowBlank="1" showErrorMessage="1" errorTitle="Ошибка" error="Допускается ввод только неотрицательных целых чисел!" sqref="AI1167">
      <formula1>0</formula1>
      <formula2>9.99999999999999E+23</formula2>
    </dataValidation>
    <dataValidation type="whole" allowBlank="1" showErrorMessage="1" errorTitle="Ошибка" error="Допускается ввод только неотрицательных целых чисел!" sqref="AF1167">
      <formula1>0</formula1>
      <formula2>9.99999999999999E+23</formula2>
    </dataValidation>
    <dataValidation type="textLength" operator="lessThanOrEqual" allowBlank="1" showInputMessage="1" showErrorMessage="1" errorTitle="Ошибка" error="Допускается ввод не более 900 символов!" sqref="K1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7">
      <formula1>"a"</formula1>
    </dataValidation>
    <dataValidation type="whole" allowBlank="1" showErrorMessage="1" errorTitle="Ошибка" error="Допускается ввод только неотрицательных целых чисел!" sqref="AI1164">
      <formula1>0</formula1>
      <formula2>9.99999999999999E+23</formula2>
    </dataValidation>
    <dataValidation type="whole" allowBlank="1" showErrorMessage="1" errorTitle="Ошибка" error="Допускается ввод только неотрицательных целых чисел!" sqref="AF1164">
      <formula1>0</formula1>
      <formula2>9.99999999999999E+23</formula2>
    </dataValidation>
    <dataValidation type="decimal" allowBlank="1" showErrorMessage="1" errorTitle="Ошибка" error="Допускается ввод только неотрицательных чисел!" sqref="AE1164">
      <formula1>0</formula1>
      <formula2>9.99999999999999E+23</formula2>
    </dataValidation>
    <dataValidation type="decimal" allowBlank="1" showErrorMessage="1" errorTitle="Ошибка" error="Допускается ввод только неотрицательных чисел!" sqref="AC1164">
      <formula1>0</formula1>
      <formula2>9.99999999999999E+23</formula2>
    </dataValidation>
    <dataValidation type="textLength" operator="lessThanOrEqual" allowBlank="1" showInputMessage="1" showErrorMessage="1" errorTitle="Ошибка" error="Допускается ввод не более 900 символов!" sqref="K1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4">
      <formula1>"a"</formula1>
    </dataValidation>
    <dataValidation type="whole" allowBlank="1" showErrorMessage="1" errorTitle="Ошибка" error="Допускается ввод только неотрицательных целых чисел!" sqref="AI1163">
      <formula1>0</formula1>
      <formula2>9.99999999999999E+23</formula2>
    </dataValidation>
    <dataValidation type="whole" allowBlank="1" showErrorMessage="1" errorTitle="Ошибка" error="Допускается ввод только неотрицательных целых чисел!" sqref="AF1163">
      <formula1>0</formula1>
      <formula2>9.99999999999999E+23</formula2>
    </dataValidation>
    <dataValidation type="textLength" operator="lessThanOrEqual" allowBlank="1" showInputMessage="1" showErrorMessage="1" errorTitle="Ошибка" error="Допускается ввод не более 900 символов!" sqref="K1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3">
      <formula1>"a"</formula1>
    </dataValidation>
    <dataValidation type="whole" allowBlank="1" showErrorMessage="1" errorTitle="Ошибка" error="Допускается ввод только неотрицательных целых чисел!" sqref="AI1162">
      <formula1>0</formula1>
      <formula2>9.99999999999999E+23</formula2>
    </dataValidation>
    <dataValidation type="whole" allowBlank="1" showErrorMessage="1" errorTitle="Ошибка" error="Допускается ввод только неотрицательных целых чисел!" sqref="AF1162">
      <formula1>0</formula1>
      <formula2>9.99999999999999E+23</formula2>
    </dataValidation>
    <dataValidation type="textLength" operator="lessThanOrEqual" allowBlank="1" showInputMessage="1" showErrorMessage="1" errorTitle="Ошибка" error="Допускается ввод не более 900 символов!" sqref="M1162">
      <formula1>900</formula1>
    </dataValidation>
    <dataValidation type="textLength" operator="lessThanOrEqual" allowBlank="1" showInputMessage="1" showErrorMessage="1" errorTitle="Ошибка" error="Допускается ввод не более 900 символов!" sqref="K1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2">
      <formula1>"a"</formula1>
    </dataValidation>
    <dataValidation type="whole" allowBlank="1" showErrorMessage="1" errorTitle="Ошибка" error="Допускается ввод только неотрицательных целых чисел!" sqref="AI1105">
      <formula1>0</formula1>
      <formula2>9.99999999999999E+23</formula2>
    </dataValidation>
    <dataValidation type="whole" allowBlank="1" showErrorMessage="1" errorTitle="Ошибка" error="Допускается ввод только неотрицательных целых чисел!" sqref="AF1105">
      <formula1>0</formula1>
      <formula2>9.99999999999999E+23</formula2>
    </dataValidation>
    <dataValidation type="decimal" allowBlank="1" showErrorMessage="1" errorTitle="Ошибка" error="Допускается ввод только неотрицательных чисел!" sqref="AE1105">
      <formula1>0</formula1>
      <formula2>9.99999999999999E+23</formula2>
    </dataValidation>
    <dataValidation type="decimal" allowBlank="1" showErrorMessage="1" errorTitle="Ошибка" error="Допускается ввод только неотрицательных чисел!" sqref="AC1105">
      <formula1>0</formula1>
      <formula2>9.99999999999999E+23</formula2>
    </dataValidation>
    <dataValidation type="textLength" operator="lessThanOrEqual" allowBlank="1" showInputMessage="1" showErrorMessage="1" errorTitle="Ошибка" error="Допускается ввод не более 900 символов!" sqref="K1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5">
      <formula1>"a"</formula1>
    </dataValidation>
    <dataValidation type="whole" allowBlank="1" showErrorMessage="1" errorTitle="Ошибка" error="Допускается ввод только неотрицательных целых чисел!" sqref="AI1104">
      <formula1>0</formula1>
      <formula2>9.99999999999999E+23</formula2>
    </dataValidation>
    <dataValidation type="whole" allowBlank="1" showErrorMessage="1" errorTitle="Ошибка" error="Допускается ввод только неотрицательных целых чисел!" sqref="AF1104">
      <formula1>0</formula1>
      <formula2>9.99999999999999E+23</formula2>
    </dataValidation>
    <dataValidation type="decimal" allowBlank="1" showErrorMessage="1" errorTitle="Ошибка" error="Допускается ввод только неотрицательных чисел!" sqref="AE1104">
      <formula1>0</formula1>
      <formula2>9.99999999999999E+23</formula2>
    </dataValidation>
    <dataValidation type="decimal" allowBlank="1" showErrorMessage="1" errorTitle="Ошибка" error="Допускается ввод только неотрицательных чисел!" sqref="AC1104">
      <formula1>0</formula1>
      <formula2>9.99999999999999E+23</formula2>
    </dataValidation>
    <dataValidation type="textLength" operator="lessThanOrEqual" allowBlank="1" showInputMessage="1" showErrorMessage="1" errorTitle="Ошибка" error="Допускается ввод не более 900 символов!" sqref="K1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4">
      <formula1>"a"</formula1>
    </dataValidation>
    <dataValidation type="whole" allowBlank="1" showErrorMessage="1" errorTitle="Ошибка" error="Допускается ввод только неотрицательных целых чисел!" sqref="AI1153">
      <formula1>0</formula1>
      <formula2>9.99999999999999E+23</formula2>
    </dataValidation>
    <dataValidation type="whole" allowBlank="1" showErrorMessage="1" errorTitle="Ошибка" error="Допускается ввод только неотрицательных целых чисел!" sqref="AF1153">
      <formula1>0</formula1>
      <formula2>9.99999999999999E+23</formula2>
    </dataValidation>
    <dataValidation type="decimal" allowBlank="1" showErrorMessage="1" errorTitle="Ошибка" error="Допускается ввод только неотрицательных чисел!" sqref="AE1153">
      <formula1>0</formula1>
      <formula2>9.99999999999999E+23</formula2>
    </dataValidation>
    <dataValidation type="decimal" allowBlank="1" showErrorMessage="1" errorTitle="Ошибка" error="Допускается ввод только неотрицательных чисел!" sqref="AC1153">
      <formula1>0</formula1>
      <formula2>9.99999999999999E+23</formula2>
    </dataValidation>
    <dataValidation type="textLength" operator="lessThanOrEqual" allowBlank="1" showInputMessage="1" showErrorMessage="1" errorTitle="Ошибка" error="Допускается ввод не более 900 символов!" sqref="K1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3">
      <formula1>"a"</formula1>
    </dataValidation>
    <dataValidation type="whole" allowBlank="1" showErrorMessage="1" errorTitle="Ошибка" error="Допускается ввод только неотрицательных целых чисел!" sqref="AI1152">
      <formula1>0</formula1>
      <formula2>9.99999999999999E+23</formula2>
    </dataValidation>
    <dataValidation type="whole" allowBlank="1" showErrorMessage="1" errorTitle="Ошибка" error="Допускается ввод только неотрицательных целых чисел!" sqref="AF1152">
      <formula1>0</formula1>
      <formula2>9.99999999999999E+23</formula2>
    </dataValidation>
    <dataValidation type="decimal" allowBlank="1" showErrorMessage="1" errorTitle="Ошибка" error="Допускается ввод только неотрицательных чисел!" sqref="AE1152">
      <formula1>0</formula1>
      <formula2>9.99999999999999E+23</formula2>
    </dataValidation>
    <dataValidation type="decimal" allowBlank="1" showErrorMessage="1" errorTitle="Ошибка" error="Допускается ввод только неотрицательных чисел!" sqref="AC1152">
      <formula1>0</formula1>
      <formula2>9.99999999999999E+23</formula2>
    </dataValidation>
    <dataValidation type="textLength" operator="lessThanOrEqual" allowBlank="1" showInputMessage="1" showErrorMessage="1" errorTitle="Ошибка" error="Допускается ввод не более 900 символов!" sqref="K1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2">
      <formula1>"a"</formula1>
    </dataValidation>
    <dataValidation type="whole" allowBlank="1" showErrorMessage="1" errorTitle="Ошибка" error="Допускается ввод только неотрицательных целых чисел!" sqref="AI1146">
      <formula1>0</formula1>
      <formula2>9.99999999999999E+23</formula2>
    </dataValidation>
    <dataValidation type="whole" allowBlank="1" showErrorMessage="1" errorTitle="Ошибка" error="Допускается ввод только неотрицательных целых чисел!" sqref="AF1146">
      <formula1>0</formula1>
      <formula2>9.99999999999999E+23</formula2>
    </dataValidation>
    <dataValidation type="decimal" allowBlank="1" showErrorMessage="1" errorTitle="Ошибка" error="Допускается ввод только неотрицательных чисел!" sqref="AE1146">
      <formula1>0</formula1>
      <formula2>9.99999999999999E+23</formula2>
    </dataValidation>
    <dataValidation type="decimal" allowBlank="1" showErrorMessage="1" errorTitle="Ошибка" error="Допускается ввод только неотрицательных чисел!" sqref="AC1146">
      <formula1>0</formula1>
      <formula2>9.99999999999999E+23</formula2>
    </dataValidation>
    <dataValidation type="textLength" operator="lessThanOrEqual" allowBlank="1" showInputMessage="1" showErrorMessage="1" errorTitle="Ошибка" error="Допускается ввод не более 900 символов!" sqref="K1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6">
      <formula1>"a"</formula1>
    </dataValidation>
    <dataValidation type="whole" allowBlank="1" showErrorMessage="1" errorTitle="Ошибка" error="Допускается ввод только неотрицательных целых чисел!" sqref="AI1145">
      <formula1>0</formula1>
      <formula2>9.99999999999999E+23</formula2>
    </dataValidation>
    <dataValidation type="whole" allowBlank="1" showErrorMessage="1" errorTitle="Ошибка" error="Допускается ввод только неотрицательных целых чисел!" sqref="AF1145">
      <formula1>0</formula1>
      <formula2>9.99999999999999E+23</formula2>
    </dataValidation>
    <dataValidation type="decimal" allowBlank="1" showErrorMessage="1" errorTitle="Ошибка" error="Допускается ввод только неотрицательных чисел!" sqref="AE1145">
      <formula1>0</formula1>
      <formula2>9.99999999999999E+23</formula2>
    </dataValidation>
    <dataValidation type="decimal" allowBlank="1" showErrorMessage="1" errorTitle="Ошибка" error="Допускается ввод только неотрицательных чисел!" sqref="AC1145">
      <formula1>0</formula1>
      <formula2>9.99999999999999E+23</formula2>
    </dataValidation>
    <dataValidation type="textLength" operator="lessThanOrEqual" allowBlank="1" showInputMessage="1" showErrorMessage="1" errorTitle="Ошибка" error="Допускается ввод не более 900 символов!" sqref="K1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5">
      <formula1>"a"</formula1>
    </dataValidation>
    <dataValidation type="whole" allowBlank="1" showErrorMessage="1" errorTitle="Ошибка" error="Допускается ввод только неотрицательных целых чисел!" sqref="AI1139">
      <formula1>0</formula1>
      <formula2>9.99999999999999E+23</formula2>
    </dataValidation>
    <dataValidation type="whole" allowBlank="1" showErrorMessage="1" errorTitle="Ошибка" error="Допускается ввод только неотрицательных целых чисел!" sqref="AF1139">
      <formula1>0</formula1>
      <formula2>9.99999999999999E+23</formula2>
    </dataValidation>
    <dataValidation type="decimal" allowBlank="1" showErrorMessage="1" errorTitle="Ошибка" error="Допускается ввод только неотрицательных чисел!" sqref="AE1139">
      <formula1>0</formula1>
      <formula2>9.99999999999999E+23</formula2>
    </dataValidation>
    <dataValidation type="decimal" allowBlank="1" showErrorMessage="1" errorTitle="Ошибка" error="Допускается ввод только неотрицательных чисел!" sqref="AC1139">
      <formula1>0</formula1>
      <formula2>9.99999999999999E+23</formula2>
    </dataValidation>
    <dataValidation type="textLength" operator="lessThanOrEqual" allowBlank="1" showInputMessage="1" showErrorMessage="1" errorTitle="Ошибка" error="Допускается ввод не более 900 символов!" sqref="K1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9">
      <formula1>"a"</formula1>
    </dataValidation>
    <dataValidation type="whole" allowBlank="1" showErrorMessage="1" errorTitle="Ошибка" error="Допускается ввод только неотрицательных целых чисел!" sqref="AI1138">
      <formula1>0</formula1>
      <formula2>9.99999999999999E+23</formula2>
    </dataValidation>
    <dataValidation type="whole" allowBlank="1" showErrorMessage="1" errorTitle="Ошибка" error="Допускается ввод только неотрицательных целых чисел!" sqref="AF1138">
      <formula1>0</formula1>
      <formula2>9.99999999999999E+23</formula2>
    </dataValidation>
    <dataValidation type="decimal" allowBlank="1" showErrorMessage="1" errorTitle="Ошибка" error="Допускается ввод только неотрицательных чисел!" sqref="AE1138">
      <formula1>0</formula1>
      <formula2>9.99999999999999E+23</formula2>
    </dataValidation>
    <dataValidation type="decimal" allowBlank="1" showErrorMessage="1" errorTitle="Ошибка" error="Допускается ввод только неотрицательных чисел!" sqref="AC1138">
      <formula1>0</formula1>
      <formula2>9.99999999999999E+23</formula2>
    </dataValidation>
    <dataValidation type="textLength" operator="lessThanOrEqual" allowBlank="1" showInputMessage="1" showErrorMessage="1" errorTitle="Ошибка" error="Допускается ввод не более 900 символов!" sqref="K1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8">
      <formula1>"a"</formula1>
    </dataValidation>
    <dataValidation type="whole" allowBlank="1" showErrorMessage="1" errorTitle="Ошибка" error="Допускается ввод только неотрицательных целых чисел!" sqref="AI1132">
      <formula1>0</formula1>
      <formula2>9.99999999999999E+23</formula2>
    </dataValidation>
    <dataValidation type="whole" allowBlank="1" showErrorMessage="1" errorTitle="Ошибка" error="Допускается ввод только неотрицательных целых чисел!" sqref="AF1132">
      <formula1>0</formula1>
      <formula2>9.99999999999999E+23</formula2>
    </dataValidation>
    <dataValidation type="decimal" allowBlank="1" showErrorMessage="1" errorTitle="Ошибка" error="Допускается ввод только неотрицательных чисел!" sqref="AE1132">
      <formula1>0</formula1>
      <formula2>9.99999999999999E+23</formula2>
    </dataValidation>
    <dataValidation type="decimal" allowBlank="1" showErrorMessage="1" errorTitle="Ошибка" error="Допускается ввод только неотрицательных чисел!" sqref="AC1132">
      <formula1>0</formula1>
      <formula2>9.99999999999999E+23</formula2>
    </dataValidation>
    <dataValidation type="textLength" operator="lessThanOrEqual" allowBlank="1" showInputMessage="1" showErrorMessage="1" errorTitle="Ошибка" error="Допускается ввод не более 900 символов!" sqref="K1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2">
      <formula1>"a"</formula1>
    </dataValidation>
    <dataValidation type="whole" allowBlank="1" showErrorMessage="1" errorTitle="Ошибка" error="Допускается ввод только неотрицательных целых чисел!" sqref="AI1131">
      <formula1>0</formula1>
      <formula2>9.99999999999999E+23</formula2>
    </dataValidation>
    <dataValidation type="whole" allowBlank="1" showErrorMessage="1" errorTitle="Ошибка" error="Допускается ввод только неотрицательных целых чисел!" sqref="AF1131">
      <formula1>0</formula1>
      <formula2>9.99999999999999E+23</formula2>
    </dataValidation>
    <dataValidation type="decimal" allowBlank="1" showErrorMessage="1" errorTitle="Ошибка" error="Допускается ввод только неотрицательных чисел!" sqref="AE1131">
      <formula1>0</formula1>
      <formula2>9.99999999999999E+23</formula2>
    </dataValidation>
    <dataValidation type="decimal" allowBlank="1" showErrorMessage="1" errorTitle="Ошибка" error="Допускается ввод только неотрицательных чисел!" sqref="AC1131">
      <formula1>0</formula1>
      <formula2>9.99999999999999E+23</formula2>
    </dataValidation>
    <dataValidation type="textLength" operator="lessThanOrEqual" allowBlank="1" showInputMessage="1" showErrorMessage="1" errorTitle="Ошибка" error="Допускается ввод не более 900 символов!" sqref="K1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1">
      <formula1>"a"</formula1>
    </dataValidation>
    <dataValidation type="whole" allowBlank="1" showErrorMessage="1" errorTitle="Ошибка" error="Допускается ввод только неотрицательных целых чисел!" sqref="AI1098">
      <formula1>0</formula1>
      <formula2>9.99999999999999E+23</formula2>
    </dataValidation>
    <dataValidation type="whole" allowBlank="1" showErrorMessage="1" errorTitle="Ошибка" error="Допускается ввод только неотрицательных целых чисел!" sqref="AF1098">
      <formula1>0</formula1>
      <formula2>9.99999999999999E+23</formula2>
    </dataValidation>
    <dataValidation type="decimal" allowBlank="1" showErrorMessage="1" errorTitle="Ошибка" error="Допускается ввод только неотрицательных чисел!" sqref="AE1098">
      <formula1>0</formula1>
      <formula2>9.99999999999999E+23</formula2>
    </dataValidation>
    <dataValidation type="decimal" allowBlank="1" showErrorMessage="1" errorTitle="Ошибка" error="Допускается ввод только неотрицательных чисел!" sqref="AC1098">
      <formula1>0</formula1>
      <formula2>9.99999999999999E+23</formula2>
    </dataValidation>
    <dataValidation type="textLength" operator="lessThanOrEqual" allowBlank="1" showInputMessage="1" showErrorMessage="1" errorTitle="Ошибка" error="Допускается ввод не более 900 символов!" sqref="K10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8">
      <formula1>"a"</formula1>
    </dataValidation>
    <dataValidation type="whole" allowBlank="1" showErrorMessage="1" errorTitle="Ошибка" error="Допускается ввод только неотрицательных целых чисел!" sqref="AI1097">
      <formula1>0</formula1>
      <formula2>9.99999999999999E+23</formula2>
    </dataValidation>
    <dataValidation type="whole" allowBlank="1" showErrorMessage="1" errorTitle="Ошибка" error="Допускается ввод только неотрицательных целых чисел!" sqref="AF1097">
      <formula1>0</formula1>
      <formula2>9.99999999999999E+23</formula2>
    </dataValidation>
    <dataValidation type="decimal" allowBlank="1" showErrorMessage="1" errorTitle="Ошибка" error="Допускается ввод только неотрицательных чисел!" sqref="AE1097">
      <formula1>0</formula1>
      <formula2>9.99999999999999E+23</formula2>
    </dataValidation>
    <dataValidation type="decimal" allowBlank="1" showErrorMessage="1" errorTitle="Ошибка" error="Допускается ввод только неотрицательных чисел!" sqref="AC1097">
      <formula1>0</formula1>
      <formula2>9.99999999999999E+23</formula2>
    </dataValidation>
    <dataValidation type="textLength" operator="lessThanOrEqual" allowBlank="1" showInputMessage="1" showErrorMessage="1" errorTitle="Ошибка" error="Допускается ввод не более 900 символов!" sqref="K10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7">
      <formula1>"a"</formula1>
    </dataValidation>
    <dataValidation type="whole" allowBlank="1" showErrorMessage="1" errorTitle="Ошибка" error="Допускается ввод только неотрицательных целых чисел!" sqref="AI1091">
      <formula1>0</formula1>
      <formula2>9.99999999999999E+23</formula2>
    </dataValidation>
    <dataValidation type="whole" allowBlank="1" showErrorMessage="1" errorTitle="Ошибка" error="Допускается ввод только неотрицательных целых чисел!" sqref="AF1091">
      <formula1>0</formula1>
      <formula2>9.99999999999999E+23</formula2>
    </dataValidation>
    <dataValidation type="decimal" allowBlank="1" showErrorMessage="1" errorTitle="Ошибка" error="Допускается ввод только неотрицательных чисел!" sqref="AE1091">
      <formula1>0</formula1>
      <formula2>9.99999999999999E+23</formula2>
    </dataValidation>
    <dataValidation type="decimal" allowBlank="1" showErrorMessage="1" errorTitle="Ошибка" error="Допускается ввод только неотрицательных чисел!" sqref="AC1091">
      <formula1>0</formula1>
      <formula2>9.99999999999999E+23</formula2>
    </dataValidation>
    <dataValidation type="textLength" operator="lessThanOrEqual" allowBlank="1" showInputMessage="1" showErrorMessage="1" errorTitle="Ошибка" error="Допускается ввод не более 900 символов!" sqref="K10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1">
      <formula1>"a"</formula1>
    </dataValidation>
    <dataValidation type="whole" allowBlank="1" showErrorMessage="1" errorTitle="Ошибка" error="Допускается ввод только неотрицательных целых чисел!" sqref="AI1090">
      <formula1>0</formula1>
      <formula2>9.99999999999999E+23</formula2>
    </dataValidation>
    <dataValidation type="whole" allowBlank="1" showErrorMessage="1" errorTitle="Ошибка" error="Допускается ввод только неотрицательных целых чисел!" sqref="AF1090">
      <formula1>0</formula1>
      <formula2>9.99999999999999E+23</formula2>
    </dataValidation>
    <dataValidation type="decimal" allowBlank="1" showErrorMessage="1" errorTitle="Ошибка" error="Допускается ввод только неотрицательных чисел!" sqref="AE1090">
      <formula1>0</formula1>
      <formula2>9.99999999999999E+23</formula2>
    </dataValidation>
    <dataValidation type="decimal" allowBlank="1" showErrorMessage="1" errorTitle="Ошибка" error="Допускается ввод только неотрицательных чисел!" sqref="AC1090">
      <formula1>0</formula1>
      <formula2>9.99999999999999E+23</formula2>
    </dataValidation>
    <dataValidation type="textLength" operator="lessThanOrEqual" allowBlank="1" showInputMessage="1" showErrorMessage="1" errorTitle="Ошибка" error="Допускается ввод не более 900 символов!" sqref="K10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0">
      <formula1>"a"</formula1>
    </dataValidation>
    <dataValidation type="whole" allowBlank="1" showErrorMessage="1" errorTitle="Ошибка" error="Допускается ввод только неотрицательных целых чисел!" sqref="AI1084">
      <formula1>0</formula1>
      <formula2>9.99999999999999E+23</formula2>
    </dataValidation>
    <dataValidation type="whole" allowBlank="1" showErrorMessage="1" errorTitle="Ошибка" error="Допускается ввод только неотрицательных целых чисел!" sqref="AF1084">
      <formula1>0</formula1>
      <formula2>9.99999999999999E+23</formula2>
    </dataValidation>
    <dataValidation type="decimal" allowBlank="1" showErrorMessage="1" errorTitle="Ошибка" error="Допускается ввод только неотрицательных чисел!" sqref="AE1084">
      <formula1>0</formula1>
      <formula2>9.99999999999999E+23</formula2>
    </dataValidation>
    <dataValidation type="decimal" allowBlank="1" showErrorMessage="1" errorTitle="Ошибка" error="Допускается ввод только неотрицательных чисел!" sqref="AC1084">
      <formula1>0</formula1>
      <formula2>9.99999999999999E+23</formula2>
    </dataValidation>
    <dataValidation type="textLength" operator="lessThanOrEqual" allowBlank="1" showInputMessage="1" showErrorMessage="1" errorTitle="Ошибка" error="Допускается ввод не более 900 символов!" sqref="K10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4">
      <formula1>"a"</formula1>
    </dataValidation>
    <dataValidation type="whole" allowBlank="1" showErrorMessage="1" errorTitle="Ошибка" error="Допускается ввод только неотрицательных целых чисел!" sqref="AI1083">
      <formula1>0</formula1>
      <formula2>9.99999999999999E+23</formula2>
    </dataValidation>
    <dataValidation type="whole" allowBlank="1" showErrorMessage="1" errorTitle="Ошибка" error="Допускается ввод только неотрицательных целых чисел!" sqref="AF1083">
      <formula1>0</formula1>
      <formula2>9.99999999999999E+23</formula2>
    </dataValidation>
    <dataValidation type="decimal" allowBlank="1" showErrorMessage="1" errorTitle="Ошибка" error="Допускается ввод только неотрицательных чисел!" sqref="AE1083">
      <formula1>0</formula1>
      <formula2>9.99999999999999E+23</formula2>
    </dataValidation>
    <dataValidation type="decimal" allowBlank="1" showErrorMessage="1" errorTitle="Ошибка" error="Допускается ввод только неотрицательных чисел!" sqref="AC1083">
      <formula1>0</formula1>
      <formula2>9.99999999999999E+23</formula2>
    </dataValidation>
    <dataValidation type="textLength" operator="lessThanOrEqual" allowBlank="1" showInputMessage="1" showErrorMessage="1" errorTitle="Ошибка" error="Допускается ввод не более 900 символов!" sqref="K10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3">
      <formula1>"a"</formula1>
    </dataValidation>
    <dataValidation type="whole" allowBlank="1" showErrorMessage="1" errorTitle="Ошибка" error="Допускается ввод только неотрицательных целых чисел!" sqref="AI1077">
      <formula1>0</formula1>
      <formula2>9.99999999999999E+23</formula2>
    </dataValidation>
    <dataValidation type="whole" allowBlank="1" showErrorMessage="1" errorTitle="Ошибка" error="Допускается ввод только неотрицательных целых чисел!" sqref="AF1077">
      <formula1>0</formula1>
      <formula2>9.99999999999999E+23</formula2>
    </dataValidation>
    <dataValidation type="decimal" allowBlank="1" showErrorMessage="1" errorTitle="Ошибка" error="Допускается ввод только неотрицательных чисел!" sqref="AE1077">
      <formula1>0</formula1>
      <formula2>9.99999999999999E+23</formula2>
    </dataValidation>
    <dataValidation type="decimal" allowBlank="1" showErrorMessage="1" errorTitle="Ошибка" error="Допускается ввод только неотрицательных чисел!" sqref="AC1077">
      <formula1>0</formula1>
      <formula2>9.99999999999999E+23</formula2>
    </dataValidation>
    <dataValidation type="textLength" operator="lessThanOrEqual" allowBlank="1" showInputMessage="1" showErrorMessage="1" errorTitle="Ошибка" error="Допускается ввод не более 900 символов!" sqref="K10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7">
      <formula1>"a"</formula1>
    </dataValidation>
    <dataValidation type="whole" allowBlank="1" showErrorMessage="1" errorTitle="Ошибка" error="Допускается ввод только неотрицательных целых чисел!" sqref="AI1076">
      <formula1>0</formula1>
      <formula2>9.99999999999999E+23</formula2>
    </dataValidation>
    <dataValidation type="whole" allowBlank="1" showErrorMessage="1" errorTitle="Ошибка" error="Допускается ввод только неотрицательных целых чисел!" sqref="AF1076">
      <formula1>0</formula1>
      <formula2>9.99999999999999E+23</formula2>
    </dataValidation>
    <dataValidation type="decimal" allowBlank="1" showErrorMessage="1" errorTitle="Ошибка" error="Допускается ввод только неотрицательных чисел!" sqref="AE1076">
      <formula1>0</formula1>
      <formula2>9.99999999999999E+23</formula2>
    </dataValidation>
    <dataValidation type="decimal" allowBlank="1" showErrorMessage="1" errorTitle="Ошибка" error="Допускается ввод только неотрицательных чисел!" sqref="AC1076">
      <formula1>0</formula1>
      <formula2>9.99999999999999E+23</formula2>
    </dataValidation>
    <dataValidation type="textLength" operator="lessThanOrEqual" allowBlank="1" showInputMessage="1" showErrorMessage="1" errorTitle="Ошибка" error="Допускается ввод не более 900 символов!" sqref="K10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6">
      <formula1>"a"</formula1>
    </dataValidation>
    <dataValidation type="whole" allowBlank="1" showErrorMessage="1" errorTitle="Ошибка" error="Допускается ввод только неотрицательных целых чисел!" sqref="AI1070">
      <formula1>0</formula1>
      <formula2>9.99999999999999E+23</formula2>
    </dataValidation>
    <dataValidation type="whole" allowBlank="1" showErrorMessage="1" errorTitle="Ошибка" error="Допускается ввод только неотрицательных целых чисел!" sqref="AF1070">
      <formula1>0</formula1>
      <formula2>9.99999999999999E+23</formula2>
    </dataValidation>
    <dataValidation type="decimal" allowBlank="1" showErrorMessage="1" errorTitle="Ошибка" error="Допускается ввод только неотрицательных чисел!" sqref="AE1070">
      <formula1>0</formula1>
      <formula2>9.99999999999999E+23</formula2>
    </dataValidation>
    <dataValidation type="decimal" allowBlank="1" showErrorMessage="1" errorTitle="Ошибка" error="Допускается ввод только неотрицательных чисел!" sqref="AC1070">
      <formula1>0</formula1>
      <formula2>9.99999999999999E+23</formula2>
    </dataValidation>
    <dataValidation type="textLength" operator="lessThanOrEqual" allowBlank="1" showInputMessage="1" showErrorMessage="1" errorTitle="Ошибка" error="Допускается ввод не более 900 символов!" sqref="K10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0">
      <formula1>"a"</formula1>
    </dataValidation>
    <dataValidation type="whole" allowBlank="1" showErrorMessage="1" errorTitle="Ошибка" error="Допускается ввод только неотрицательных целых чисел!" sqref="AI1069">
      <formula1>0</formula1>
      <formula2>9.99999999999999E+23</formula2>
    </dataValidation>
    <dataValidation type="whole" allowBlank="1" showErrorMessage="1" errorTitle="Ошибка" error="Допускается ввод только неотрицательных целых чисел!" sqref="AF1069">
      <formula1>0</formula1>
      <formula2>9.99999999999999E+23</formula2>
    </dataValidation>
    <dataValidation type="decimal" allowBlank="1" showErrorMessage="1" errorTitle="Ошибка" error="Допускается ввод только неотрицательных чисел!" sqref="AE1069">
      <formula1>0</formula1>
      <formula2>9.99999999999999E+23</formula2>
    </dataValidation>
    <dataValidation type="decimal" allowBlank="1" showErrorMessage="1" errorTitle="Ошибка" error="Допускается ввод только неотрицательных чисел!" sqref="AC1069">
      <formula1>0</formula1>
      <formula2>9.99999999999999E+23</formula2>
    </dataValidation>
    <dataValidation type="textLength" operator="lessThanOrEqual" allowBlank="1" showInputMessage="1" showErrorMessage="1" errorTitle="Ошибка" error="Допускается ввод не более 900 символов!" sqref="K10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9">
      <formula1>"a"</formula1>
    </dataValidation>
    <dataValidation type="whole" allowBlank="1" showErrorMessage="1" errorTitle="Ошибка" error="Допускается ввод только неотрицательных целых чисел!" sqref="AI1063">
      <formula1>0</formula1>
      <formula2>9.99999999999999E+23</formula2>
    </dataValidation>
    <dataValidation type="whole" allowBlank="1" showErrorMessage="1" errorTitle="Ошибка" error="Допускается ввод только неотрицательных целых чисел!" sqref="AF1063">
      <formula1>0</formula1>
      <formula2>9.99999999999999E+23</formula2>
    </dataValidation>
    <dataValidation type="decimal" allowBlank="1" showErrorMessage="1" errorTitle="Ошибка" error="Допускается ввод только неотрицательных чисел!" sqref="AE1063">
      <formula1>0</formula1>
      <formula2>9.99999999999999E+23</formula2>
    </dataValidation>
    <dataValidation type="decimal" allowBlank="1" showErrorMessage="1" errorTitle="Ошибка" error="Допускается ввод только неотрицательных чисел!" sqref="AC1063">
      <formula1>0</formula1>
      <formula2>9.99999999999999E+23</formula2>
    </dataValidation>
    <dataValidation type="textLength" operator="lessThanOrEqual" allowBlank="1" showInputMessage="1" showErrorMessage="1" errorTitle="Ошибка" error="Допускается ввод не более 900 символов!" sqref="K10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3">
      <formula1>"a"</formula1>
    </dataValidation>
    <dataValidation type="whole" allowBlank="1" showErrorMessage="1" errorTitle="Ошибка" error="Допускается ввод только неотрицательных целых чисел!" sqref="AI1062">
      <formula1>0</formula1>
      <formula2>9.99999999999999E+23</formula2>
    </dataValidation>
    <dataValidation type="whole" allowBlank="1" showErrorMessage="1" errorTitle="Ошибка" error="Допускается ввод только неотрицательных целых чисел!" sqref="AF1062">
      <formula1>0</formula1>
      <formula2>9.99999999999999E+23</formula2>
    </dataValidation>
    <dataValidation type="decimal" allowBlank="1" showErrorMessage="1" errorTitle="Ошибка" error="Допускается ввод только неотрицательных чисел!" sqref="AE1062">
      <formula1>0</formula1>
      <formula2>9.99999999999999E+23</formula2>
    </dataValidation>
    <dataValidation type="decimal" allowBlank="1" showErrorMessage="1" errorTitle="Ошибка" error="Допускается ввод только неотрицательных чисел!" sqref="AC1062">
      <formula1>0</formula1>
      <formula2>9.99999999999999E+23</formula2>
    </dataValidation>
    <dataValidation type="textLength" operator="lessThanOrEqual" allowBlank="1" showInputMessage="1" showErrorMessage="1" errorTitle="Ошибка" error="Допускается ввод не более 900 символов!" sqref="K10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2">
      <formula1>"a"</formula1>
    </dataValidation>
    <dataValidation type="whole" allowBlank="1" showErrorMessage="1" errorTitle="Ошибка" error="Допускается ввод только неотрицательных целых чисел!" sqref="AI1056">
      <formula1>0</formula1>
      <formula2>9.99999999999999E+23</formula2>
    </dataValidation>
    <dataValidation type="whole" allowBlank="1" showErrorMessage="1" errorTitle="Ошибка" error="Допускается ввод только неотрицательных целых чисел!" sqref="AF1056">
      <formula1>0</formula1>
      <formula2>9.99999999999999E+23</formula2>
    </dataValidation>
    <dataValidation type="decimal" allowBlank="1" showErrorMessage="1" errorTitle="Ошибка" error="Допускается ввод только неотрицательных чисел!" sqref="AE1056">
      <formula1>0</formula1>
      <formula2>9.99999999999999E+23</formula2>
    </dataValidation>
    <dataValidation type="decimal" allowBlank="1" showErrorMessage="1" errorTitle="Ошибка" error="Допускается ввод только неотрицательных чисел!" sqref="AC1056">
      <formula1>0</formula1>
      <formula2>9.99999999999999E+23</formula2>
    </dataValidation>
    <dataValidation type="textLength" operator="lessThanOrEqual" allowBlank="1" showInputMessage="1" showErrorMessage="1" errorTitle="Ошибка" error="Допускается ввод не более 900 символов!" sqref="K10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6">
      <formula1>"a"</formula1>
    </dataValidation>
    <dataValidation type="whole" allowBlank="1" showErrorMessage="1" errorTitle="Ошибка" error="Допускается ввод только неотрицательных целых чисел!" sqref="AI1055">
      <formula1>0</formula1>
      <formula2>9.99999999999999E+23</formula2>
    </dataValidation>
    <dataValidation type="whole" allowBlank="1" showErrorMessage="1" errorTitle="Ошибка" error="Допускается ввод только неотрицательных целых чисел!" sqref="AF1055">
      <formula1>0</formula1>
      <formula2>9.99999999999999E+23</formula2>
    </dataValidation>
    <dataValidation type="decimal" allowBlank="1" showErrorMessage="1" errorTitle="Ошибка" error="Допускается ввод только неотрицательных чисел!" sqref="AE1055">
      <formula1>0</formula1>
      <formula2>9.99999999999999E+23</formula2>
    </dataValidation>
    <dataValidation type="decimal" allowBlank="1" showErrorMessage="1" errorTitle="Ошибка" error="Допускается ввод только неотрицательных чисел!" sqref="AC1055">
      <formula1>0</formula1>
      <formula2>9.99999999999999E+23</formula2>
    </dataValidation>
    <dataValidation type="textLength" operator="lessThanOrEqual" allowBlank="1" showInputMessage="1" showErrorMessage="1" errorTitle="Ошибка" error="Допускается ввод не более 900 символов!" sqref="K10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5">
      <formula1>"a"</formula1>
    </dataValidation>
    <dataValidation type="whole" allowBlank="1" showErrorMessage="1" errorTitle="Ошибка" error="Допускается ввод только неотрицательных целых чисел!" sqref="AI1049">
      <formula1>0</formula1>
      <formula2>9.99999999999999E+23</formula2>
    </dataValidation>
    <dataValidation type="whole" allowBlank="1" showErrorMessage="1" errorTitle="Ошибка" error="Допускается ввод только неотрицательных целых чисел!" sqref="AF1049">
      <formula1>0</formula1>
      <formula2>9.99999999999999E+23</formula2>
    </dataValidation>
    <dataValidation type="decimal" allowBlank="1" showErrorMessage="1" errorTitle="Ошибка" error="Допускается ввод только неотрицательных чисел!" sqref="AE1049">
      <formula1>0</formula1>
      <formula2>9.99999999999999E+23</formula2>
    </dataValidation>
    <dataValidation type="decimal" allowBlank="1" showErrorMessage="1" errorTitle="Ошибка" error="Допускается ввод только неотрицательных чисел!" sqref="AC1049">
      <formula1>0</formula1>
      <formula2>9.99999999999999E+23</formula2>
    </dataValidation>
    <dataValidation type="textLength" operator="lessThanOrEqual" allowBlank="1" showInputMessage="1" showErrorMessage="1" errorTitle="Ошибка" error="Допускается ввод не более 900 символов!" sqref="K10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9">
      <formula1>"a"</formula1>
    </dataValidation>
    <dataValidation type="whole" allowBlank="1" showErrorMessage="1" errorTitle="Ошибка" error="Допускается ввод только неотрицательных целых чисел!" sqref="AI1048">
      <formula1>0</formula1>
      <formula2>9.99999999999999E+23</formula2>
    </dataValidation>
    <dataValidation type="whole" allowBlank="1" showErrorMessage="1" errorTitle="Ошибка" error="Допускается ввод только неотрицательных целых чисел!" sqref="AF1048">
      <formula1>0</formula1>
      <formula2>9.99999999999999E+23</formula2>
    </dataValidation>
    <dataValidation type="decimal" allowBlank="1" showErrorMessage="1" errorTitle="Ошибка" error="Допускается ввод только неотрицательных чисел!" sqref="AE1048">
      <formula1>0</formula1>
      <formula2>9.99999999999999E+23</formula2>
    </dataValidation>
    <dataValidation type="decimal" allowBlank="1" showErrorMessage="1" errorTitle="Ошибка" error="Допускается ввод только неотрицательных чисел!" sqref="AC1048">
      <formula1>0</formula1>
      <formula2>9.99999999999999E+23</formula2>
    </dataValidation>
    <dataValidation type="textLength" operator="lessThanOrEqual" allowBlank="1" showInputMessage="1" showErrorMessage="1" errorTitle="Ошибка" error="Допускается ввод не более 900 символов!" sqref="K10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8">
      <formula1>"a"</formula1>
    </dataValidation>
    <dataValidation type="whole" allowBlank="1" showErrorMessage="1" errorTitle="Ошибка" error="Допускается ввод только неотрицательных целых чисел!" sqref="AI1042">
      <formula1>0</formula1>
      <formula2>9.99999999999999E+23</formula2>
    </dataValidation>
    <dataValidation type="whole" allowBlank="1" showErrorMessage="1" errorTitle="Ошибка" error="Допускается ввод только неотрицательных целых чисел!" sqref="AF1042">
      <formula1>0</formula1>
      <formula2>9.99999999999999E+23</formula2>
    </dataValidation>
    <dataValidation type="decimal" allowBlank="1" showErrorMessage="1" errorTitle="Ошибка" error="Допускается ввод только неотрицательных чисел!" sqref="AE1042">
      <formula1>0</formula1>
      <formula2>9.99999999999999E+23</formula2>
    </dataValidation>
    <dataValidation type="decimal" allowBlank="1" showErrorMessage="1" errorTitle="Ошибка" error="Допускается ввод только неотрицательных чисел!" sqref="AC1042">
      <formula1>0</formula1>
      <formula2>9.99999999999999E+23</formula2>
    </dataValidation>
    <dataValidation type="textLength" operator="lessThanOrEqual" allowBlank="1" showInputMessage="1" showErrorMessage="1" errorTitle="Ошибка" error="Допускается ввод не более 900 символов!" sqref="K10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2">
      <formula1>"a"</formula1>
    </dataValidation>
    <dataValidation type="whole" allowBlank="1" showErrorMessage="1" errorTitle="Ошибка" error="Допускается ввод только неотрицательных целых чисел!" sqref="AI1041">
      <formula1>0</formula1>
      <formula2>9.99999999999999E+23</formula2>
    </dataValidation>
    <dataValidation type="whole" allowBlank="1" showErrorMessage="1" errorTitle="Ошибка" error="Допускается ввод только неотрицательных целых чисел!" sqref="AF1041">
      <formula1>0</formula1>
      <formula2>9.99999999999999E+23</formula2>
    </dataValidation>
    <dataValidation type="decimal" allowBlank="1" showErrorMessage="1" errorTitle="Ошибка" error="Допускается ввод только неотрицательных чисел!" sqref="AE1041">
      <formula1>0</formula1>
      <formula2>9.99999999999999E+23</formula2>
    </dataValidation>
    <dataValidation type="decimal" allowBlank="1" showErrorMessage="1" errorTitle="Ошибка" error="Допускается ввод только неотрицательных чисел!" sqref="AC1041">
      <formula1>0</formula1>
      <formula2>9.99999999999999E+23</formula2>
    </dataValidation>
    <dataValidation type="textLength" operator="lessThanOrEqual" allowBlank="1" showInputMessage="1" showErrorMessage="1" errorTitle="Ошибка" error="Допускается ввод не более 900 символов!" sqref="K10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1">
      <formula1>"a"</formula1>
    </dataValidation>
    <dataValidation type="whole" allowBlank="1" showErrorMessage="1" errorTitle="Ошибка" error="Допускается ввод только неотрицательных целых чисел!" sqref="AI1035">
      <formula1>0</formula1>
      <formula2>9.99999999999999E+23</formula2>
    </dataValidation>
    <dataValidation type="whole" allowBlank="1" showErrorMessage="1" errorTitle="Ошибка" error="Допускается ввод только неотрицательных целых чисел!" sqref="AF1035">
      <formula1>0</formula1>
      <formula2>9.99999999999999E+23</formula2>
    </dataValidation>
    <dataValidation type="decimal" allowBlank="1" showErrorMessage="1" errorTitle="Ошибка" error="Допускается ввод только неотрицательных чисел!" sqref="AE1035">
      <formula1>0</formula1>
      <formula2>9.99999999999999E+23</formula2>
    </dataValidation>
    <dataValidation type="decimal" allowBlank="1" showErrorMessage="1" errorTitle="Ошибка" error="Допускается ввод только неотрицательных чисел!" sqref="AC1035">
      <formula1>0</formula1>
      <formula2>9.99999999999999E+23</formula2>
    </dataValidation>
    <dataValidation type="textLength" operator="lessThanOrEqual" allowBlank="1" showInputMessage="1" showErrorMessage="1" errorTitle="Ошибка" error="Допускается ввод не более 900 символов!" sqref="K10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5">
      <formula1>"a"</formula1>
    </dataValidation>
    <dataValidation type="whole" allowBlank="1" showErrorMessage="1" errorTitle="Ошибка" error="Допускается ввод только неотрицательных целых чисел!" sqref="AI1034">
      <formula1>0</formula1>
      <formula2>9.99999999999999E+23</formula2>
    </dataValidation>
    <dataValidation type="whole" allowBlank="1" showErrorMessage="1" errorTitle="Ошибка" error="Допускается ввод только неотрицательных целых чисел!" sqref="AF1034">
      <formula1>0</formula1>
      <formula2>9.99999999999999E+23</formula2>
    </dataValidation>
    <dataValidation type="decimal" allowBlank="1" showErrorMessage="1" errorTitle="Ошибка" error="Допускается ввод только неотрицательных чисел!" sqref="AE1034">
      <formula1>0</formula1>
      <formula2>9.99999999999999E+23</formula2>
    </dataValidation>
    <dataValidation type="decimal" allowBlank="1" showErrorMessage="1" errorTitle="Ошибка" error="Допускается ввод только неотрицательных чисел!" sqref="AC1034">
      <formula1>0</formula1>
      <formula2>9.99999999999999E+23</formula2>
    </dataValidation>
    <dataValidation type="textLength" operator="lessThanOrEqual" allowBlank="1" showInputMessage="1" showErrorMessage="1" errorTitle="Ошибка" error="Допускается ввод не более 900 символов!" sqref="K10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4">
      <formula1>"a"</formula1>
    </dataValidation>
    <dataValidation type="whole" allowBlank="1" showErrorMessage="1" errorTitle="Ошибка" error="Допускается ввод только неотрицательных целых чисел!" sqref="AI1028">
      <formula1>0</formula1>
      <formula2>9.99999999999999E+23</formula2>
    </dataValidation>
    <dataValidation type="whole" allowBlank="1" showErrorMessage="1" errorTitle="Ошибка" error="Допускается ввод только неотрицательных целых чисел!" sqref="AF1028">
      <formula1>0</formula1>
      <formula2>9.99999999999999E+23</formula2>
    </dataValidation>
    <dataValidation type="decimal" allowBlank="1" showErrorMessage="1" errorTitle="Ошибка" error="Допускается ввод только неотрицательных чисел!" sqref="AE1028">
      <formula1>0</formula1>
      <formula2>9.99999999999999E+23</formula2>
    </dataValidation>
    <dataValidation type="decimal" allowBlank="1" showErrorMessage="1" errorTitle="Ошибка" error="Допускается ввод только неотрицательных чисел!" sqref="AC1028">
      <formula1>0</formula1>
      <formula2>9.99999999999999E+23</formula2>
    </dataValidation>
    <dataValidation type="textLength" operator="lessThanOrEqual" allowBlank="1" showInputMessage="1" showErrorMessage="1" errorTitle="Ошибка" error="Допускается ввод не более 900 символов!" sqref="K10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8">
      <formula1>"a"</formula1>
    </dataValidation>
    <dataValidation type="whole" allowBlank="1" showErrorMessage="1" errorTitle="Ошибка" error="Допускается ввод только неотрицательных целых чисел!" sqref="AI1027">
      <formula1>0</formula1>
      <formula2>9.99999999999999E+23</formula2>
    </dataValidation>
    <dataValidation type="whole" allowBlank="1" showErrorMessage="1" errorTitle="Ошибка" error="Допускается ввод только неотрицательных целых чисел!" sqref="AF1027">
      <formula1>0</formula1>
      <formula2>9.99999999999999E+23</formula2>
    </dataValidation>
    <dataValidation type="decimal" allowBlank="1" showErrorMessage="1" errorTitle="Ошибка" error="Допускается ввод только неотрицательных чисел!" sqref="AE1027">
      <formula1>0</formula1>
      <formula2>9.99999999999999E+23</formula2>
    </dataValidation>
    <dataValidation type="decimal" allowBlank="1" showErrorMessage="1" errorTitle="Ошибка" error="Допускается ввод только неотрицательных чисел!" sqref="AC1027">
      <formula1>0</formula1>
      <formula2>9.99999999999999E+23</formula2>
    </dataValidation>
    <dataValidation type="textLength" operator="lessThanOrEqual" allowBlank="1" showInputMessage="1" showErrorMessage="1" errorTitle="Ошибка" error="Допускается ввод не более 900 символов!" sqref="K10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7">
      <formula1>"a"</formula1>
    </dataValidation>
    <dataValidation type="whole" allowBlank="1" showErrorMessage="1" errorTitle="Ошибка" error="Допускается ввод только неотрицательных целых чисел!" sqref="AI1021">
      <formula1>0</formula1>
      <formula2>9.99999999999999E+23</formula2>
    </dataValidation>
    <dataValidation type="whole" allowBlank="1" showErrorMessage="1" errorTitle="Ошибка" error="Допускается ввод только неотрицательных целых чисел!" sqref="AF1021">
      <formula1>0</formula1>
      <formula2>9.99999999999999E+23</formula2>
    </dataValidation>
    <dataValidation type="decimal" allowBlank="1" showErrorMessage="1" errorTitle="Ошибка" error="Допускается ввод только неотрицательных чисел!" sqref="AE1021">
      <formula1>0</formula1>
      <formula2>9.99999999999999E+23</formula2>
    </dataValidation>
    <dataValidation type="decimal" allowBlank="1" showErrorMessage="1" errorTitle="Ошибка" error="Допускается ввод только неотрицательных чисел!" sqref="AC1021">
      <formula1>0</formula1>
      <formula2>9.99999999999999E+23</formula2>
    </dataValidation>
    <dataValidation type="textLength" operator="lessThanOrEqual" allowBlank="1" showInputMessage="1" showErrorMessage="1" errorTitle="Ошибка" error="Допускается ввод не более 900 символов!" sqref="K10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1">
      <formula1>"a"</formula1>
    </dataValidation>
    <dataValidation type="whole" allowBlank="1" showErrorMessage="1" errorTitle="Ошибка" error="Допускается ввод только неотрицательных целых чисел!" sqref="AI1020">
      <formula1>0</formula1>
      <formula2>9.99999999999999E+23</formula2>
    </dataValidation>
    <dataValidation type="whole" allowBlank="1" showErrorMessage="1" errorTitle="Ошибка" error="Допускается ввод только неотрицательных целых чисел!" sqref="AF1020">
      <formula1>0</formula1>
      <formula2>9.99999999999999E+23</formula2>
    </dataValidation>
    <dataValidation type="decimal" allowBlank="1" showErrorMessage="1" errorTitle="Ошибка" error="Допускается ввод только неотрицательных чисел!" sqref="AE1020">
      <formula1>0</formula1>
      <formula2>9.99999999999999E+23</formula2>
    </dataValidation>
    <dataValidation type="decimal" allowBlank="1" showErrorMessage="1" errorTitle="Ошибка" error="Допускается ввод только неотрицательных чисел!" sqref="AC1020">
      <formula1>0</formula1>
      <formula2>9.99999999999999E+23</formula2>
    </dataValidation>
    <dataValidation type="textLength" operator="lessThanOrEqual" allowBlank="1" showInputMessage="1" showErrorMessage="1" errorTitle="Ошибка" error="Допускается ввод не более 900 символов!" sqref="K10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0">
      <formula1>"a"</formula1>
    </dataValidation>
    <dataValidation type="whole" allowBlank="1" showErrorMessage="1" errorTitle="Ошибка" error="Допускается ввод только неотрицательных целых чисел!" sqref="AI1014">
      <formula1>0</formula1>
      <formula2>9.99999999999999E+23</formula2>
    </dataValidation>
    <dataValidation type="whole" allowBlank="1" showErrorMessage="1" errorTitle="Ошибка" error="Допускается ввод только неотрицательных целых чисел!" sqref="AF1014">
      <formula1>0</formula1>
      <formula2>9.99999999999999E+23</formula2>
    </dataValidation>
    <dataValidation type="decimal" allowBlank="1" showErrorMessage="1" errorTitle="Ошибка" error="Допускается ввод только неотрицательных чисел!" sqref="AE1014">
      <formula1>0</formula1>
      <formula2>9.99999999999999E+23</formula2>
    </dataValidation>
    <dataValidation type="decimal" allowBlank="1" showErrorMessage="1" errorTitle="Ошибка" error="Допускается ввод только неотрицательных чисел!" sqref="AC1014">
      <formula1>0</formula1>
      <formula2>9.99999999999999E+23</formula2>
    </dataValidation>
    <dataValidation type="textLength" operator="lessThanOrEqual" allowBlank="1" showInputMessage="1" showErrorMessage="1" errorTitle="Ошибка" error="Допускается ввод не более 900 символов!" sqref="K10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4">
      <formula1>"a"</formula1>
    </dataValidation>
    <dataValidation type="whole" allowBlank="1" showErrorMessage="1" errorTitle="Ошибка" error="Допускается ввод только неотрицательных целых чисел!" sqref="AI1013">
      <formula1>0</formula1>
      <formula2>9.99999999999999E+23</formula2>
    </dataValidation>
    <dataValidation type="whole" allowBlank="1" showErrorMessage="1" errorTitle="Ошибка" error="Допускается ввод только неотрицательных целых чисел!" sqref="AF1013">
      <formula1>0</formula1>
      <formula2>9.99999999999999E+23</formula2>
    </dataValidation>
    <dataValidation type="decimal" allowBlank="1" showErrorMessage="1" errorTitle="Ошибка" error="Допускается ввод только неотрицательных чисел!" sqref="AE1013">
      <formula1>0</formula1>
      <formula2>9.99999999999999E+23</formula2>
    </dataValidation>
    <dataValidation type="decimal" allowBlank="1" showErrorMessage="1" errorTitle="Ошибка" error="Допускается ввод только неотрицательных чисел!" sqref="AC1013">
      <formula1>0</formula1>
      <formula2>9.99999999999999E+23</formula2>
    </dataValidation>
    <dataValidation type="textLength" operator="lessThanOrEqual" allowBlank="1" showInputMessage="1" showErrorMessage="1" errorTitle="Ошибка" error="Допускается ввод не более 900 символов!" sqref="K10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3">
      <formula1>"a"</formula1>
    </dataValidation>
    <dataValidation type="whole" allowBlank="1" showErrorMessage="1" errorTitle="Ошибка" error="Допускается ввод только неотрицательных целых чисел!" sqref="AI1007">
      <formula1>0</formula1>
      <formula2>9.99999999999999E+23</formula2>
    </dataValidation>
    <dataValidation type="whole" allowBlank="1" showErrorMessage="1" errorTitle="Ошибка" error="Допускается ввод только неотрицательных целых чисел!" sqref="AF1007">
      <formula1>0</formula1>
      <formula2>9.99999999999999E+23</formula2>
    </dataValidation>
    <dataValidation type="decimal" allowBlank="1" showErrorMessage="1" errorTitle="Ошибка" error="Допускается ввод только неотрицательных чисел!" sqref="AE1007">
      <formula1>0</formula1>
      <formula2>9.99999999999999E+23</formula2>
    </dataValidation>
    <dataValidation type="decimal" allowBlank="1" showErrorMessage="1" errorTitle="Ошибка" error="Допускается ввод только неотрицательных чисел!" sqref="AC1007">
      <formula1>0</formula1>
      <formula2>9.99999999999999E+23</formula2>
    </dataValidation>
    <dataValidation type="textLength" operator="lessThanOrEqual" allowBlank="1" showInputMessage="1" showErrorMessage="1" errorTitle="Ошибка" error="Допускается ввод не более 900 символов!" sqref="K10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7">
      <formula1>"a"</formula1>
    </dataValidation>
    <dataValidation type="whole" allowBlank="1" showErrorMessage="1" errorTitle="Ошибка" error="Допускается ввод только неотрицательных целых чисел!" sqref="AI1006">
      <formula1>0</formula1>
      <formula2>9.99999999999999E+23</formula2>
    </dataValidation>
    <dataValidation type="whole" allowBlank="1" showErrorMessage="1" errorTitle="Ошибка" error="Допускается ввод только неотрицательных целых чисел!" sqref="AF1006">
      <formula1>0</formula1>
      <formula2>9.99999999999999E+23</formula2>
    </dataValidation>
    <dataValidation type="decimal" allowBlank="1" showErrorMessage="1" errorTitle="Ошибка" error="Допускается ввод только неотрицательных чисел!" sqref="AE1006">
      <formula1>0</formula1>
      <formula2>9.99999999999999E+23</formula2>
    </dataValidation>
    <dataValidation type="decimal" allowBlank="1" showErrorMessage="1" errorTitle="Ошибка" error="Допускается ввод только неотрицательных чисел!" sqref="AC1006">
      <formula1>0</formula1>
      <formula2>9.99999999999999E+23</formula2>
    </dataValidation>
    <dataValidation type="textLength" operator="lessThanOrEqual" allowBlank="1" showInputMessage="1" showErrorMessage="1" errorTitle="Ошибка" error="Допускается ввод не более 900 символов!" sqref="K10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6">
      <formula1>"a"</formula1>
    </dataValidation>
    <dataValidation type="whole" allowBlank="1" showErrorMessage="1" errorTitle="Ошибка" error="Допускается ввод только неотрицательных целых чисел!" sqref="AI1000">
      <formula1>0</formula1>
      <formula2>9.99999999999999E+23</formula2>
    </dataValidation>
    <dataValidation type="whole" allowBlank="1" showErrorMessage="1" errorTitle="Ошибка" error="Допускается ввод только неотрицательных целых чисел!" sqref="AF1000">
      <formula1>0</formula1>
      <formula2>9.99999999999999E+23</formula2>
    </dataValidation>
    <dataValidation type="decimal" allowBlank="1" showErrorMessage="1" errorTitle="Ошибка" error="Допускается ввод только неотрицательных чисел!" sqref="AE1000">
      <formula1>0</formula1>
      <formula2>9.99999999999999E+23</formula2>
    </dataValidation>
    <dataValidation type="decimal" allowBlank="1" showErrorMessage="1" errorTitle="Ошибка" error="Допускается ввод только неотрицательных чисел!" sqref="AC1000">
      <formula1>0</formula1>
      <formula2>9.99999999999999E+23</formula2>
    </dataValidation>
    <dataValidation type="textLength" operator="lessThanOrEqual" allowBlank="1" showInputMessage="1" showErrorMessage="1" errorTitle="Ошибка" error="Допускается ввод не более 900 символов!" sqref="K1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0">
      <formula1>"a"</formula1>
    </dataValidation>
    <dataValidation type="whole" allowBlank="1" showErrorMessage="1" errorTitle="Ошибка" error="Допускается ввод только неотрицательных целых чисел!" sqref="AI999">
      <formula1>0</formula1>
      <formula2>9.99999999999999E+23</formula2>
    </dataValidation>
    <dataValidation type="whole" allowBlank="1" showErrorMessage="1" errorTitle="Ошибка" error="Допускается ввод только неотрицательных целых чисел!" sqref="AF999">
      <formula1>0</formula1>
      <formula2>9.99999999999999E+23</formula2>
    </dataValidation>
    <dataValidation type="decimal" allowBlank="1" showErrorMessage="1" errorTitle="Ошибка" error="Допускается ввод только неотрицательных чисел!" sqref="AE999">
      <formula1>0</formula1>
      <formula2>9.99999999999999E+23</formula2>
    </dataValidation>
    <dataValidation type="decimal" allowBlank="1" showErrorMessage="1" errorTitle="Ошибка" error="Допускается ввод только неотрицательных чисел!" sqref="AC999">
      <formula1>0</formula1>
      <formula2>9.99999999999999E+23</formula2>
    </dataValidation>
    <dataValidation type="textLength" operator="lessThanOrEqual" allowBlank="1" showInputMessage="1" showErrorMessage="1" errorTitle="Ошибка" error="Допускается ввод не более 900 символов!" sqref="K9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9">
      <formula1>"a"</formula1>
    </dataValidation>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decimal" allowBlank="1" showErrorMessage="1" errorTitle="Ошибка" error="Допускается ввод только неотрицательных чисел!" sqref="AE993">
      <formula1>0</formula1>
      <formula2>9.99999999999999E+23</formula2>
    </dataValidation>
    <dataValidation type="decimal" allowBlank="1" showErrorMessage="1" errorTitle="Ошибка" error="Допускается ввод только неотрицательных чисел!" sqref="AC993">
      <formula1>0</formula1>
      <formula2>9.99999999999999E+23</formula2>
    </dataValidation>
    <dataValidation type="textLength" operator="lessThanOrEqual" allowBlank="1" showInputMessage="1" showErrorMessage="1" errorTitle="Ошибка" error="Допускается ввод не более 900 символов!" sqref="K9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3">
      <formula1>"a"</formula1>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decimal" allowBlank="1" showErrorMessage="1" errorTitle="Ошибка" error="Допускается ввод только неотрицательных чисел!" sqref="AE992">
      <formula1>0</formula1>
      <formula2>9.99999999999999E+23</formula2>
    </dataValidation>
    <dataValidation type="decimal" allowBlank="1" showErrorMessage="1" errorTitle="Ошибка" error="Допускается ввод только неотрицательных чисел!" sqref="AC992">
      <formula1>0</formula1>
      <formula2>9.99999999999999E+23</formula2>
    </dataValidation>
    <dataValidation type="textLength" operator="lessThanOrEqual" allowBlank="1" showInputMessage="1" showErrorMessage="1" errorTitle="Ошибка" error="Допускается ввод не более 900 символов!" sqref="K9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decimal" allowBlank="1" showErrorMessage="1" errorTitle="Ошибка" error="Допускается ввод только неотрицательных чисел!" sqref="AE986">
      <formula1>0</formula1>
      <formula2>9.99999999999999E+23</formula2>
    </dataValidation>
    <dataValidation type="decimal" allowBlank="1" showErrorMessage="1" errorTitle="Ошибка" error="Допускается ввод только неотрицательных чисел!" sqref="AC986">
      <formula1>0</formula1>
      <formula2>9.99999999999999E+23</formula2>
    </dataValidation>
    <dataValidation type="textLength" operator="lessThanOrEqual" allowBlank="1" showInputMessage="1" showErrorMessage="1" errorTitle="Ошибка" error="Допускается ввод не более 900 символов!" sqref="K9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6">
      <formula1>"a"</formula1>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decimal" allowBlank="1" showErrorMessage="1" errorTitle="Ошибка" error="Допускается ввод только неотрицательных чисел!" sqref="AE985">
      <formula1>0</formula1>
      <formula2>9.99999999999999E+23</formula2>
    </dataValidation>
    <dataValidation type="decimal" allowBlank="1" showErrorMessage="1" errorTitle="Ошибка" error="Допускается ввод только неотрицательных чисел!" sqref="AC985">
      <formula1>0</formula1>
      <formula2>9.99999999999999E+23</formula2>
    </dataValidation>
    <dataValidation type="textLength" operator="lessThanOrEqual" allowBlank="1" showInputMessage="1" showErrorMessage="1" errorTitle="Ошибка" error="Допускается ввод не более 900 символов!" sqref="K9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5">
      <formula1>"a"</formula1>
    </dataValidation>
    <dataValidation type="whole" allowBlank="1" showErrorMessage="1" errorTitle="Ошибка" error="Допускается ввод только неотрицательных целых чисел!" sqref="AI1155">
      <formula1>0</formula1>
      <formula2>9.99999999999999E+23</formula2>
    </dataValidation>
    <dataValidation type="whole" allowBlank="1" showErrorMessage="1" errorTitle="Ошибка" error="Допускается ввод только неотрицательных целых чисел!" sqref="AF1155">
      <formula1>0</formula1>
      <formula2>9.99999999999999E+23</formula2>
    </dataValidation>
    <dataValidation type="whole" allowBlank="1" showErrorMessage="1" errorTitle="Ошибка" error="Допускается ввод только неотрицательных целых чисел!" sqref="AI1154">
      <formula1>0</formula1>
      <formula2>9.99999999999999E+23</formula2>
    </dataValidation>
    <dataValidation type="whole" allowBlank="1" showErrorMessage="1" errorTitle="Ошибка" error="Допускается ввод только неотрицательных целых чисел!" sqref="AF1154">
      <formula1>0</formula1>
      <formula2>9.99999999999999E+23</formula2>
    </dataValidation>
    <dataValidation type="textLength" operator="lessThanOrEqual" allowBlank="1" showInputMessage="1" showErrorMessage="1" errorTitle="Ошибка" error="Допускается ввод не более 900 символов!" sqref="K1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4">
      <formula1>"a"</formula1>
    </dataValidation>
    <dataValidation type="whole" allowBlank="1" showErrorMessage="1" errorTitle="Ошибка" error="Допускается ввод только неотрицательных целых чисел!" sqref="AI1151">
      <formula1>0</formula1>
      <formula2>9.99999999999999E+23</formula2>
    </dataValidation>
    <dataValidation type="whole" allowBlank="1" showErrorMessage="1" errorTitle="Ошибка" error="Допускается ввод только неотрицательных целых чисел!" sqref="AF1151">
      <formula1>0</formula1>
      <formula2>9.99999999999999E+23</formula2>
    </dataValidation>
    <dataValidation type="decimal" allowBlank="1" showErrorMessage="1" errorTitle="Ошибка" error="Допускается ввод только неотрицательных чисел!" sqref="AE1151">
      <formula1>0</formula1>
      <formula2>9.99999999999999E+23</formula2>
    </dataValidation>
    <dataValidation type="decimal" allowBlank="1" showErrorMessage="1" errorTitle="Ошибка" error="Допускается ввод только неотрицательных чисел!" sqref="AC1151">
      <formula1>0</formula1>
      <formula2>9.99999999999999E+23</formula2>
    </dataValidation>
    <dataValidation type="textLength" operator="lessThanOrEqual" allowBlank="1" showInputMessage="1" showErrorMessage="1" errorTitle="Ошибка" error="Допускается ввод не более 900 символов!" sqref="K1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1">
      <formula1>"a"</formula1>
    </dataValidation>
    <dataValidation type="whole" allowBlank="1" showErrorMessage="1" errorTitle="Ошибка" error="Допускается ввод только неотрицательных целых чисел!" sqref="AI1150">
      <formula1>0</formula1>
      <formula2>9.99999999999999E+23</formula2>
    </dataValidation>
    <dataValidation type="whole" allowBlank="1" showErrorMessage="1" errorTitle="Ошибка" error="Допускается ввод только неотрицательных целых чисел!" sqref="AF1150">
      <formula1>0</formula1>
      <formula2>9.99999999999999E+23</formula2>
    </dataValidation>
    <dataValidation type="textLength" operator="lessThanOrEqual" allowBlank="1" showInputMessage="1" showErrorMessage="1" errorTitle="Ошибка" error="Допускается ввод не более 900 символов!" sqref="K1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0">
      <formula1>"a"</formula1>
    </dataValidation>
    <dataValidation type="whole" allowBlank="1" showErrorMessage="1" errorTitle="Ошибка" error="Допускается ввод только неотрицательных целых чисел!" sqref="AI1149">
      <formula1>0</formula1>
      <formula2>9.99999999999999E+23</formula2>
    </dataValidation>
    <dataValidation type="whole" allowBlank="1" showErrorMessage="1" errorTitle="Ошибка" error="Допускается ввод только неотрицательных целых чисел!" sqref="AF1149">
      <formula1>0</formula1>
      <formula2>9.99999999999999E+23</formula2>
    </dataValidation>
    <dataValidation type="textLength" operator="lessThanOrEqual" allowBlank="1" showInputMessage="1" showErrorMessage="1" errorTitle="Ошибка" error="Допускается ввод не более 900 символов!" sqref="M1149">
      <formula1>900</formula1>
    </dataValidation>
    <dataValidation type="textLength" operator="lessThanOrEqual" allowBlank="1" showInputMessage="1" showErrorMessage="1" errorTitle="Ошибка" error="Допускается ввод не более 900 символов!" sqref="K1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9">
      <formula1>"a"</formula1>
    </dataValidation>
    <dataValidation type="whole" allowBlank="1" showErrorMessage="1" errorTitle="Ошибка" error="Допускается ввод только неотрицательных целых чисел!" sqref="AI1148">
      <formula1>0</formula1>
      <formula2>9.99999999999999E+23</formula2>
    </dataValidation>
    <dataValidation type="whole" allowBlank="1" showErrorMessage="1" errorTitle="Ошибка" error="Допускается ввод только неотрицательных целых чисел!" sqref="AF1148">
      <formula1>0</formula1>
      <formula2>9.99999999999999E+23</formula2>
    </dataValidation>
    <dataValidation type="whole" allowBlank="1" showErrorMessage="1" errorTitle="Ошибка" error="Допускается ввод только неотрицательных целых чисел!" sqref="AI1147">
      <formula1>0</formula1>
      <formula2>9.99999999999999E+23</formula2>
    </dataValidation>
    <dataValidation type="whole" allowBlank="1" showErrorMessage="1" errorTitle="Ошибка" error="Допускается ввод только неотрицательных целых чисел!" sqref="AF1147">
      <formula1>0</formula1>
      <formula2>9.99999999999999E+23</formula2>
    </dataValidation>
    <dataValidation type="textLength" operator="lessThanOrEqual" allowBlank="1" showInputMessage="1" showErrorMessage="1" errorTitle="Ошибка" error="Допускается ввод не более 900 символов!" sqref="K1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7">
      <formula1>"a"</formula1>
    </dataValidation>
    <dataValidation type="whole" allowBlank="1" showErrorMessage="1" errorTitle="Ошибка" error="Допускается ввод только неотрицательных целых чисел!" sqref="AI1144">
      <formula1>0</formula1>
      <formula2>9.99999999999999E+23</formula2>
    </dataValidation>
    <dataValidation type="whole" allowBlank="1" showErrorMessage="1" errorTitle="Ошибка" error="Допускается ввод только неотрицательных целых чисел!" sqref="AF1144">
      <formula1>0</formula1>
      <formula2>9.99999999999999E+23</formula2>
    </dataValidation>
    <dataValidation type="decimal" allowBlank="1" showErrorMessage="1" errorTitle="Ошибка" error="Допускается ввод только неотрицательных чисел!" sqref="AE1144">
      <formula1>0</formula1>
      <formula2>9.99999999999999E+23</formula2>
    </dataValidation>
    <dataValidation type="decimal" allowBlank="1" showErrorMessage="1" errorTitle="Ошибка" error="Допускается ввод только неотрицательных чисел!" sqref="AC1144">
      <formula1>0</formula1>
      <formula2>9.99999999999999E+23</formula2>
    </dataValidation>
    <dataValidation type="textLength" operator="lessThanOrEqual" allowBlank="1" showInputMessage="1" showErrorMessage="1" errorTitle="Ошибка" error="Допускается ввод не более 900 символов!" sqref="K1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4">
      <formula1>"a"</formula1>
    </dataValidation>
    <dataValidation type="whole" allowBlank="1" showErrorMessage="1" errorTitle="Ошибка" error="Допускается ввод только неотрицательных целых чисел!" sqref="AI1143">
      <formula1>0</formula1>
      <formula2>9.99999999999999E+23</formula2>
    </dataValidation>
    <dataValidation type="whole" allowBlank="1" showErrorMessage="1" errorTitle="Ошибка" error="Допускается ввод только неотрицательных целых чисел!" sqref="AF1143">
      <formula1>0</formula1>
      <formula2>9.99999999999999E+23</formula2>
    </dataValidation>
    <dataValidation type="textLength" operator="lessThanOrEqual" allowBlank="1" showInputMessage="1" showErrorMessage="1" errorTitle="Ошибка" error="Допускается ввод не более 900 символов!" sqref="K1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3">
      <formula1>"a"</formula1>
    </dataValidation>
    <dataValidation type="whole" allowBlank="1" showErrorMessage="1" errorTitle="Ошибка" error="Допускается ввод только неотрицательных целых чисел!" sqref="AI1142">
      <formula1>0</formula1>
      <formula2>9.99999999999999E+23</formula2>
    </dataValidation>
    <dataValidation type="whole" allowBlank="1" showErrorMessage="1" errorTitle="Ошибка" error="Допускается ввод только неотрицательных целых чисел!" sqref="AF1142">
      <formula1>0</formula1>
      <formula2>9.99999999999999E+23</formula2>
    </dataValidation>
    <dataValidation type="textLength" operator="lessThanOrEqual" allowBlank="1" showInputMessage="1" showErrorMessage="1" errorTitle="Ошибка" error="Допускается ввод не более 900 символов!" sqref="M1142">
      <formula1>900</formula1>
    </dataValidation>
    <dataValidation type="textLength" operator="lessThanOrEqual" allowBlank="1" showInputMessage="1" showErrorMessage="1" errorTitle="Ошибка" error="Допускается ввод не более 900 символов!" sqref="K1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2">
      <formula1>"a"</formula1>
    </dataValidation>
    <dataValidation type="whole" allowBlank="1" showErrorMessage="1" errorTitle="Ошибка" error="Допускается ввод только неотрицательных целых чисел!" sqref="AI1141">
      <formula1>0</formula1>
      <formula2>9.99999999999999E+23</formula2>
    </dataValidation>
    <dataValidation type="whole" allowBlank="1" showErrorMessage="1" errorTitle="Ошибка" error="Допускается ввод только неотрицательных целых чисел!" sqref="AF1141">
      <formula1>0</formula1>
      <formula2>9.99999999999999E+23</formula2>
    </dataValidation>
    <dataValidation type="whole" allowBlank="1" showErrorMessage="1" errorTitle="Ошибка" error="Допускается ввод только неотрицательных целых чисел!" sqref="AI1140">
      <formula1>0</formula1>
      <formula2>9.99999999999999E+23</formula2>
    </dataValidation>
    <dataValidation type="whole" allowBlank="1" showErrorMessage="1" errorTitle="Ошибка" error="Допускается ввод только неотрицательных целых чисел!" sqref="AF1140">
      <formula1>0</formula1>
      <formula2>9.99999999999999E+23</formula2>
    </dataValidation>
    <dataValidation type="textLength" operator="lessThanOrEqual" allowBlank="1" showInputMessage="1" showErrorMessage="1" errorTitle="Ошибка" error="Допускается ввод не более 900 символов!" sqref="K1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0">
      <formula1>"a"</formula1>
    </dataValidation>
    <dataValidation type="whole" allowBlank="1" showErrorMessage="1" errorTitle="Ошибка" error="Допускается ввод только неотрицательных целых чисел!" sqref="AI1137">
      <formula1>0</formula1>
      <formula2>9.99999999999999E+23</formula2>
    </dataValidation>
    <dataValidation type="whole" allowBlank="1" showErrorMessage="1" errorTitle="Ошибка" error="Допускается ввод только неотрицательных целых чисел!" sqref="AF1137">
      <formula1>0</formula1>
      <formula2>9.99999999999999E+23</formula2>
    </dataValidation>
    <dataValidation type="decimal" allowBlank="1" showErrorMessage="1" errorTitle="Ошибка" error="Допускается ввод только неотрицательных чисел!" sqref="AE1137">
      <formula1>0</formula1>
      <formula2>9.99999999999999E+23</formula2>
    </dataValidation>
    <dataValidation type="decimal" allowBlank="1" showErrorMessage="1" errorTitle="Ошибка" error="Допускается ввод только неотрицательных чисел!" sqref="AC1137">
      <formula1>0</formula1>
      <formula2>9.99999999999999E+23</formula2>
    </dataValidation>
    <dataValidation type="textLength" operator="lessThanOrEqual" allowBlank="1" showInputMessage="1" showErrorMessage="1" errorTitle="Ошибка" error="Допускается ввод не более 900 символов!" sqref="K1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7">
      <formula1>"a"</formula1>
    </dataValidation>
    <dataValidation type="whole" allowBlank="1" showErrorMessage="1" errorTitle="Ошибка" error="Допускается ввод только неотрицательных целых чисел!" sqref="AI1136">
      <formula1>0</formula1>
      <formula2>9.99999999999999E+23</formula2>
    </dataValidation>
    <dataValidation type="whole" allowBlank="1" showErrorMessage="1" errorTitle="Ошибка" error="Допускается ввод только неотрицательных целых чисел!" sqref="AF1136">
      <formula1>0</formula1>
      <formula2>9.99999999999999E+23</formula2>
    </dataValidation>
    <dataValidation type="textLength" operator="lessThanOrEqual" allowBlank="1" showInputMessage="1" showErrorMessage="1" errorTitle="Ошибка" error="Допускается ввод не более 900 символов!" sqref="K1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6">
      <formula1>"a"</formula1>
    </dataValidation>
    <dataValidation type="whole" allowBlank="1" showErrorMessage="1" errorTitle="Ошибка" error="Допускается ввод только неотрицательных целых чисел!" sqref="AI1135">
      <formula1>0</formula1>
      <formula2>9.99999999999999E+23</formula2>
    </dataValidation>
    <dataValidation type="whole" allowBlank="1" showErrorMessage="1" errorTitle="Ошибка" error="Допускается ввод только неотрицательных целых чисел!" sqref="AF1135">
      <formula1>0</formula1>
      <formula2>9.99999999999999E+23</formula2>
    </dataValidation>
    <dataValidation type="textLength" operator="lessThanOrEqual" allowBlank="1" showInputMessage="1" showErrorMessage="1" errorTitle="Ошибка" error="Допускается ввод не более 900 символов!" sqref="M1135">
      <formula1>900</formula1>
    </dataValidation>
    <dataValidation type="textLength" operator="lessThanOrEqual" allowBlank="1" showInputMessage="1" showErrorMessage="1" errorTitle="Ошибка" error="Допускается ввод не более 900 символов!" sqref="K1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5">
      <formula1>"a"</formula1>
    </dataValidation>
    <dataValidation type="whole" allowBlank="1" showErrorMessage="1" errorTitle="Ошибка" error="Допускается ввод только неотрицательных целых чисел!" sqref="AI1134">
      <formula1>0</formula1>
      <formula2>9.99999999999999E+23</formula2>
    </dataValidation>
    <dataValidation type="whole" allowBlank="1" showErrorMessage="1" errorTitle="Ошибка" error="Допускается ввод только неотрицательных целых чисел!" sqref="AF1134">
      <formula1>0</formula1>
      <formula2>9.99999999999999E+23</formula2>
    </dataValidation>
    <dataValidation type="whole" allowBlank="1" showErrorMessage="1" errorTitle="Ошибка" error="Допускается ввод только неотрицательных целых чисел!" sqref="AI1133">
      <formula1>0</formula1>
      <formula2>9.99999999999999E+23</formula2>
    </dataValidation>
    <dataValidation type="whole" allowBlank="1" showErrorMessage="1" errorTitle="Ошибка" error="Допускается ввод только неотрицательных целых чисел!" sqref="AF1133">
      <formula1>0</formula1>
      <formula2>9.99999999999999E+23</formula2>
    </dataValidation>
    <dataValidation type="textLength" operator="lessThanOrEqual" allowBlank="1" showInputMessage="1" showErrorMessage="1" errorTitle="Ошибка" error="Допускается ввод не более 900 символов!" sqref="K1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3">
      <formula1>"a"</formula1>
    </dataValidation>
    <dataValidation type="whole" allowBlank="1" showErrorMessage="1" errorTitle="Ошибка" error="Допускается ввод только неотрицательных целых чисел!" sqref="AI1130">
      <formula1>0</formula1>
      <formula2>9.99999999999999E+23</formula2>
    </dataValidation>
    <dataValidation type="whole" allowBlank="1" showErrorMessage="1" errorTitle="Ошибка" error="Допускается ввод только неотрицательных целых чисел!" sqref="AF1130">
      <formula1>0</formula1>
      <formula2>9.99999999999999E+23</formula2>
    </dataValidation>
    <dataValidation type="decimal" allowBlank="1" showErrorMessage="1" errorTitle="Ошибка" error="Допускается ввод только неотрицательных чисел!" sqref="AE1130">
      <formula1>0</formula1>
      <formula2>9.99999999999999E+23</formula2>
    </dataValidation>
    <dataValidation type="decimal" allowBlank="1" showErrorMessage="1" errorTitle="Ошибка" error="Допускается ввод только неотрицательных чисел!" sqref="AC1130">
      <formula1>0</formula1>
      <formula2>9.99999999999999E+23</formula2>
    </dataValidation>
    <dataValidation type="textLength" operator="lessThanOrEqual" allowBlank="1" showInputMessage="1" showErrorMessage="1" errorTitle="Ошибка" error="Допускается ввод не более 900 символов!" sqref="K1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0">
      <formula1>"a"</formula1>
    </dataValidation>
    <dataValidation type="whole" allowBlank="1" showErrorMessage="1" errorTitle="Ошибка" error="Допускается ввод только неотрицательных целых чисел!" sqref="AI1129">
      <formula1>0</formula1>
      <formula2>9.99999999999999E+23</formula2>
    </dataValidation>
    <dataValidation type="whole" allowBlank="1" showErrorMessage="1" errorTitle="Ошибка" error="Допускается ввод только неотрицательных целых чисел!" sqref="AF1129">
      <formula1>0</formula1>
      <formula2>9.99999999999999E+23</formula2>
    </dataValidation>
    <dataValidation type="textLength" operator="lessThanOrEqual" allowBlank="1" showInputMessage="1" showErrorMessage="1" errorTitle="Ошибка" error="Допускается ввод не более 900 символов!" sqref="K1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9">
      <formula1>"a"</formula1>
    </dataValidation>
    <dataValidation type="whole" allowBlank="1" showErrorMessage="1" errorTitle="Ошибка" error="Допускается ввод только неотрицательных целых чисел!" sqref="AI1128">
      <formula1>0</formula1>
      <formula2>9.99999999999999E+23</formula2>
    </dataValidation>
    <dataValidation type="whole" allowBlank="1" showErrorMessage="1" errorTitle="Ошибка" error="Допускается ввод только неотрицательных целых чисел!" sqref="AF1128">
      <formula1>0</formula1>
      <formula2>9.99999999999999E+23</formula2>
    </dataValidation>
    <dataValidation type="textLength" operator="lessThanOrEqual" allowBlank="1" showInputMessage="1" showErrorMessage="1" errorTitle="Ошибка" error="Допускается ввод не более 900 символов!" sqref="M1128">
      <formula1>900</formula1>
    </dataValidation>
    <dataValidation type="textLength" operator="lessThanOrEqual" allowBlank="1" showInputMessage="1" showErrorMessage="1" errorTitle="Ошибка" error="Допускается ввод не более 900 символов!" sqref="K1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8">
      <formula1>"a"</formula1>
    </dataValidation>
    <dataValidation type="whole" allowBlank="1" showErrorMessage="1" errorTitle="Ошибка" error="Допускается ввод только неотрицательных целых чисел!" sqref="AI1127">
      <formula1>0</formula1>
      <formula2>9.99999999999999E+23</formula2>
    </dataValidation>
    <dataValidation type="whole" allowBlank="1" showErrorMessage="1" errorTitle="Ошибка" error="Допускается ввод только неотрицательных целых чисел!" sqref="AF1127">
      <formula1>0</formula1>
      <formula2>9.99999999999999E+23</formula2>
    </dataValidation>
    <dataValidation type="whole" allowBlank="1" showErrorMessage="1" errorTitle="Ошибка" error="Допускается ввод только неотрицательных целых чисел!" sqref="AI1126">
      <formula1>0</formula1>
      <formula2>9.99999999999999E+23</formula2>
    </dataValidation>
    <dataValidation type="whole" allowBlank="1" showErrorMessage="1" errorTitle="Ошибка" error="Допускается ввод только неотрицательных целых чисел!" sqref="AF1126">
      <formula1>0</formula1>
      <formula2>9.99999999999999E+23</formula2>
    </dataValidation>
    <dataValidation type="textLength" operator="lessThanOrEqual" allowBlank="1" showInputMessage="1" showErrorMessage="1" errorTitle="Ошибка" error="Допускается ввод не более 900 символов!" sqref="K1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6">
      <formula1>"a"</formula1>
    </dataValidation>
    <dataValidation type="whole" allowBlank="1" showErrorMessage="1" errorTitle="Ошибка" error="Допускается ввод только неотрицательных целых чисел!" sqref="AI1125">
      <formula1>0</formula1>
      <formula2>9.99999999999999E+23</formula2>
    </dataValidation>
    <dataValidation type="whole" allowBlank="1" showErrorMessage="1" errorTitle="Ошибка" error="Допускается ввод только неотрицательных целых чисел!" sqref="AF1125">
      <formula1>0</formula1>
      <formula2>9.99999999999999E+23</formula2>
    </dataValidation>
    <dataValidation type="decimal" allowBlank="1" showErrorMessage="1" errorTitle="Ошибка" error="Допускается ввод только неотрицательных чисел!" sqref="AE1125">
      <formula1>0</formula1>
      <formula2>9.99999999999999E+23</formula2>
    </dataValidation>
    <dataValidation type="decimal" allowBlank="1" showErrorMessage="1" errorTitle="Ошибка" error="Допускается ввод только неотрицательных чисел!" sqref="AC1125">
      <formula1>0</formula1>
      <formula2>9.99999999999999E+23</formula2>
    </dataValidation>
    <dataValidation type="textLength" operator="lessThanOrEqual" allowBlank="1" showInputMessage="1" showErrorMessage="1" errorTitle="Ошибка" error="Допускается ввод не более 900 символов!" sqref="K1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5">
      <formula1>"a"</formula1>
    </dataValidation>
    <dataValidation type="whole" allowBlank="1" showErrorMessage="1" errorTitle="Ошибка" error="Допускается ввод только неотрицательных целых чисел!" sqref="AI1124">
      <formula1>0</formula1>
      <formula2>9.99999999999999E+23</formula2>
    </dataValidation>
    <dataValidation type="whole" allowBlank="1" showErrorMessage="1" errorTitle="Ошибка" error="Допускается ввод только неотрицательных целых чисел!" sqref="AF1124">
      <formula1>0</formula1>
      <formula2>9.99999999999999E+23</formula2>
    </dataValidation>
    <dataValidation type="textLength" operator="lessThanOrEqual" allowBlank="1" showInputMessage="1" showErrorMessage="1" errorTitle="Ошибка" error="Допускается ввод не более 900 символов!" sqref="K1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4">
      <formula1>"a"</formula1>
    </dataValidation>
    <dataValidation type="whole" allowBlank="1" showErrorMessage="1" errorTitle="Ошибка" error="Допускается ввод только неотрицательных целых чисел!" sqref="AI1123">
      <formula1>0</formula1>
      <formula2>9.99999999999999E+23</formula2>
    </dataValidation>
    <dataValidation type="whole" allowBlank="1" showErrorMessage="1" errorTitle="Ошибка" error="Допускается ввод только неотрицательных целых чисел!" sqref="AF1123">
      <formula1>0</formula1>
      <formula2>9.99999999999999E+23</formula2>
    </dataValidation>
    <dataValidation type="textLength" operator="lessThanOrEqual" allowBlank="1" showInputMessage="1" showErrorMessage="1" errorTitle="Ошибка" error="Допускается ввод не более 900 символов!" sqref="M1123">
      <formula1>900</formula1>
    </dataValidation>
    <dataValidation type="textLength" operator="lessThanOrEqual" allowBlank="1" showInputMessage="1" showErrorMessage="1" errorTitle="Ошибка" error="Допускается ввод не более 900 символов!" sqref="K1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3">
      <formula1>"a"</formula1>
    </dataValidation>
    <dataValidation type="whole" allowBlank="1" showErrorMessage="1" errorTitle="Ошибка" error="Допускается ввод только неотрицательных целых чисел!" sqref="AI1122">
      <formula1>0</formula1>
      <formula2>9.99999999999999E+23</formula2>
    </dataValidation>
    <dataValidation type="whole" allowBlank="1" showErrorMessage="1" errorTitle="Ошибка" error="Допускается ввод только неотрицательных целых чисел!" sqref="AF1122">
      <formula1>0</formula1>
      <formula2>9.99999999999999E+23</formula2>
    </dataValidation>
    <dataValidation type="whole" allowBlank="1" showErrorMessage="1" errorTitle="Ошибка" error="Допускается ввод только неотрицательных целых чисел!" sqref="AI1121">
      <formula1>0</formula1>
      <formula2>9.99999999999999E+23</formula2>
    </dataValidation>
    <dataValidation type="whole" allowBlank="1" showErrorMessage="1" errorTitle="Ошибка" error="Допускается ввод только неотрицательных целых чисел!" sqref="AF1121">
      <formula1>0</formula1>
      <formula2>9.99999999999999E+23</formula2>
    </dataValidation>
    <dataValidation type="textLength" operator="lessThanOrEqual" allowBlank="1" showInputMessage="1" showErrorMessage="1" errorTitle="Ошибка" error="Допускается ввод не более 900 символов!" sqref="K1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1">
      <formula1>"a"</formula1>
    </dataValidation>
    <dataValidation type="whole" allowBlank="1" showErrorMessage="1" errorTitle="Ошибка" error="Допускается ввод только неотрицательных целых чисел!" sqref="AI1120">
      <formula1>0</formula1>
      <formula2>9.99999999999999E+23</formula2>
    </dataValidation>
    <dataValidation type="whole" allowBlank="1" showErrorMessage="1" errorTitle="Ошибка" error="Допускается ввод только неотрицательных целых чисел!" sqref="AF1120">
      <formula1>0</formula1>
      <formula2>9.99999999999999E+23</formula2>
    </dataValidation>
    <dataValidation type="decimal" allowBlank="1" showErrorMessage="1" errorTitle="Ошибка" error="Допускается ввод только неотрицательных чисел!" sqref="AE1120">
      <formula1>0</formula1>
      <formula2>9.99999999999999E+23</formula2>
    </dataValidation>
    <dataValidation type="decimal" allowBlank="1" showErrorMessage="1" errorTitle="Ошибка" error="Допускается ввод только неотрицательных чисел!" sqref="AC1120">
      <formula1>0</formula1>
      <formula2>9.99999999999999E+23</formula2>
    </dataValidation>
    <dataValidation type="textLength" operator="lessThanOrEqual" allowBlank="1" showInputMessage="1" showErrorMessage="1" errorTitle="Ошибка" error="Допускается ввод не более 900 символов!" sqref="K1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0">
      <formula1>"a"</formula1>
    </dataValidation>
    <dataValidation type="whole" allowBlank="1" showErrorMessage="1" errorTitle="Ошибка" error="Допускается ввод только неотрицательных целых чисел!" sqref="AI1119">
      <formula1>0</formula1>
      <formula2>9.99999999999999E+23</formula2>
    </dataValidation>
    <dataValidation type="whole" allowBlank="1" showErrorMessage="1" errorTitle="Ошибка" error="Допускается ввод только неотрицательных целых чисел!" sqref="AF1119">
      <formula1>0</formula1>
      <formula2>9.99999999999999E+23</formula2>
    </dataValidation>
    <dataValidation type="textLength" operator="lessThanOrEqual" allowBlank="1" showInputMessage="1" showErrorMessage="1" errorTitle="Ошибка" error="Допускается ввод не более 900 символов!" sqref="K1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9">
      <formula1>"a"</formula1>
    </dataValidation>
    <dataValidation type="whole" allowBlank="1" showErrorMessage="1" errorTitle="Ошибка" error="Допускается ввод только неотрицательных целых чисел!" sqref="AI1118">
      <formula1>0</formula1>
      <formula2>9.99999999999999E+23</formula2>
    </dataValidation>
    <dataValidation type="whole" allowBlank="1" showErrorMessage="1" errorTitle="Ошибка" error="Допускается ввод только неотрицательных целых чисел!" sqref="AF1118">
      <formula1>0</formula1>
      <formula2>9.99999999999999E+23</formula2>
    </dataValidation>
    <dataValidation type="textLength" operator="lessThanOrEqual" allowBlank="1" showInputMessage="1" showErrorMessage="1" errorTitle="Ошибка" error="Допускается ввод не более 900 символов!" sqref="M1118">
      <formula1>900</formula1>
    </dataValidation>
    <dataValidation type="textLength" operator="lessThanOrEqual" allowBlank="1" showInputMessage="1" showErrorMessage="1" errorTitle="Ошибка" error="Допускается ввод не более 900 символов!" sqref="K1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8">
      <formula1>"a"</formula1>
    </dataValidation>
    <dataValidation type="whole" allowBlank="1" showErrorMessage="1" errorTitle="Ошибка" error="Допускается ввод только неотрицательных целых чисел!" sqref="AI1117">
      <formula1>0</formula1>
      <formula2>9.99999999999999E+23</formula2>
    </dataValidation>
    <dataValidation type="whole" allowBlank="1" showErrorMessage="1" errorTitle="Ошибка" error="Допускается ввод только неотрицательных целых чисел!" sqref="AF1117">
      <formula1>0</formula1>
      <formula2>9.99999999999999E+23</formula2>
    </dataValidation>
    <dataValidation type="whole" allowBlank="1" showErrorMessage="1" errorTitle="Ошибка" error="Допускается ввод только неотрицательных целых чисел!" sqref="AI1116">
      <formula1>0</formula1>
      <formula2>9.99999999999999E+23</formula2>
    </dataValidation>
    <dataValidation type="whole" allowBlank="1" showErrorMessage="1" errorTitle="Ошибка" error="Допускается ввод только неотрицательных целых чисел!" sqref="AF1116">
      <formula1>0</formula1>
      <formula2>9.99999999999999E+23</formula2>
    </dataValidation>
    <dataValidation type="textLength" operator="lessThanOrEqual" allowBlank="1" showInputMessage="1" showErrorMessage="1" errorTitle="Ошибка" error="Допускается ввод не более 900 символов!" sqref="K1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6">
      <formula1>"a"</formula1>
    </dataValidation>
    <dataValidation type="whole" allowBlank="1" showErrorMessage="1" errorTitle="Ошибка" error="Допускается ввод только неотрицательных целых чисел!" sqref="AI1115">
      <formula1>0</formula1>
      <formula2>9.99999999999999E+23</formula2>
    </dataValidation>
    <dataValidation type="whole" allowBlank="1" showErrorMessage="1" errorTitle="Ошибка" error="Допускается ввод только неотрицательных целых чисел!" sqref="AF1115">
      <formula1>0</formula1>
      <formula2>9.99999999999999E+23</formula2>
    </dataValidation>
    <dataValidation type="decimal" allowBlank="1" showErrorMessage="1" errorTitle="Ошибка" error="Допускается ввод только неотрицательных чисел!" sqref="AE1115">
      <formula1>0</formula1>
      <formula2>9.99999999999999E+23</formula2>
    </dataValidation>
    <dataValidation type="decimal" allowBlank="1" showErrorMessage="1" errorTitle="Ошибка" error="Допускается ввод только неотрицательных чисел!" sqref="AC1115">
      <formula1>0</formula1>
      <formula2>9.99999999999999E+23</formula2>
    </dataValidation>
    <dataValidation type="textLength" operator="lessThanOrEqual" allowBlank="1" showInputMessage="1" showErrorMessage="1" errorTitle="Ошибка" error="Допускается ввод не более 900 символов!" sqref="K1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5">
      <formula1>"a"</formula1>
    </dataValidation>
    <dataValidation type="whole" allowBlank="1" showErrorMessage="1" errorTitle="Ошибка" error="Допускается ввод только неотрицательных целых чисел!" sqref="AI1114">
      <formula1>0</formula1>
      <formula2>9.99999999999999E+23</formula2>
    </dataValidation>
    <dataValidation type="whole" allowBlank="1" showErrorMessage="1" errorTitle="Ошибка" error="Допускается ввод только неотрицательных целых чисел!" sqref="AF1114">
      <formula1>0</formula1>
      <formula2>9.99999999999999E+23</formula2>
    </dataValidation>
    <dataValidation type="textLength" operator="lessThanOrEqual" allowBlank="1" showInputMessage="1" showErrorMessage="1" errorTitle="Ошибка" error="Допускается ввод не более 900 символов!" sqref="K1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4">
      <formula1>"a"</formula1>
    </dataValidation>
    <dataValidation type="whole" allowBlank="1" showErrorMessage="1" errorTitle="Ошибка" error="Допускается ввод только неотрицательных целых чисел!" sqref="AI1113">
      <formula1>0</formula1>
      <formula2>9.99999999999999E+23</formula2>
    </dataValidation>
    <dataValidation type="whole" allowBlank="1" showErrorMessage="1" errorTitle="Ошибка" error="Допускается ввод только неотрицательных целых чисел!" sqref="AF1113">
      <formula1>0</formula1>
      <formula2>9.99999999999999E+23</formula2>
    </dataValidation>
    <dataValidation type="textLength" operator="lessThanOrEqual" allowBlank="1" showInputMessage="1" showErrorMessage="1" errorTitle="Ошибка" error="Допускается ввод не более 900 символов!" sqref="M1113">
      <formula1>900</formula1>
    </dataValidation>
    <dataValidation type="textLength" operator="lessThanOrEqual" allowBlank="1" showInputMessage="1" showErrorMessage="1" errorTitle="Ошибка" error="Допускается ввод не более 900 символов!" sqref="K1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3">
      <formula1>"a"</formula1>
    </dataValidation>
    <dataValidation type="whole" allowBlank="1" showErrorMessage="1" errorTitle="Ошибка" error="Допускается ввод только неотрицательных целых чисел!" sqref="AI1112">
      <formula1>0</formula1>
      <formula2>9.99999999999999E+23</formula2>
    </dataValidation>
    <dataValidation type="whole" allowBlank="1" showErrorMessage="1" errorTitle="Ошибка" error="Допускается ввод только неотрицательных целых чисел!" sqref="AF1112">
      <formula1>0</formula1>
      <formula2>9.99999999999999E+23</formula2>
    </dataValidation>
    <dataValidation type="whole" allowBlank="1" showErrorMessage="1" errorTitle="Ошибка" error="Допускается ввод только неотрицательных целых чисел!" sqref="AI1111">
      <formula1>0</formula1>
      <formula2>9.99999999999999E+23</formula2>
    </dataValidation>
    <dataValidation type="whole" allowBlank="1" showErrorMessage="1" errorTitle="Ошибка" error="Допускается ввод только неотрицательных целых чисел!" sqref="AF1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1">
      <formula1>"a"</formula1>
    </dataValidation>
    <dataValidation type="whole" allowBlank="1" showErrorMessage="1" errorTitle="Ошибка" error="Допускается ввод только неотрицательных целых чисел!" sqref="AI1110">
      <formula1>0</formula1>
      <formula2>9.99999999999999E+23</formula2>
    </dataValidation>
    <dataValidation type="whole" allowBlank="1" showErrorMessage="1" errorTitle="Ошибка" error="Допускается ввод только неотрицательных целых чисел!" sqref="AF1110">
      <formula1>0</formula1>
      <formula2>9.99999999999999E+23</formula2>
    </dataValidation>
    <dataValidation type="decimal" allowBlank="1" showErrorMessage="1" errorTitle="Ошибка" error="Допускается ввод только неотрицательных чисел!" sqref="AE1110">
      <formula1>0</formula1>
      <formula2>9.99999999999999E+23</formula2>
    </dataValidation>
    <dataValidation type="decimal" allowBlank="1" showErrorMessage="1" errorTitle="Ошибка" error="Допускается ввод только неотрицательных чисел!" sqref="AC1110">
      <formula1>0</formula1>
      <formula2>9.99999999999999E+23</formula2>
    </dataValidation>
    <dataValidation type="textLength" operator="lessThanOrEqual" allowBlank="1" showInputMessage="1" showErrorMessage="1" errorTitle="Ошибка" error="Допускается ввод не более 900 символов!" sqref="K1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0">
      <formula1>"a"</formula1>
    </dataValidation>
    <dataValidation type="whole" allowBlank="1" showErrorMessage="1" errorTitle="Ошибка" error="Допускается ввод только неотрицательных целых чисел!" sqref="AI1109">
      <formula1>0</formula1>
      <formula2>9.99999999999999E+23</formula2>
    </dataValidation>
    <dataValidation type="whole" allowBlank="1" showErrorMessage="1" errorTitle="Ошибка" error="Допускается ввод только неотрицательных целых чисел!" sqref="AF1109">
      <formula1>0</formula1>
      <formula2>9.99999999999999E+23</formula2>
    </dataValidation>
    <dataValidation type="textLength" operator="lessThanOrEqual" allowBlank="1" showInputMessage="1" showErrorMessage="1" errorTitle="Ошибка" error="Допускается ввод не более 900 символов!" sqref="K1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9">
      <formula1>"a"</formula1>
    </dataValidation>
    <dataValidation type="whole" allowBlank="1" showErrorMessage="1" errorTitle="Ошибка" error="Допускается ввод только неотрицательных целых чисел!" sqref="AI1108">
      <formula1>0</formula1>
      <formula2>9.99999999999999E+23</formula2>
    </dataValidation>
    <dataValidation type="whole" allowBlank="1" showErrorMessage="1" errorTitle="Ошибка" error="Допускается ввод только неотрицательных целых чисел!" sqref="AF1108">
      <formula1>0</formula1>
      <formula2>9.99999999999999E+23</formula2>
    </dataValidation>
    <dataValidation type="textLength" operator="lessThanOrEqual" allowBlank="1" showInputMessage="1" showErrorMessage="1" errorTitle="Ошибка" error="Допускается ввод не более 900 символов!" sqref="M1108">
      <formula1>900</formula1>
    </dataValidation>
    <dataValidation type="textLength" operator="lessThanOrEqual" allowBlank="1" showInputMessage="1" showErrorMessage="1" errorTitle="Ошибка" error="Допускается ввод не более 900 символов!" sqref="K1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8">
      <formula1>"a"</formula1>
    </dataValidation>
    <dataValidation type="whole" allowBlank="1" showErrorMessage="1" errorTitle="Ошибка" error="Допускается ввод только неотрицательных целых чисел!" sqref="AI1107">
      <formula1>0</formula1>
      <formula2>9.99999999999999E+23</formula2>
    </dataValidation>
    <dataValidation type="whole" allowBlank="1" showErrorMessage="1" errorTitle="Ошибка" error="Допускается ввод только неотрицательных целых чисел!" sqref="AF1107">
      <formula1>0</formula1>
      <formula2>9.99999999999999E+23</formula2>
    </dataValidation>
    <dataValidation type="whole" allowBlank="1" showErrorMessage="1" errorTitle="Ошибка" error="Допускается ввод только неотрицательных целых чисел!" sqref="AI1106">
      <formula1>0</formula1>
      <formula2>9.99999999999999E+23</formula2>
    </dataValidation>
    <dataValidation type="whole" allowBlank="1" showErrorMessage="1" errorTitle="Ошибка" error="Допускается ввод только неотрицательных целых чисел!" sqref="AF1106">
      <formula1>0</formula1>
      <formula2>9.99999999999999E+23</formula2>
    </dataValidation>
    <dataValidation type="textLength" operator="lessThanOrEqual" allowBlank="1" showInputMessage="1" showErrorMessage="1" errorTitle="Ошибка" error="Допускается ввод не более 900 символов!" sqref="K1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6">
      <formula1>"a"</formula1>
    </dataValidation>
    <dataValidation type="whole" allowBlank="1" showErrorMessage="1" errorTitle="Ошибка" error="Допускается ввод только неотрицательных целых чисел!" sqref="AI1103">
      <formula1>0</formula1>
      <formula2>9.99999999999999E+23</formula2>
    </dataValidation>
    <dataValidation type="whole" allowBlank="1" showErrorMessage="1" errorTitle="Ошибка" error="Допускается ввод только неотрицательных целых чисел!" sqref="AF1103">
      <formula1>0</formula1>
      <formula2>9.99999999999999E+23</formula2>
    </dataValidation>
    <dataValidation type="decimal" allowBlank="1" showErrorMessage="1" errorTitle="Ошибка" error="Допускается ввод только неотрицательных чисел!" sqref="AE1103">
      <formula1>0</formula1>
      <formula2>9.99999999999999E+23</formula2>
    </dataValidation>
    <dataValidation type="decimal" allowBlank="1" showErrorMessage="1" errorTitle="Ошибка" error="Допускается ввод только неотрицательных чисел!" sqref="AC1103">
      <formula1>0</formula1>
      <formula2>9.99999999999999E+23</formula2>
    </dataValidation>
    <dataValidation type="textLength" operator="lessThanOrEqual" allowBlank="1" showInputMessage="1" showErrorMessage="1" errorTitle="Ошибка" error="Допускается ввод не более 900 символов!" sqref="K1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3">
      <formula1>"a"</formula1>
    </dataValidation>
    <dataValidation type="whole" allowBlank="1" showErrorMessage="1" errorTitle="Ошибка" error="Допускается ввод только неотрицательных целых чисел!" sqref="AI1102">
      <formula1>0</formula1>
      <formula2>9.99999999999999E+23</formula2>
    </dataValidation>
    <dataValidation type="whole" allowBlank="1" showErrorMessage="1" errorTitle="Ошибка" error="Допускается ввод только неотрицательных целых чисел!" sqref="AF1102">
      <formula1>0</formula1>
      <formula2>9.99999999999999E+23</formula2>
    </dataValidation>
    <dataValidation type="textLength" operator="lessThanOrEqual" allowBlank="1" showInputMessage="1" showErrorMessage="1" errorTitle="Ошибка" error="Допускается ввод не более 900 символов!" sqref="K1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2">
      <formula1>"a"</formula1>
    </dataValidation>
    <dataValidation type="whole" allowBlank="1" showErrorMessage="1" errorTitle="Ошибка" error="Допускается ввод только неотрицательных целых чисел!" sqref="AI1101">
      <formula1>0</formula1>
      <formula2>9.99999999999999E+23</formula2>
    </dataValidation>
    <dataValidation type="whole" allowBlank="1" showErrorMessage="1" errorTitle="Ошибка" error="Допускается ввод только неотрицательных целых чисел!" sqref="AF1101">
      <formula1>0</formula1>
      <formula2>9.99999999999999E+23</formula2>
    </dataValidation>
    <dataValidation type="textLength" operator="lessThanOrEqual" allowBlank="1" showInputMessage="1" showErrorMessage="1" errorTitle="Ошибка" error="Допускается ввод не более 900 символов!" sqref="M1101">
      <formula1>900</formula1>
    </dataValidation>
    <dataValidation type="textLength" operator="lessThanOrEqual" allowBlank="1" showInputMessage="1" showErrorMessage="1" errorTitle="Ошибка" error="Допускается ввод не более 900 символов!" sqref="K1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1">
      <formula1>"a"</formula1>
    </dataValidation>
    <dataValidation type="whole" allowBlank="1" showErrorMessage="1" errorTitle="Ошибка" error="Допускается ввод только неотрицательных целых чисел!" sqref="AI1100">
      <formula1>0</formula1>
      <formula2>9.99999999999999E+23</formula2>
    </dataValidation>
    <dataValidation type="whole" allowBlank="1" showErrorMessage="1" errorTitle="Ошибка" error="Допускается ввод только неотрицательных целых чисел!" sqref="AF1100">
      <formula1>0</formula1>
      <formula2>9.99999999999999E+23</formula2>
    </dataValidation>
    <dataValidation type="whole" allowBlank="1" showErrorMessage="1" errorTitle="Ошибка" error="Допускается ввод только неотрицательных целых чисел!" sqref="AI1099">
      <formula1>0</formula1>
      <formula2>9.99999999999999E+23</formula2>
    </dataValidation>
    <dataValidation type="whole" allowBlank="1" showErrorMessage="1" errorTitle="Ошибка" error="Допускается ввод только неотрицательных целых чисел!" sqref="AF1099">
      <formula1>0</formula1>
      <formula2>9.99999999999999E+23</formula2>
    </dataValidation>
    <dataValidation type="textLength" operator="lessThanOrEqual" allowBlank="1" showInputMessage="1" showErrorMessage="1" errorTitle="Ошибка" error="Допускается ввод не более 900 символов!" sqref="K10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9">
      <formula1>"a"</formula1>
    </dataValidation>
    <dataValidation type="whole" allowBlank="1" showErrorMessage="1" errorTitle="Ошибка" error="Допускается ввод только неотрицательных целых чисел!" sqref="AI1096">
      <formula1>0</formula1>
      <formula2>9.99999999999999E+23</formula2>
    </dataValidation>
    <dataValidation type="whole" allowBlank="1" showErrorMessage="1" errorTitle="Ошибка" error="Допускается ввод только неотрицательных целых чисел!" sqref="AF1096">
      <formula1>0</formula1>
      <formula2>9.99999999999999E+23</formula2>
    </dataValidation>
    <dataValidation type="decimal" allowBlank="1" showErrorMessage="1" errorTitle="Ошибка" error="Допускается ввод только неотрицательных чисел!" sqref="AE1096">
      <formula1>0</formula1>
      <formula2>9.99999999999999E+23</formula2>
    </dataValidation>
    <dataValidation type="decimal" allowBlank="1" showErrorMessage="1" errorTitle="Ошибка" error="Допускается ввод только неотрицательных чисел!" sqref="AC1096">
      <formula1>0</formula1>
      <formula2>9.99999999999999E+23</formula2>
    </dataValidation>
    <dataValidation type="textLength" operator="lessThanOrEqual" allowBlank="1" showInputMessage="1" showErrorMessage="1" errorTitle="Ошибка" error="Допускается ввод не более 900 символов!" sqref="K10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6">
      <formula1>"a"</formula1>
    </dataValidation>
    <dataValidation type="whole" allowBlank="1" showErrorMessage="1" errorTitle="Ошибка" error="Допускается ввод только неотрицательных целых чисел!" sqref="AI1095">
      <formula1>0</formula1>
      <formula2>9.99999999999999E+23</formula2>
    </dataValidation>
    <dataValidation type="whole" allowBlank="1" showErrorMessage="1" errorTitle="Ошибка" error="Допускается ввод только неотрицательных целых чисел!" sqref="AF1095">
      <formula1>0</formula1>
      <formula2>9.99999999999999E+23</formula2>
    </dataValidation>
    <dataValidation type="textLength" operator="lessThanOrEqual" allowBlank="1" showInputMessage="1" showErrorMessage="1" errorTitle="Ошибка" error="Допускается ввод не более 900 символов!" sqref="K10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5">
      <formula1>"a"</formula1>
    </dataValidation>
    <dataValidation type="whole" allowBlank="1" showErrorMessage="1" errorTitle="Ошибка" error="Допускается ввод только неотрицательных целых чисел!" sqref="AI1094">
      <formula1>0</formula1>
      <formula2>9.99999999999999E+23</formula2>
    </dataValidation>
    <dataValidation type="whole" allowBlank="1" showErrorMessage="1" errorTitle="Ошибка" error="Допускается ввод только неотрицательных целых чисел!" sqref="AF1094">
      <formula1>0</formula1>
      <formula2>9.99999999999999E+23</formula2>
    </dataValidation>
    <dataValidation type="textLength" operator="lessThanOrEqual" allowBlank="1" showInputMessage="1" showErrorMessage="1" errorTitle="Ошибка" error="Допускается ввод не более 900 символов!" sqref="M1094">
      <formula1>900</formula1>
    </dataValidation>
    <dataValidation type="textLength" operator="lessThanOrEqual" allowBlank="1" showInputMessage="1" showErrorMessage="1" errorTitle="Ошибка" error="Допускается ввод не более 900 символов!" sqref="K10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4">
      <formula1>"a"</formula1>
    </dataValidation>
    <dataValidation type="whole" allowBlank="1" showErrorMessage="1" errorTitle="Ошибка" error="Допускается ввод только неотрицательных целых чисел!" sqref="AI1093">
      <formula1>0</formula1>
      <formula2>9.99999999999999E+23</formula2>
    </dataValidation>
    <dataValidation type="whole" allowBlank="1" showErrorMessage="1" errorTitle="Ошибка" error="Допускается ввод только неотрицательных целых чисел!" sqref="AF1093">
      <formula1>0</formula1>
      <formula2>9.99999999999999E+23</formula2>
    </dataValidation>
    <dataValidation type="whole" allowBlank="1" showErrorMessage="1" errorTitle="Ошибка" error="Допускается ввод только неотрицательных целых чисел!" sqref="AI1092">
      <formula1>0</formula1>
      <formula2>9.99999999999999E+23</formula2>
    </dataValidation>
    <dataValidation type="whole" allowBlank="1" showErrorMessage="1" errorTitle="Ошибка" error="Допускается ввод только неотрицательных целых чисел!" sqref="AF1092">
      <formula1>0</formula1>
      <formula2>9.99999999999999E+23</formula2>
    </dataValidation>
    <dataValidation type="textLength" operator="lessThanOrEqual" allowBlank="1" showInputMessage="1" showErrorMessage="1" errorTitle="Ошибка" error="Допускается ввод не более 900 символов!" sqref="K10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2">
      <formula1>"a"</formula1>
    </dataValidation>
    <dataValidation type="whole" allowBlank="1" showErrorMessage="1" errorTitle="Ошибка" error="Допускается ввод только неотрицательных целых чисел!" sqref="AI1089">
      <formula1>0</formula1>
      <formula2>9.99999999999999E+23</formula2>
    </dataValidation>
    <dataValidation type="whole" allowBlank="1" showErrorMessage="1" errorTitle="Ошибка" error="Допускается ввод только неотрицательных целых чисел!" sqref="AF1089">
      <formula1>0</formula1>
      <formula2>9.99999999999999E+23</formula2>
    </dataValidation>
    <dataValidation type="decimal" allowBlank="1" showErrorMessage="1" errorTitle="Ошибка" error="Допускается ввод только неотрицательных чисел!" sqref="AE1089">
      <formula1>0</formula1>
      <formula2>9.99999999999999E+23</formula2>
    </dataValidation>
    <dataValidation type="decimal" allowBlank="1" showErrorMessage="1" errorTitle="Ошибка" error="Допускается ввод только неотрицательных чисел!" sqref="AC1089">
      <formula1>0</formula1>
      <formula2>9.99999999999999E+23</formula2>
    </dataValidation>
    <dataValidation type="textLength" operator="lessThanOrEqual" allowBlank="1" showInputMessage="1" showErrorMessage="1" errorTitle="Ошибка" error="Допускается ввод не более 900 символов!" sqref="K10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9">
      <formula1>"a"</formula1>
    </dataValidation>
    <dataValidation type="whole" allowBlank="1" showErrorMessage="1" errorTitle="Ошибка" error="Допускается ввод только неотрицательных целых чисел!" sqref="AI1088">
      <formula1>0</formula1>
      <formula2>9.99999999999999E+23</formula2>
    </dataValidation>
    <dataValidation type="whole" allowBlank="1" showErrorMessage="1" errorTitle="Ошибка" error="Допускается ввод только неотрицательных целых чисел!" sqref="AF1088">
      <formula1>0</formula1>
      <formula2>9.99999999999999E+23</formula2>
    </dataValidation>
    <dataValidation type="textLength" operator="lessThanOrEqual" allowBlank="1" showInputMessage="1" showErrorMessage="1" errorTitle="Ошибка" error="Допускается ввод не более 900 символов!" sqref="K10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8">
      <formula1>"a"</formula1>
    </dataValidation>
    <dataValidation type="whole" allowBlank="1" showErrorMessage="1" errorTitle="Ошибка" error="Допускается ввод только неотрицательных целых чисел!" sqref="AI1087">
      <formula1>0</formula1>
      <formula2>9.99999999999999E+23</formula2>
    </dataValidation>
    <dataValidation type="whole" allowBlank="1" showErrorMessage="1" errorTitle="Ошибка" error="Допускается ввод только неотрицательных целых чисел!" sqref="AF1087">
      <formula1>0</formula1>
      <formula2>9.99999999999999E+23</formula2>
    </dataValidation>
    <dataValidation type="textLength" operator="lessThanOrEqual" allowBlank="1" showInputMessage="1" showErrorMessage="1" errorTitle="Ошибка" error="Допускается ввод не более 900 символов!" sqref="M1087">
      <formula1>900</formula1>
    </dataValidation>
    <dataValidation type="textLength" operator="lessThanOrEqual" allowBlank="1" showInputMessage="1" showErrorMessage="1" errorTitle="Ошибка" error="Допускается ввод не более 900 символов!" sqref="K10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7">
      <formula1>"a"</formula1>
    </dataValidation>
    <dataValidation type="whole" allowBlank="1" showErrorMessage="1" errorTitle="Ошибка" error="Допускается ввод только неотрицательных целых чисел!" sqref="AI1086">
      <formula1>0</formula1>
      <formula2>9.99999999999999E+23</formula2>
    </dataValidation>
    <dataValidation type="whole" allowBlank="1" showErrorMessage="1" errorTitle="Ошибка" error="Допускается ввод только неотрицательных целых чисел!" sqref="AF1086">
      <formula1>0</formula1>
      <formula2>9.99999999999999E+23</formula2>
    </dataValidation>
    <dataValidation type="whole" allowBlank="1" showErrorMessage="1" errorTitle="Ошибка" error="Допускается ввод только неотрицательных целых чисел!" sqref="AI1085">
      <formula1>0</formula1>
      <formula2>9.99999999999999E+23</formula2>
    </dataValidation>
    <dataValidation type="whole" allowBlank="1" showErrorMessage="1" errorTitle="Ошибка" error="Допускается ввод только неотрицательных целых чисел!" sqref="AF1085">
      <formula1>0</formula1>
      <formula2>9.99999999999999E+23</formula2>
    </dataValidation>
    <dataValidation type="textLength" operator="lessThanOrEqual" allowBlank="1" showInputMessage="1" showErrorMessage="1" errorTitle="Ошибка" error="Допускается ввод не более 900 символов!" sqref="K10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5">
      <formula1>"a"</formula1>
    </dataValidation>
    <dataValidation type="whole" allowBlank="1" showErrorMessage="1" errorTitle="Ошибка" error="Допускается ввод только неотрицательных целых чисел!" sqref="AI1082">
      <formula1>0</formula1>
      <formula2>9.99999999999999E+23</formula2>
    </dataValidation>
    <dataValidation type="whole" allowBlank="1" showErrorMessage="1" errorTitle="Ошибка" error="Допускается ввод только неотрицательных целых чисел!" sqref="AF1082">
      <formula1>0</formula1>
      <formula2>9.99999999999999E+23</formula2>
    </dataValidation>
    <dataValidation type="decimal" allowBlank="1" showErrorMessage="1" errorTitle="Ошибка" error="Допускается ввод только неотрицательных чисел!" sqref="AE1082">
      <formula1>0</formula1>
      <formula2>9.99999999999999E+23</formula2>
    </dataValidation>
    <dataValidation type="decimal" allowBlank="1" showErrorMessage="1" errorTitle="Ошибка" error="Допускается ввод только неотрицательных чисел!" sqref="AC1082">
      <formula1>0</formula1>
      <formula2>9.99999999999999E+23</formula2>
    </dataValidation>
    <dataValidation type="textLength" operator="lessThanOrEqual" allowBlank="1" showInputMessage="1" showErrorMessage="1" errorTitle="Ошибка" error="Допускается ввод не более 900 символов!" sqref="K10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2">
      <formula1>"a"</formula1>
    </dataValidation>
    <dataValidation type="whole" allowBlank="1" showErrorMessage="1" errorTitle="Ошибка" error="Допускается ввод только неотрицательных целых чисел!" sqref="AI1081">
      <formula1>0</formula1>
      <formula2>9.99999999999999E+23</formula2>
    </dataValidation>
    <dataValidation type="whole" allowBlank="1" showErrorMessage="1" errorTitle="Ошибка" error="Допускается ввод только неотрицательных целых чисел!" sqref="AF1081">
      <formula1>0</formula1>
      <formula2>9.99999999999999E+23</formula2>
    </dataValidation>
    <dataValidation type="textLength" operator="lessThanOrEqual" allowBlank="1" showInputMessage="1" showErrorMessage="1" errorTitle="Ошибка" error="Допускается ввод не более 900 символов!" sqref="K10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1">
      <formula1>"a"</formula1>
    </dataValidation>
    <dataValidation type="whole" allowBlank="1" showErrorMessage="1" errorTitle="Ошибка" error="Допускается ввод только неотрицательных целых чисел!" sqref="AI1080">
      <formula1>0</formula1>
      <formula2>9.99999999999999E+23</formula2>
    </dataValidation>
    <dataValidation type="whole" allowBlank="1" showErrorMessage="1" errorTitle="Ошибка" error="Допускается ввод только неотрицательных целых чисел!" sqref="AF1080">
      <formula1>0</formula1>
      <formula2>9.99999999999999E+23</formula2>
    </dataValidation>
    <dataValidation type="textLength" operator="lessThanOrEqual" allowBlank="1" showInputMessage="1" showErrorMessage="1" errorTitle="Ошибка" error="Допускается ввод не более 900 символов!" sqref="M1080">
      <formula1>900</formula1>
    </dataValidation>
    <dataValidation type="textLength" operator="lessThanOrEqual" allowBlank="1" showInputMessage="1" showErrorMessage="1" errorTitle="Ошибка" error="Допускается ввод не более 900 символов!" sqref="K10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0">
      <formula1>"a"</formula1>
    </dataValidation>
    <dataValidation type="whole" allowBlank="1" showErrorMessage="1" errorTitle="Ошибка" error="Допускается ввод только неотрицательных целых чисел!" sqref="AI1079">
      <formula1>0</formula1>
      <formula2>9.99999999999999E+23</formula2>
    </dataValidation>
    <dataValidation type="whole" allowBlank="1" showErrorMessage="1" errorTitle="Ошибка" error="Допускается ввод только неотрицательных целых чисел!" sqref="AF1079">
      <formula1>0</formula1>
      <formula2>9.99999999999999E+23</formula2>
    </dataValidation>
    <dataValidation type="whole" allowBlank="1" showErrorMessage="1" errorTitle="Ошибка" error="Допускается ввод только неотрицательных целых чисел!" sqref="AI1078">
      <formula1>0</formula1>
      <formula2>9.99999999999999E+23</formula2>
    </dataValidation>
    <dataValidation type="whole" allowBlank="1" showErrorMessage="1" errorTitle="Ошибка" error="Допускается ввод только неотрицательных целых чисел!" sqref="AF1078">
      <formula1>0</formula1>
      <formula2>9.99999999999999E+23</formula2>
    </dataValidation>
    <dataValidation type="textLength" operator="lessThanOrEqual" allowBlank="1" showInputMessage="1" showErrorMessage="1" errorTitle="Ошибка" error="Допускается ввод не более 900 символов!" sqref="K10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8">
      <formula1>"a"</formula1>
    </dataValidation>
    <dataValidation type="whole" allowBlank="1" showErrorMessage="1" errorTitle="Ошибка" error="Допускается ввод только неотрицательных целых чисел!" sqref="AI1075">
      <formula1>0</formula1>
      <formula2>9.99999999999999E+23</formula2>
    </dataValidation>
    <dataValidation type="whole" allowBlank="1" showErrorMessage="1" errorTitle="Ошибка" error="Допускается ввод только неотрицательных целых чисел!" sqref="AF1075">
      <formula1>0</formula1>
      <formula2>9.99999999999999E+23</formula2>
    </dataValidation>
    <dataValidation type="decimal" allowBlank="1" showErrorMessage="1" errorTitle="Ошибка" error="Допускается ввод только неотрицательных чисел!" sqref="AE1075">
      <formula1>0</formula1>
      <formula2>9.99999999999999E+23</formula2>
    </dataValidation>
    <dataValidation type="decimal" allowBlank="1" showErrorMessage="1" errorTitle="Ошибка" error="Допускается ввод только неотрицательных чисел!" sqref="AC1075">
      <formula1>0</formula1>
      <formula2>9.99999999999999E+23</formula2>
    </dataValidation>
    <dataValidation type="textLength" operator="lessThanOrEqual" allowBlank="1" showInputMessage="1" showErrorMessage="1" errorTitle="Ошибка" error="Допускается ввод не более 900 символов!" sqref="K10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5">
      <formula1>"a"</formula1>
    </dataValidation>
    <dataValidation type="whole" allowBlank="1" showErrorMessage="1" errorTitle="Ошибка" error="Допускается ввод только неотрицательных целых чисел!" sqref="AI1074">
      <formula1>0</formula1>
      <formula2>9.99999999999999E+23</formula2>
    </dataValidation>
    <dataValidation type="whole" allowBlank="1" showErrorMessage="1" errorTitle="Ошибка" error="Допускается ввод только неотрицательных целых чисел!" sqref="AF1074">
      <formula1>0</formula1>
      <formula2>9.99999999999999E+23</formula2>
    </dataValidation>
    <dataValidation type="textLength" operator="lessThanOrEqual" allowBlank="1" showInputMessage="1" showErrorMessage="1" errorTitle="Ошибка" error="Допускается ввод не более 900 символов!" sqref="K10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4">
      <formula1>"a"</formula1>
    </dataValidation>
    <dataValidation type="whole" allowBlank="1" showErrorMessage="1" errorTitle="Ошибка" error="Допускается ввод только неотрицательных целых чисел!" sqref="AI1073">
      <formula1>0</formula1>
      <formula2>9.99999999999999E+23</formula2>
    </dataValidation>
    <dataValidation type="whole" allowBlank="1" showErrorMessage="1" errorTitle="Ошибка" error="Допускается ввод только неотрицательных целых чисел!" sqref="AF1073">
      <formula1>0</formula1>
      <formula2>9.99999999999999E+23</formula2>
    </dataValidation>
    <dataValidation type="textLength" operator="lessThanOrEqual" allowBlank="1" showInputMessage="1" showErrorMessage="1" errorTitle="Ошибка" error="Допускается ввод не более 900 символов!" sqref="M1073">
      <formula1>900</formula1>
    </dataValidation>
    <dataValidation type="textLength" operator="lessThanOrEqual" allowBlank="1" showInputMessage="1" showErrorMessage="1" errorTitle="Ошибка" error="Допускается ввод не более 900 символов!" sqref="K10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3">
      <formula1>"a"</formula1>
    </dataValidation>
    <dataValidation type="whole" allowBlank="1" showErrorMessage="1" errorTitle="Ошибка" error="Допускается ввод только неотрицательных целых чисел!" sqref="AI1072">
      <formula1>0</formula1>
      <formula2>9.99999999999999E+23</formula2>
    </dataValidation>
    <dataValidation type="whole" allowBlank="1" showErrorMessage="1" errorTitle="Ошибка" error="Допускается ввод только неотрицательных целых чисел!" sqref="AF1072">
      <formula1>0</formula1>
      <formula2>9.99999999999999E+23</formula2>
    </dataValidation>
    <dataValidation type="whole" allowBlank="1" showErrorMessage="1" errorTitle="Ошибка" error="Допускается ввод только неотрицательных целых чисел!" sqref="AI1071">
      <formula1>0</formula1>
      <formula2>9.99999999999999E+23</formula2>
    </dataValidation>
    <dataValidation type="whole" allowBlank="1" showErrorMessage="1" errorTitle="Ошибка" error="Допускается ввод только неотрицательных целых чисел!" sqref="AF1071">
      <formula1>0</formula1>
      <formula2>9.99999999999999E+23</formula2>
    </dataValidation>
    <dataValidation type="textLength" operator="lessThanOrEqual" allowBlank="1" showInputMessage="1" showErrorMessage="1" errorTitle="Ошибка" error="Допускается ввод не более 900 символов!" sqref="K10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1">
      <formula1>"a"</formula1>
    </dataValidation>
    <dataValidation type="whole" allowBlank="1" showErrorMessage="1" errorTitle="Ошибка" error="Допускается ввод только неотрицательных целых чисел!" sqref="AI1068">
      <formula1>0</formula1>
      <formula2>9.99999999999999E+23</formula2>
    </dataValidation>
    <dataValidation type="whole" allowBlank="1" showErrorMessage="1" errorTitle="Ошибка" error="Допускается ввод только неотрицательных целых чисел!" sqref="AF1068">
      <formula1>0</formula1>
      <formula2>9.99999999999999E+23</formula2>
    </dataValidation>
    <dataValidation type="decimal" allowBlank="1" showErrorMessage="1" errorTitle="Ошибка" error="Допускается ввод только неотрицательных чисел!" sqref="AE1068">
      <formula1>0</formula1>
      <formula2>9.99999999999999E+23</formula2>
    </dataValidation>
    <dataValidation type="decimal" allowBlank="1" showErrorMessage="1" errorTitle="Ошибка" error="Допускается ввод только неотрицательных чисел!" sqref="AC1068">
      <formula1>0</formula1>
      <formula2>9.99999999999999E+23</formula2>
    </dataValidation>
    <dataValidation type="textLength" operator="lessThanOrEqual" allowBlank="1" showInputMessage="1" showErrorMessage="1" errorTitle="Ошибка" error="Допускается ввод не более 900 символов!" sqref="K10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8">
      <formula1>"a"</formula1>
    </dataValidation>
    <dataValidation type="whole" allowBlank="1" showErrorMessage="1" errorTitle="Ошибка" error="Допускается ввод только неотрицательных целых чисел!" sqref="AI1067">
      <formula1>0</formula1>
      <formula2>9.99999999999999E+23</formula2>
    </dataValidation>
    <dataValidation type="whole" allowBlank="1" showErrorMessage="1" errorTitle="Ошибка" error="Допускается ввод только неотрицательных целых чисел!" sqref="AF1067">
      <formula1>0</formula1>
      <formula2>9.99999999999999E+23</formula2>
    </dataValidation>
    <dataValidation type="textLength" operator="lessThanOrEqual" allowBlank="1" showInputMessage="1" showErrorMessage="1" errorTitle="Ошибка" error="Допускается ввод не более 900 символов!" sqref="K10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7">
      <formula1>"a"</formula1>
    </dataValidation>
    <dataValidation type="whole" allowBlank="1" showErrorMessage="1" errorTitle="Ошибка" error="Допускается ввод только неотрицательных целых чисел!" sqref="AI1066">
      <formula1>0</formula1>
      <formula2>9.99999999999999E+23</formula2>
    </dataValidation>
    <dataValidation type="whole" allowBlank="1" showErrorMessage="1" errorTitle="Ошибка" error="Допускается ввод только неотрицательных целых чисел!" sqref="AF1066">
      <formula1>0</formula1>
      <formula2>9.99999999999999E+23</formula2>
    </dataValidation>
    <dataValidation type="textLength" operator="lessThanOrEqual" allowBlank="1" showInputMessage="1" showErrorMessage="1" errorTitle="Ошибка" error="Допускается ввод не более 900 символов!" sqref="M1066">
      <formula1>900</formula1>
    </dataValidation>
    <dataValidation type="textLength" operator="lessThanOrEqual" allowBlank="1" showInputMessage="1" showErrorMessage="1" errorTitle="Ошибка" error="Допускается ввод не более 900 символов!" sqref="K10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6">
      <formula1>"a"</formula1>
    </dataValidation>
    <dataValidation type="whole" allowBlank="1" showErrorMessage="1" errorTitle="Ошибка" error="Допускается ввод только неотрицательных целых чисел!" sqref="AI1065">
      <formula1>0</formula1>
      <formula2>9.99999999999999E+23</formula2>
    </dataValidation>
    <dataValidation type="whole" allowBlank="1" showErrorMessage="1" errorTitle="Ошибка" error="Допускается ввод только неотрицательных целых чисел!" sqref="AF1065">
      <formula1>0</formula1>
      <formula2>9.99999999999999E+23</formula2>
    </dataValidation>
    <dataValidation type="whole" allowBlank="1" showErrorMessage="1" errorTitle="Ошибка" error="Допускается ввод только неотрицательных целых чисел!" sqref="AI1064">
      <formula1>0</formula1>
      <formula2>9.99999999999999E+23</formula2>
    </dataValidation>
    <dataValidation type="whole" allowBlank="1" showErrorMessage="1" errorTitle="Ошибка" error="Допускается ввод только неотрицательных целых чисел!" sqref="AF1064">
      <formula1>0</formula1>
      <formula2>9.99999999999999E+23</formula2>
    </dataValidation>
    <dataValidation type="textLength" operator="lessThanOrEqual" allowBlank="1" showInputMessage="1" showErrorMessage="1" errorTitle="Ошибка" error="Допускается ввод не более 900 символов!" sqref="K10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4">
      <formula1>"a"</formula1>
    </dataValidation>
    <dataValidation type="whole" allowBlank="1" showErrorMessage="1" errorTitle="Ошибка" error="Допускается ввод только неотрицательных целых чисел!" sqref="AI1061">
      <formula1>0</formula1>
      <formula2>9.99999999999999E+23</formula2>
    </dataValidation>
    <dataValidation type="whole" allowBlank="1" showErrorMessage="1" errorTitle="Ошибка" error="Допускается ввод только неотрицательных целых чисел!" sqref="AF1061">
      <formula1>0</formula1>
      <formula2>9.99999999999999E+23</formula2>
    </dataValidation>
    <dataValidation type="decimal" allowBlank="1" showErrorMessage="1" errorTitle="Ошибка" error="Допускается ввод только неотрицательных чисел!" sqref="AE1061">
      <formula1>0</formula1>
      <formula2>9.99999999999999E+23</formula2>
    </dataValidation>
    <dataValidation type="decimal" allowBlank="1" showErrorMessage="1" errorTitle="Ошибка" error="Допускается ввод только неотрицательных чисел!" sqref="AC1061">
      <formula1>0</formula1>
      <formula2>9.99999999999999E+23</formula2>
    </dataValidation>
    <dataValidation type="textLength" operator="lessThanOrEqual" allowBlank="1" showInputMessage="1" showErrorMessage="1" errorTitle="Ошибка" error="Допускается ввод не более 900 символов!" sqref="K10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1">
      <formula1>"a"</formula1>
    </dataValidation>
    <dataValidation type="whole" allowBlank="1" showErrorMessage="1" errorTitle="Ошибка" error="Допускается ввод только неотрицательных целых чисел!" sqref="AI1060">
      <formula1>0</formula1>
      <formula2>9.99999999999999E+23</formula2>
    </dataValidation>
    <dataValidation type="whole" allowBlank="1" showErrorMessage="1" errorTitle="Ошибка" error="Допускается ввод только неотрицательных целых чисел!" sqref="AF1060">
      <formula1>0</formula1>
      <formula2>9.99999999999999E+23</formula2>
    </dataValidation>
    <dataValidation type="textLength" operator="lessThanOrEqual" allowBlank="1" showInputMessage="1" showErrorMessage="1" errorTitle="Ошибка" error="Допускается ввод не более 900 символов!" sqref="K10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0">
      <formula1>"a"</formula1>
    </dataValidation>
    <dataValidation type="whole" allowBlank="1" showErrorMessage="1" errorTitle="Ошибка" error="Допускается ввод только неотрицательных целых чисел!" sqref="AI1059">
      <formula1>0</formula1>
      <formula2>9.99999999999999E+23</formula2>
    </dataValidation>
    <dataValidation type="whole" allowBlank="1" showErrorMessage="1" errorTitle="Ошибка" error="Допускается ввод только неотрицательных целых чисел!" sqref="AF1059">
      <formula1>0</formula1>
      <formula2>9.99999999999999E+23</formula2>
    </dataValidation>
    <dataValidation type="textLength" operator="lessThanOrEqual" allowBlank="1" showInputMessage="1" showErrorMessage="1" errorTitle="Ошибка" error="Допускается ввод не более 900 символов!" sqref="M1059">
      <formula1>900</formula1>
    </dataValidation>
    <dataValidation type="textLength" operator="lessThanOrEqual" allowBlank="1" showInputMessage="1" showErrorMessage="1" errorTitle="Ошибка" error="Допускается ввод не более 900 символов!" sqref="K10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9">
      <formula1>"a"</formula1>
    </dataValidation>
    <dataValidation type="whole" allowBlank="1" showErrorMessage="1" errorTitle="Ошибка" error="Допускается ввод только неотрицательных целых чисел!" sqref="AI1058">
      <formula1>0</formula1>
      <formula2>9.99999999999999E+23</formula2>
    </dataValidation>
    <dataValidation type="whole" allowBlank="1" showErrorMessage="1" errorTitle="Ошибка" error="Допускается ввод только неотрицательных целых чисел!" sqref="AF1058">
      <formula1>0</formula1>
      <formula2>9.99999999999999E+23</formula2>
    </dataValidation>
    <dataValidation type="whole" allowBlank="1" showErrorMessage="1" errorTitle="Ошибка" error="Допускается ввод только неотрицательных целых чисел!" sqref="AI1057">
      <formula1>0</formula1>
      <formula2>9.99999999999999E+23</formula2>
    </dataValidation>
    <dataValidation type="whole" allowBlank="1" showErrorMessage="1" errorTitle="Ошибка" error="Допускается ввод только неотрицательных целых чисел!" sqref="AF1057">
      <formula1>0</formula1>
      <formula2>9.99999999999999E+23</formula2>
    </dataValidation>
    <dataValidation type="textLength" operator="lessThanOrEqual" allowBlank="1" showInputMessage="1" showErrorMessage="1" errorTitle="Ошибка" error="Допускается ввод не более 900 символов!" sqref="K10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7">
      <formula1>"a"</formula1>
    </dataValidation>
    <dataValidation type="whole" allowBlank="1" showErrorMessage="1" errorTitle="Ошибка" error="Допускается ввод только неотрицательных целых чисел!" sqref="AI1054">
      <formula1>0</formula1>
      <formula2>9.99999999999999E+23</formula2>
    </dataValidation>
    <dataValidation type="whole" allowBlank="1" showErrorMessage="1" errorTitle="Ошибка" error="Допускается ввод только неотрицательных целых чисел!" sqref="AF1054">
      <formula1>0</formula1>
      <formula2>9.99999999999999E+23</formula2>
    </dataValidation>
    <dataValidation type="decimal" allowBlank="1" showErrorMessage="1" errorTitle="Ошибка" error="Допускается ввод только неотрицательных чисел!" sqref="AE1054">
      <formula1>0</formula1>
      <formula2>9.99999999999999E+23</formula2>
    </dataValidation>
    <dataValidation type="decimal" allowBlank="1" showErrorMessage="1" errorTitle="Ошибка" error="Допускается ввод только неотрицательных чисел!" sqref="AC1054">
      <formula1>0</formula1>
      <formula2>9.99999999999999E+23</formula2>
    </dataValidation>
    <dataValidation type="textLength" operator="lessThanOrEqual" allowBlank="1" showInputMessage="1" showErrorMessage="1" errorTitle="Ошибка" error="Допускается ввод не более 900 символов!" sqref="K10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4">
      <formula1>"a"</formula1>
    </dataValidation>
    <dataValidation type="whole" allowBlank="1" showErrorMessage="1" errorTitle="Ошибка" error="Допускается ввод только неотрицательных целых чисел!" sqref="AI1053">
      <formula1>0</formula1>
      <formula2>9.99999999999999E+23</formula2>
    </dataValidation>
    <dataValidation type="whole" allowBlank="1" showErrorMessage="1" errorTitle="Ошибка" error="Допускается ввод только неотрицательных целых чисел!" sqref="AF1053">
      <formula1>0</formula1>
      <formula2>9.99999999999999E+23</formula2>
    </dataValidation>
    <dataValidation type="textLength" operator="lessThanOrEqual" allowBlank="1" showInputMessage="1" showErrorMessage="1" errorTitle="Ошибка" error="Допускается ввод не более 900 символов!" sqref="K10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3">
      <formula1>"a"</formula1>
    </dataValidation>
    <dataValidation type="whole" allowBlank="1" showErrorMessage="1" errorTitle="Ошибка" error="Допускается ввод только неотрицательных целых чисел!" sqref="AI1052">
      <formula1>0</formula1>
      <formula2>9.99999999999999E+23</formula2>
    </dataValidation>
    <dataValidation type="whole" allowBlank="1" showErrorMessage="1" errorTitle="Ошибка" error="Допускается ввод только неотрицательных целых чисел!" sqref="AF1052">
      <formula1>0</formula1>
      <formula2>9.99999999999999E+23</formula2>
    </dataValidation>
    <dataValidation type="textLength" operator="lessThanOrEqual" allowBlank="1" showInputMessage="1" showErrorMessage="1" errorTitle="Ошибка" error="Допускается ввод не более 900 символов!" sqref="M1052">
      <formula1>900</formula1>
    </dataValidation>
    <dataValidation type="textLength" operator="lessThanOrEqual" allowBlank="1" showInputMessage="1" showErrorMessage="1" errorTitle="Ошибка" error="Допускается ввод не более 900 символов!" sqref="K10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2">
      <formula1>"a"</formula1>
    </dataValidation>
    <dataValidation type="whole" allowBlank="1" showErrorMessage="1" errorTitle="Ошибка" error="Допускается ввод только неотрицательных целых чисел!" sqref="AI1051">
      <formula1>0</formula1>
      <formula2>9.99999999999999E+23</formula2>
    </dataValidation>
    <dataValidation type="whole" allowBlank="1" showErrorMessage="1" errorTitle="Ошибка" error="Допускается ввод только неотрицательных целых чисел!" sqref="AF1051">
      <formula1>0</formula1>
      <formula2>9.99999999999999E+23</formula2>
    </dataValidation>
    <dataValidation type="whole" allowBlank="1" showErrorMessage="1" errorTitle="Ошибка" error="Допускается ввод только неотрицательных целых чисел!" sqref="AI1050">
      <formula1>0</formula1>
      <formula2>9.99999999999999E+23</formula2>
    </dataValidation>
    <dataValidation type="whole" allowBlank="1" showErrorMessage="1" errorTitle="Ошибка" error="Допускается ввод только неотрицательных целых чисел!" sqref="AF1050">
      <formula1>0</formula1>
      <formula2>9.99999999999999E+23</formula2>
    </dataValidation>
    <dataValidation type="textLength" operator="lessThanOrEqual" allowBlank="1" showInputMessage="1" showErrorMessage="1" errorTitle="Ошибка" error="Допускается ввод не более 900 символов!" sqref="K10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0">
      <formula1>"a"</formula1>
    </dataValidation>
    <dataValidation type="whole" allowBlank="1" showErrorMessage="1" errorTitle="Ошибка" error="Допускается ввод только неотрицательных целых чисел!" sqref="AI1047">
      <formula1>0</formula1>
      <formula2>9.99999999999999E+23</formula2>
    </dataValidation>
    <dataValidation type="whole" allowBlank="1" showErrorMessage="1" errorTitle="Ошибка" error="Допускается ввод только неотрицательных целых чисел!" sqref="AF1047">
      <formula1>0</formula1>
      <formula2>9.99999999999999E+23</formula2>
    </dataValidation>
    <dataValidation type="decimal" allowBlank="1" showErrorMessage="1" errorTitle="Ошибка" error="Допускается ввод только неотрицательных чисел!" sqref="AE1047">
      <formula1>0</formula1>
      <formula2>9.99999999999999E+23</formula2>
    </dataValidation>
    <dataValidation type="decimal" allowBlank="1" showErrorMessage="1" errorTitle="Ошибка" error="Допускается ввод только неотрицательных чисел!" sqref="AC1047">
      <formula1>0</formula1>
      <formula2>9.99999999999999E+23</formula2>
    </dataValidation>
    <dataValidation type="textLength" operator="lessThanOrEqual" allowBlank="1" showInputMessage="1" showErrorMessage="1" errorTitle="Ошибка" error="Допускается ввод не более 900 символов!" sqref="K10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7">
      <formula1>"a"</formula1>
    </dataValidation>
    <dataValidation type="whole" allowBlank="1" showErrorMessage="1" errorTitle="Ошибка" error="Допускается ввод только неотрицательных целых чисел!" sqref="AI1046">
      <formula1>0</formula1>
      <formula2>9.99999999999999E+23</formula2>
    </dataValidation>
    <dataValidation type="whole" allowBlank="1" showErrorMessage="1" errorTitle="Ошибка" error="Допускается ввод только неотрицательных целых чисел!" sqref="AF1046">
      <formula1>0</formula1>
      <formula2>9.99999999999999E+23</formula2>
    </dataValidation>
    <dataValidation type="textLength" operator="lessThanOrEqual" allowBlank="1" showInputMessage="1" showErrorMessage="1" errorTitle="Ошибка" error="Допускается ввод не более 900 символов!" sqref="K10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6">
      <formula1>"a"</formula1>
    </dataValidation>
    <dataValidation type="whole" allowBlank="1" showErrorMessage="1" errorTitle="Ошибка" error="Допускается ввод только неотрицательных целых чисел!" sqref="AI1045">
      <formula1>0</formula1>
      <formula2>9.99999999999999E+23</formula2>
    </dataValidation>
    <dataValidation type="whole" allowBlank="1" showErrorMessage="1" errorTitle="Ошибка" error="Допускается ввод только неотрицательных целых чисел!" sqref="AF1045">
      <formula1>0</formula1>
      <formula2>9.99999999999999E+23</formula2>
    </dataValidation>
    <dataValidation type="textLength" operator="lessThanOrEqual" allowBlank="1" showInputMessage="1" showErrorMessage="1" errorTitle="Ошибка" error="Допускается ввод не более 900 символов!" sqref="M1045">
      <formula1>900</formula1>
    </dataValidation>
    <dataValidation type="textLength" operator="lessThanOrEqual" allowBlank="1" showInputMessage="1" showErrorMessage="1" errorTitle="Ошибка" error="Допускается ввод не более 900 символов!" sqref="K10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5">
      <formula1>"a"</formula1>
    </dataValidation>
    <dataValidation type="whole" allowBlank="1" showErrorMessage="1" errorTitle="Ошибка" error="Допускается ввод только неотрицательных целых чисел!" sqref="AI1044">
      <formula1>0</formula1>
      <formula2>9.99999999999999E+23</formula2>
    </dataValidation>
    <dataValidation type="whole" allowBlank="1" showErrorMessage="1" errorTitle="Ошибка" error="Допускается ввод только неотрицательных целых чисел!" sqref="AF1044">
      <formula1>0</formula1>
      <formula2>9.99999999999999E+23</formula2>
    </dataValidation>
    <dataValidation type="whole" allowBlank="1" showErrorMessage="1" errorTitle="Ошибка" error="Допускается ввод только неотрицательных целых чисел!" sqref="AI1043">
      <formula1>0</formula1>
      <formula2>9.99999999999999E+23</formula2>
    </dataValidation>
    <dataValidation type="whole" allowBlank="1" showErrorMessage="1" errorTitle="Ошибка" error="Допускается ввод только неотрицательных целых чисел!" sqref="AF1043">
      <formula1>0</formula1>
      <formula2>9.99999999999999E+23</formula2>
    </dataValidation>
    <dataValidation type="textLength" operator="lessThanOrEqual" allowBlank="1" showInputMessage="1" showErrorMessage="1" errorTitle="Ошибка" error="Допускается ввод не более 900 символов!" sqref="K10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3">
      <formula1>"a"</formula1>
    </dataValidation>
    <dataValidation type="whole" allowBlank="1" showErrorMessage="1" errorTitle="Ошибка" error="Допускается ввод только неотрицательных целых чисел!" sqref="AI1040">
      <formula1>0</formula1>
      <formula2>9.99999999999999E+23</formula2>
    </dataValidation>
    <dataValidation type="whole" allowBlank="1" showErrorMessage="1" errorTitle="Ошибка" error="Допускается ввод только неотрицательных целых чисел!" sqref="AF1040">
      <formula1>0</formula1>
      <formula2>9.99999999999999E+23</formula2>
    </dataValidation>
    <dataValidation type="decimal" allowBlank="1" showErrorMessage="1" errorTitle="Ошибка" error="Допускается ввод только неотрицательных чисел!" sqref="AE1040">
      <formula1>0</formula1>
      <formula2>9.99999999999999E+23</formula2>
    </dataValidation>
    <dataValidation type="decimal" allowBlank="1" showErrorMessage="1" errorTitle="Ошибка" error="Допускается ввод только неотрицательных чисел!" sqref="AC1040">
      <formula1>0</formula1>
      <formula2>9.99999999999999E+23</formula2>
    </dataValidation>
    <dataValidation type="textLength" operator="lessThanOrEqual" allowBlank="1" showInputMessage="1" showErrorMessage="1" errorTitle="Ошибка" error="Допускается ввод не более 900 символов!" sqref="K10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0">
      <formula1>"a"</formula1>
    </dataValidation>
    <dataValidation type="whole" allowBlank="1" showErrorMessage="1" errorTitle="Ошибка" error="Допускается ввод только неотрицательных целых чисел!" sqref="AI1039">
      <formula1>0</formula1>
      <formula2>9.99999999999999E+23</formula2>
    </dataValidation>
    <dataValidation type="whole" allowBlank="1" showErrorMessage="1" errorTitle="Ошибка" error="Допускается ввод только неотрицательных целых чисел!" sqref="AF1039">
      <formula1>0</formula1>
      <formula2>9.99999999999999E+23</formula2>
    </dataValidation>
    <dataValidation type="textLength" operator="lessThanOrEqual" allowBlank="1" showInputMessage="1" showErrorMessage="1" errorTitle="Ошибка" error="Допускается ввод не более 900 символов!" sqref="K10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9">
      <formula1>"a"</formula1>
    </dataValidation>
    <dataValidation type="whole" allowBlank="1" showErrorMessage="1" errorTitle="Ошибка" error="Допускается ввод только неотрицательных целых чисел!" sqref="AI1038">
      <formula1>0</formula1>
      <formula2>9.99999999999999E+23</formula2>
    </dataValidation>
    <dataValidation type="whole" allowBlank="1" showErrorMessage="1" errorTitle="Ошибка" error="Допускается ввод только неотрицательных целых чисел!" sqref="AF1038">
      <formula1>0</formula1>
      <formula2>9.99999999999999E+23</formula2>
    </dataValidation>
    <dataValidation type="textLength" operator="lessThanOrEqual" allowBlank="1" showInputMessage="1" showErrorMessage="1" errorTitle="Ошибка" error="Допускается ввод не более 900 символов!" sqref="M1038">
      <formula1>900</formula1>
    </dataValidation>
    <dataValidation type="textLength" operator="lessThanOrEqual" allowBlank="1" showInputMessage="1" showErrorMessage="1" errorTitle="Ошибка" error="Допускается ввод не более 900 символов!" sqref="K10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8">
      <formula1>"a"</formula1>
    </dataValidation>
    <dataValidation type="whole" allowBlank="1" showErrorMessage="1" errorTitle="Ошибка" error="Допускается ввод только неотрицательных целых чисел!" sqref="AI1037">
      <formula1>0</formula1>
      <formula2>9.99999999999999E+23</formula2>
    </dataValidation>
    <dataValidation type="whole" allowBlank="1" showErrorMessage="1" errorTitle="Ошибка" error="Допускается ввод только неотрицательных целых чисел!" sqref="AF1037">
      <formula1>0</formula1>
      <formula2>9.99999999999999E+23</formula2>
    </dataValidation>
    <dataValidation type="whole" allowBlank="1" showErrorMessage="1" errorTitle="Ошибка" error="Допускается ввод только неотрицательных целых чисел!" sqref="AI1036">
      <formula1>0</formula1>
      <formula2>9.99999999999999E+23</formula2>
    </dataValidation>
    <dataValidation type="whole" allowBlank="1" showErrorMessage="1" errorTitle="Ошибка" error="Допускается ввод только неотрицательных целых чисел!" sqref="AF1036">
      <formula1>0</formula1>
      <formula2>9.99999999999999E+23</formula2>
    </dataValidation>
    <dataValidation type="textLength" operator="lessThanOrEqual" allowBlank="1" showInputMessage="1" showErrorMessage="1" errorTitle="Ошибка" error="Допускается ввод не более 900 символов!" sqref="K10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6">
      <formula1>"a"</formula1>
    </dataValidation>
    <dataValidation type="whole" allowBlank="1" showErrorMessage="1" errorTitle="Ошибка" error="Допускается ввод только неотрицательных целых чисел!" sqref="AI1033">
      <formula1>0</formula1>
      <formula2>9.99999999999999E+23</formula2>
    </dataValidation>
    <dataValidation type="whole" allowBlank="1" showErrorMessage="1" errorTitle="Ошибка" error="Допускается ввод только неотрицательных целых чисел!" sqref="AF1033">
      <formula1>0</formula1>
      <formula2>9.99999999999999E+23</formula2>
    </dataValidation>
    <dataValidation type="decimal" allowBlank="1" showErrorMessage="1" errorTitle="Ошибка" error="Допускается ввод только неотрицательных чисел!" sqref="AE1033">
      <formula1>0</formula1>
      <formula2>9.99999999999999E+23</formula2>
    </dataValidation>
    <dataValidation type="decimal" allowBlank="1" showErrorMessage="1" errorTitle="Ошибка" error="Допускается ввод только неотрицательных чисел!" sqref="AC1033">
      <formula1>0</formula1>
      <formula2>9.99999999999999E+23</formula2>
    </dataValidation>
    <dataValidation type="textLength" operator="lessThanOrEqual" allowBlank="1" showInputMessage="1" showErrorMessage="1" errorTitle="Ошибка" error="Допускается ввод не более 900 символов!" sqref="K10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3">
      <formula1>"a"</formula1>
    </dataValidation>
    <dataValidation type="whole" allowBlank="1" showErrorMessage="1" errorTitle="Ошибка" error="Допускается ввод только неотрицательных целых чисел!" sqref="AI1032">
      <formula1>0</formula1>
      <formula2>9.99999999999999E+23</formula2>
    </dataValidation>
    <dataValidation type="whole" allowBlank="1" showErrorMessage="1" errorTitle="Ошибка" error="Допускается ввод только неотрицательных целых чисел!" sqref="AF1032">
      <formula1>0</formula1>
      <formula2>9.99999999999999E+23</formula2>
    </dataValidation>
    <dataValidation type="textLength" operator="lessThanOrEqual" allowBlank="1" showInputMessage="1" showErrorMessage="1" errorTitle="Ошибка" error="Допускается ввод не более 900 символов!" sqref="K10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2">
      <formula1>"a"</formula1>
    </dataValidation>
    <dataValidation type="whole" allowBlank="1" showErrorMessage="1" errorTitle="Ошибка" error="Допускается ввод только неотрицательных целых чисел!" sqref="AI1031">
      <formula1>0</formula1>
      <formula2>9.99999999999999E+23</formula2>
    </dataValidation>
    <dataValidation type="whole" allowBlank="1" showErrorMessage="1" errorTitle="Ошибка" error="Допускается ввод только неотрицательных целых чисел!" sqref="AF1031">
      <formula1>0</formula1>
      <formula2>9.99999999999999E+23</formula2>
    </dataValidation>
    <dataValidation type="textLength" operator="lessThanOrEqual" allowBlank="1" showInputMessage="1" showErrorMessage="1" errorTitle="Ошибка" error="Допускается ввод не более 900 символов!" sqref="M1031">
      <formula1>900</formula1>
    </dataValidation>
    <dataValidation type="textLength" operator="lessThanOrEqual" allowBlank="1" showInputMessage="1" showErrorMessage="1" errorTitle="Ошибка" error="Допускается ввод не более 900 символов!" sqref="K10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1">
      <formula1>"a"</formula1>
    </dataValidation>
    <dataValidation type="whole" allowBlank="1" showErrorMessage="1" errorTitle="Ошибка" error="Допускается ввод только неотрицательных целых чисел!" sqref="AI1030">
      <formula1>0</formula1>
      <formula2>9.99999999999999E+23</formula2>
    </dataValidation>
    <dataValidation type="whole" allowBlank="1" showErrorMessage="1" errorTitle="Ошибка" error="Допускается ввод только неотрицательных целых чисел!" sqref="AF1030">
      <formula1>0</formula1>
      <formula2>9.99999999999999E+23</formula2>
    </dataValidation>
    <dataValidation type="whole" allowBlank="1" showErrorMessage="1" errorTitle="Ошибка" error="Допускается ввод только неотрицательных целых чисел!" sqref="AI1029">
      <formula1>0</formula1>
      <formula2>9.99999999999999E+23</formula2>
    </dataValidation>
    <dataValidation type="whole" allowBlank="1" showErrorMessage="1" errorTitle="Ошибка" error="Допускается ввод только неотрицательных целых чисел!" sqref="AF1029">
      <formula1>0</formula1>
      <formula2>9.99999999999999E+23</formula2>
    </dataValidation>
    <dataValidation type="textLength" operator="lessThanOrEqual" allowBlank="1" showInputMessage="1" showErrorMessage="1" errorTitle="Ошибка" error="Допускается ввод не более 900 символов!" sqref="K10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9">
      <formula1>"a"</formula1>
    </dataValidation>
    <dataValidation type="whole" allowBlank="1" showErrorMessage="1" errorTitle="Ошибка" error="Допускается ввод только неотрицательных целых чисел!" sqref="AI1026">
      <formula1>0</formula1>
      <formula2>9.99999999999999E+23</formula2>
    </dataValidation>
    <dataValidation type="whole" allowBlank="1" showErrorMessage="1" errorTitle="Ошибка" error="Допускается ввод только неотрицательных целых чисел!" sqref="AF1026">
      <formula1>0</formula1>
      <formula2>9.99999999999999E+23</formula2>
    </dataValidation>
    <dataValidation type="decimal" allowBlank="1" showErrorMessage="1" errorTitle="Ошибка" error="Допускается ввод только неотрицательных чисел!" sqref="AE1026">
      <formula1>0</formula1>
      <formula2>9.99999999999999E+23</formula2>
    </dataValidation>
    <dataValidation type="decimal" allowBlank="1" showErrorMessage="1" errorTitle="Ошибка" error="Допускается ввод только неотрицательных чисел!" sqref="AC1026">
      <formula1>0</formula1>
      <formula2>9.99999999999999E+23</formula2>
    </dataValidation>
    <dataValidation type="textLength" operator="lessThanOrEqual" allowBlank="1" showInputMessage="1" showErrorMessage="1" errorTitle="Ошибка" error="Допускается ввод не более 900 символов!" sqref="K10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6">
      <formula1>"a"</formula1>
    </dataValidation>
    <dataValidation type="whole" allowBlank="1" showErrorMessage="1" errorTitle="Ошибка" error="Допускается ввод только неотрицательных целых чисел!" sqref="AI1025">
      <formula1>0</formula1>
      <formula2>9.99999999999999E+23</formula2>
    </dataValidation>
    <dataValidation type="whole" allowBlank="1" showErrorMessage="1" errorTitle="Ошибка" error="Допускается ввод только неотрицательных целых чисел!" sqref="AF1025">
      <formula1>0</formula1>
      <formula2>9.99999999999999E+23</formula2>
    </dataValidation>
    <dataValidation type="textLength" operator="lessThanOrEqual" allowBlank="1" showInputMessage="1" showErrorMessage="1" errorTitle="Ошибка" error="Допускается ввод не более 900 символов!" sqref="K10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5">
      <formula1>"a"</formula1>
    </dataValidation>
    <dataValidation type="whole" allowBlank="1" showErrorMessage="1" errorTitle="Ошибка" error="Допускается ввод только неотрицательных целых чисел!" sqref="AI1024">
      <formula1>0</formula1>
      <formula2>9.99999999999999E+23</formula2>
    </dataValidation>
    <dataValidation type="whole" allowBlank="1" showErrorMessage="1" errorTitle="Ошибка" error="Допускается ввод только неотрицательных целых чисел!" sqref="AF1024">
      <formula1>0</formula1>
      <formula2>9.99999999999999E+23</formula2>
    </dataValidation>
    <dataValidation type="textLength" operator="lessThanOrEqual" allowBlank="1" showInputMessage="1" showErrorMessage="1" errorTitle="Ошибка" error="Допускается ввод не более 900 символов!" sqref="M1024">
      <formula1>900</formula1>
    </dataValidation>
    <dataValidation type="textLength" operator="lessThanOrEqual" allowBlank="1" showInputMessage="1" showErrorMessage="1" errorTitle="Ошибка" error="Допускается ввод не более 900 символов!" sqref="K10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4">
      <formula1>"a"</formula1>
    </dataValidation>
    <dataValidation type="whole" allowBlank="1" showErrorMessage="1" errorTitle="Ошибка" error="Допускается ввод только неотрицательных целых чисел!" sqref="AI1023">
      <formula1>0</formula1>
      <formula2>9.99999999999999E+23</formula2>
    </dataValidation>
    <dataValidation type="whole" allowBlank="1" showErrorMessage="1" errorTitle="Ошибка" error="Допускается ввод только неотрицательных целых чисел!" sqref="AF1023">
      <formula1>0</formula1>
      <formula2>9.99999999999999E+23</formula2>
    </dataValidation>
    <dataValidation type="whole" allowBlank="1" showErrorMessage="1" errorTitle="Ошибка" error="Допускается ввод только неотрицательных целых чисел!" sqref="AI1022">
      <formula1>0</formula1>
      <formula2>9.99999999999999E+23</formula2>
    </dataValidation>
    <dataValidation type="whole" allowBlank="1" showErrorMessage="1" errorTitle="Ошибка" error="Допускается ввод только неотрицательных целых чисел!" sqref="AF1022">
      <formula1>0</formula1>
      <formula2>9.99999999999999E+23</formula2>
    </dataValidation>
    <dataValidation type="textLength" operator="lessThanOrEqual" allowBlank="1" showInputMessage="1" showErrorMessage="1" errorTitle="Ошибка" error="Допускается ввод не более 900 символов!" sqref="K10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2">
      <formula1>"a"</formula1>
    </dataValidation>
    <dataValidation type="whole" allowBlank="1" showErrorMessage="1" errorTitle="Ошибка" error="Допускается ввод только неотрицательных целых чисел!" sqref="AI1019">
      <formula1>0</formula1>
      <formula2>9.99999999999999E+23</formula2>
    </dataValidation>
    <dataValidation type="whole" allowBlank="1" showErrorMessage="1" errorTitle="Ошибка" error="Допускается ввод только неотрицательных целых чисел!" sqref="AF1019">
      <formula1>0</formula1>
      <formula2>9.99999999999999E+23</formula2>
    </dataValidation>
    <dataValidation type="decimal" allowBlank="1" showErrorMessage="1" errorTitle="Ошибка" error="Допускается ввод только неотрицательных чисел!" sqref="AE1019">
      <formula1>0</formula1>
      <formula2>9.99999999999999E+23</formula2>
    </dataValidation>
    <dataValidation type="decimal" allowBlank="1" showErrorMessage="1" errorTitle="Ошибка" error="Допускается ввод только неотрицательных чисел!" sqref="AC1019">
      <formula1>0</formula1>
      <formula2>9.99999999999999E+23</formula2>
    </dataValidation>
    <dataValidation type="textLength" operator="lessThanOrEqual" allowBlank="1" showInputMessage="1" showErrorMessage="1" errorTitle="Ошибка" error="Допускается ввод не более 900 символов!" sqref="K10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9">
      <formula1>"a"</formula1>
    </dataValidation>
    <dataValidation type="whole" allowBlank="1" showErrorMessage="1" errorTitle="Ошибка" error="Допускается ввод только неотрицательных целых чисел!" sqref="AI1018">
      <formula1>0</formula1>
      <formula2>9.99999999999999E+23</formula2>
    </dataValidation>
    <dataValidation type="whole" allowBlank="1" showErrorMessage="1" errorTitle="Ошибка" error="Допускается ввод только неотрицательных целых чисел!" sqref="AF1018">
      <formula1>0</formula1>
      <formula2>9.99999999999999E+23</formula2>
    </dataValidation>
    <dataValidation type="textLength" operator="lessThanOrEqual" allowBlank="1" showInputMessage="1" showErrorMessage="1" errorTitle="Ошибка" error="Допускается ввод не более 900 символов!" sqref="K10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8">
      <formula1>"a"</formula1>
    </dataValidation>
    <dataValidation type="whole" allowBlank="1" showErrorMessage="1" errorTitle="Ошибка" error="Допускается ввод только неотрицательных целых чисел!" sqref="AI1017">
      <formula1>0</formula1>
      <formula2>9.99999999999999E+23</formula2>
    </dataValidation>
    <dataValidation type="whole" allowBlank="1" showErrorMessage="1" errorTitle="Ошибка" error="Допускается ввод только неотрицательных целых чисел!" sqref="AF1017">
      <formula1>0</formula1>
      <formula2>9.99999999999999E+23</formula2>
    </dataValidation>
    <dataValidation type="textLength" operator="lessThanOrEqual" allowBlank="1" showInputMessage="1" showErrorMessage="1" errorTitle="Ошибка" error="Допускается ввод не более 900 символов!" sqref="M1017">
      <formula1>900</formula1>
    </dataValidation>
    <dataValidation type="textLength" operator="lessThanOrEqual" allowBlank="1" showInputMessage="1" showErrorMessage="1" errorTitle="Ошибка" error="Допускается ввод не более 900 символов!" sqref="K10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7">
      <formula1>"a"</formula1>
    </dataValidation>
    <dataValidation type="whole" allowBlank="1" showErrorMessage="1" errorTitle="Ошибка" error="Допускается ввод только неотрицательных целых чисел!" sqref="AI1016">
      <formula1>0</formula1>
      <formula2>9.99999999999999E+23</formula2>
    </dataValidation>
    <dataValidation type="whole" allowBlank="1" showErrorMessage="1" errorTitle="Ошибка" error="Допускается ввод только неотрицательных целых чисел!" sqref="AF1016">
      <formula1>0</formula1>
      <formula2>9.99999999999999E+23</formula2>
    </dataValidation>
    <dataValidation type="whole" allowBlank="1" showErrorMessage="1" errorTitle="Ошибка" error="Допускается ввод только неотрицательных целых чисел!" sqref="AI1015">
      <formula1>0</formula1>
      <formula2>9.99999999999999E+23</formula2>
    </dataValidation>
    <dataValidation type="whole" allowBlank="1" showErrorMessage="1" errorTitle="Ошибка" error="Допускается ввод только неотрицательных целых чисел!" sqref="AF1015">
      <formula1>0</formula1>
      <formula2>9.99999999999999E+23</formula2>
    </dataValidation>
    <dataValidation type="textLength" operator="lessThanOrEqual" allowBlank="1" showInputMessage="1" showErrorMessage="1" errorTitle="Ошибка" error="Допускается ввод не более 900 символов!" sqref="K10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5">
      <formula1>"a"</formula1>
    </dataValidation>
    <dataValidation type="whole" allowBlank="1" showErrorMessage="1" errorTitle="Ошибка" error="Допускается ввод только неотрицательных целых чисел!" sqref="AI1012">
      <formula1>0</formula1>
      <formula2>9.99999999999999E+23</formula2>
    </dataValidation>
    <dataValidation type="whole" allowBlank="1" showErrorMessage="1" errorTitle="Ошибка" error="Допускается ввод только неотрицательных целых чисел!" sqref="AF1012">
      <formula1>0</formula1>
      <formula2>9.99999999999999E+23</formula2>
    </dataValidation>
    <dataValidation type="decimal" allowBlank="1" showErrorMessage="1" errorTitle="Ошибка" error="Допускается ввод только неотрицательных чисел!" sqref="AE1012">
      <formula1>0</formula1>
      <formula2>9.99999999999999E+23</formula2>
    </dataValidation>
    <dataValidation type="decimal" allowBlank="1" showErrorMessage="1" errorTitle="Ошибка" error="Допускается ввод только неотрицательных чисел!" sqref="AC1012">
      <formula1>0</formula1>
      <formula2>9.99999999999999E+23</formula2>
    </dataValidation>
    <dataValidation type="textLength" operator="lessThanOrEqual" allowBlank="1" showInputMessage="1" showErrorMessage="1" errorTitle="Ошибка" error="Допускается ввод не более 900 символов!" sqref="K10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2">
      <formula1>"a"</formula1>
    </dataValidation>
    <dataValidation type="whole" allowBlank="1" showErrorMessage="1" errorTitle="Ошибка" error="Допускается ввод только неотрицательных целых чисел!" sqref="AI1011">
      <formula1>0</formula1>
      <formula2>9.99999999999999E+23</formula2>
    </dataValidation>
    <dataValidation type="whole" allowBlank="1" showErrorMessage="1" errorTitle="Ошибка" error="Допускается ввод только неотрицательных целых чисел!" sqref="AF1011">
      <formula1>0</formula1>
      <formula2>9.99999999999999E+23</formula2>
    </dataValidation>
    <dataValidation type="textLength" operator="lessThanOrEqual" allowBlank="1" showInputMessage="1" showErrorMessage="1" errorTitle="Ошибка" error="Допускается ввод не более 900 символов!" sqref="K10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1">
      <formula1>"a"</formula1>
    </dataValidation>
    <dataValidation type="whole" allowBlank="1" showErrorMessage="1" errorTitle="Ошибка" error="Допускается ввод только неотрицательных целых чисел!" sqref="AI1010">
      <formula1>0</formula1>
      <formula2>9.99999999999999E+23</formula2>
    </dataValidation>
    <dataValidation type="whole" allowBlank="1" showErrorMessage="1" errorTitle="Ошибка" error="Допускается ввод только неотрицательных целых чисел!" sqref="AF1010">
      <formula1>0</formula1>
      <formula2>9.99999999999999E+23</formula2>
    </dataValidation>
    <dataValidation type="textLength" operator="lessThanOrEqual" allowBlank="1" showInputMessage="1" showErrorMessage="1" errorTitle="Ошибка" error="Допускается ввод не более 900 символов!" sqref="M1010">
      <formula1>900</formula1>
    </dataValidation>
    <dataValidation type="textLength" operator="lessThanOrEqual" allowBlank="1" showInputMessage="1" showErrorMessage="1" errorTitle="Ошибка" error="Допускается ввод не более 900 символов!" sqref="K10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0">
      <formula1>"a"</formula1>
    </dataValidation>
    <dataValidation type="whole" allowBlank="1" showErrorMessage="1" errorTitle="Ошибка" error="Допускается ввод только неотрицательных целых чисел!" sqref="AI1009">
      <formula1>0</formula1>
      <formula2>9.99999999999999E+23</formula2>
    </dataValidation>
    <dataValidation type="whole" allowBlank="1" showErrorMessage="1" errorTitle="Ошибка" error="Допускается ввод только неотрицательных целых чисел!" sqref="AF1009">
      <formula1>0</formula1>
      <formula2>9.99999999999999E+23</formula2>
    </dataValidation>
    <dataValidation type="whole" allowBlank="1" showErrorMessage="1" errorTitle="Ошибка" error="Допускается ввод только неотрицательных целых чисел!" sqref="AI1008">
      <formula1>0</formula1>
      <formula2>9.99999999999999E+23</formula2>
    </dataValidation>
    <dataValidation type="whole" allowBlank="1" showErrorMessage="1" errorTitle="Ошибка" error="Допускается ввод только неотрицательных целых чисел!" sqref="AF1008">
      <formula1>0</formula1>
      <formula2>9.99999999999999E+23</formula2>
    </dataValidation>
    <dataValidation type="textLength" operator="lessThanOrEqual" allowBlank="1" showInputMessage="1" showErrorMessage="1" errorTitle="Ошибка" error="Допускается ввод не более 900 символов!" sqref="K10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8">
      <formula1>"a"</formula1>
    </dataValidation>
    <dataValidation type="whole" allowBlank="1" showErrorMessage="1" errorTitle="Ошибка" error="Допускается ввод только неотрицательных целых чисел!" sqref="AI1005">
      <formula1>0</formula1>
      <formula2>9.99999999999999E+23</formula2>
    </dataValidation>
    <dataValidation type="whole" allowBlank="1" showErrorMessage="1" errorTitle="Ошибка" error="Допускается ввод только неотрицательных целых чисел!" sqref="AF1005">
      <formula1>0</formula1>
      <formula2>9.99999999999999E+23</formula2>
    </dataValidation>
    <dataValidation type="decimal" allowBlank="1" showErrorMessage="1" errorTitle="Ошибка" error="Допускается ввод только неотрицательных чисел!" sqref="AE1005">
      <formula1>0</formula1>
      <formula2>9.99999999999999E+23</formula2>
    </dataValidation>
    <dataValidation type="decimal" allowBlank="1" showErrorMessage="1" errorTitle="Ошибка" error="Допускается ввод только неотрицательных чисел!" sqref="AC1005">
      <formula1>0</formula1>
      <formula2>9.99999999999999E+23</formula2>
    </dataValidation>
    <dataValidation type="textLength" operator="lessThanOrEqual" allowBlank="1" showInputMessage="1" showErrorMessage="1" errorTitle="Ошибка" error="Допускается ввод не более 900 символов!" sqref="K10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5">
      <formula1>"a"</formula1>
    </dataValidation>
    <dataValidation type="whole" allowBlank="1" showErrorMessage="1" errorTitle="Ошибка" error="Допускается ввод только неотрицательных целых чисел!" sqref="AI1004">
      <formula1>0</formula1>
      <formula2>9.99999999999999E+23</formula2>
    </dataValidation>
    <dataValidation type="whole" allowBlank="1" showErrorMessage="1" errorTitle="Ошибка" error="Допускается ввод только неотрицательных целых чисел!" sqref="AF1004">
      <formula1>0</formula1>
      <formula2>9.99999999999999E+23</formula2>
    </dataValidation>
    <dataValidation type="textLength" operator="lessThanOrEqual" allowBlank="1" showInputMessage="1" showErrorMessage="1" errorTitle="Ошибка" error="Допускается ввод не более 900 символов!" sqref="K10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4">
      <formula1>"a"</formula1>
    </dataValidation>
    <dataValidation type="whole" allowBlank="1" showErrorMessage="1" errorTitle="Ошибка" error="Допускается ввод только неотрицательных целых чисел!" sqref="AI1003">
      <formula1>0</formula1>
      <formula2>9.99999999999999E+23</formula2>
    </dataValidation>
    <dataValidation type="whole" allowBlank="1" showErrorMessage="1" errorTitle="Ошибка" error="Допускается ввод только неотрицательных целых чисел!" sqref="AF1003">
      <formula1>0</formula1>
      <formula2>9.99999999999999E+23</formula2>
    </dataValidation>
    <dataValidation type="textLength" operator="lessThanOrEqual" allowBlank="1" showInputMessage="1" showErrorMessage="1" errorTitle="Ошибка" error="Допускается ввод не более 900 символов!" sqref="M1003">
      <formula1>900</formula1>
    </dataValidation>
    <dataValidation type="textLength" operator="lessThanOrEqual" allowBlank="1" showInputMessage="1" showErrorMessage="1" errorTitle="Ошибка" error="Допускается ввод не более 900 символов!" sqref="K10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3">
      <formula1>"a"</formula1>
    </dataValidation>
    <dataValidation type="whole" allowBlank="1" showErrorMessage="1" errorTitle="Ошибка" error="Допускается ввод только неотрицательных целых чисел!" sqref="AI1002">
      <formula1>0</formula1>
      <formula2>9.99999999999999E+23</formula2>
    </dataValidation>
    <dataValidation type="whole" allowBlank="1" showErrorMessage="1" errorTitle="Ошибка" error="Допускается ввод только неотрицательных целых чисел!" sqref="AF1002">
      <formula1>0</formula1>
      <formula2>9.99999999999999E+23</formula2>
    </dataValidation>
    <dataValidation type="whole" allowBlank="1" showErrorMessage="1" errorTitle="Ошибка" error="Допускается ввод только неотрицательных целых чисел!" sqref="AI1001">
      <formula1>0</formula1>
      <formula2>9.99999999999999E+23</formula2>
    </dataValidation>
    <dataValidation type="whole" allowBlank="1" showErrorMessage="1" errorTitle="Ошибка" error="Допускается ввод только неотрицательных целых чисел!" sqref="AF1001">
      <formula1>0</formula1>
      <formula2>9.99999999999999E+23</formula2>
    </dataValidation>
    <dataValidation type="textLength" operator="lessThanOrEqual" allowBlank="1" showInputMessage="1" showErrorMessage="1" errorTitle="Ошибка" error="Допускается ввод не более 900 символов!" sqref="K10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1">
      <formula1>"a"</formula1>
    </dataValidation>
    <dataValidation type="whole" allowBlank="1" showErrorMessage="1" errorTitle="Ошибка" error="Допускается ввод только неотрицательных целых чисел!" sqref="AI998">
      <formula1>0</formula1>
      <formula2>9.99999999999999E+23</formula2>
    </dataValidation>
    <dataValidation type="whole" allowBlank="1" showErrorMessage="1" errorTitle="Ошибка" error="Допускается ввод только неотрицательных целых чисел!" sqref="AF998">
      <formula1>0</formula1>
      <formula2>9.99999999999999E+23</formula2>
    </dataValidation>
    <dataValidation type="decimal" allowBlank="1" showErrorMessage="1" errorTitle="Ошибка" error="Допускается ввод только неотрицательных чисел!" sqref="AE998">
      <formula1>0</formula1>
      <formula2>9.99999999999999E+23</formula2>
    </dataValidation>
    <dataValidation type="decimal" allowBlank="1" showErrorMessage="1" errorTitle="Ошибка" error="Допускается ввод только неотрицательных чисел!" sqref="AC998">
      <formula1>0</formula1>
      <formula2>9.99999999999999E+23</formula2>
    </dataValidation>
    <dataValidation type="textLength" operator="lessThanOrEqual" allowBlank="1" showInputMessage="1" showErrorMessage="1" errorTitle="Ошибка" error="Допускается ввод не более 900 символов!" sqref="K9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8">
      <formula1>"a"</formula1>
    </dataValidation>
    <dataValidation type="whole" allowBlank="1" showErrorMessage="1" errorTitle="Ошибка" error="Допускается ввод только неотрицательных целых чисел!" sqref="AI997">
      <formula1>0</formula1>
      <formula2>9.99999999999999E+23</formula2>
    </dataValidation>
    <dataValidation type="whole" allowBlank="1" showErrorMessage="1" errorTitle="Ошибка" error="Допускается ввод только неотрицательных целых чисел!" sqref="AF997">
      <formula1>0</formula1>
      <formula2>9.99999999999999E+23</formula2>
    </dataValidation>
    <dataValidation type="textLength" operator="lessThanOrEqual" allowBlank="1" showInputMessage="1" showErrorMessage="1" errorTitle="Ошибка" error="Допускается ввод не более 900 символов!" sqref="K9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7">
      <formula1>"a"</formula1>
    </dataValidation>
    <dataValidation type="whole" allowBlank="1" showErrorMessage="1" errorTitle="Ошибка" error="Допускается ввод только неотрицательных целых чисел!" sqref="AI996">
      <formula1>0</formula1>
      <formula2>9.99999999999999E+23</formula2>
    </dataValidation>
    <dataValidation type="whole" allowBlank="1" showErrorMessage="1" errorTitle="Ошибка" error="Допускается ввод только неотрицательных целых чисел!" sqref="AF996">
      <formula1>0</formula1>
      <formula2>9.99999999999999E+23</formula2>
    </dataValidation>
    <dataValidation type="textLength" operator="lessThanOrEqual" allowBlank="1" showInputMessage="1" showErrorMessage="1" errorTitle="Ошибка" error="Допускается ввод не более 900 символов!" sqref="M996">
      <formula1>900</formula1>
    </dataValidation>
    <dataValidation type="textLength" operator="lessThanOrEqual" allowBlank="1" showInputMessage="1" showErrorMessage="1" errorTitle="Ошибка" error="Допускается ввод не более 900 символов!" sqref="K9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6">
      <formula1>"a"</formula1>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textLength" operator="lessThanOrEqual" allowBlank="1" showInputMessage="1" showErrorMessage="1" errorTitle="Ошибка" error="Допускается ввод не более 900 символов!" sqref="K9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4">
      <formula1>"a"</formula1>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decimal" allowBlank="1" showErrorMessage="1" errorTitle="Ошибка" error="Допускается ввод только неотрицательных чисел!" sqref="AE991">
      <formula1>0</formula1>
      <formula2>9.99999999999999E+23</formula2>
    </dataValidation>
    <dataValidation type="decimal" allowBlank="1" showErrorMessage="1" errorTitle="Ошибка" error="Допускается ввод только неотрицательных чисел!" sqref="AC991">
      <formula1>0</formula1>
      <formula2>9.99999999999999E+23</formula2>
    </dataValidation>
    <dataValidation type="textLength" operator="lessThanOrEqual" allowBlank="1" showInputMessage="1" showErrorMessage="1" errorTitle="Ошибка" error="Допускается ввод не более 900 символов!" sqref="K9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1">
      <formula1>"a"</formula1>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textLength" operator="lessThanOrEqual" allowBlank="1" showInputMessage="1" showErrorMessage="1" errorTitle="Ошибка" error="Допускается ввод не более 900 символов!" sqref="K9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textLength" operator="lessThanOrEqual" allowBlank="1" showInputMessage="1" showErrorMessage="1" errorTitle="Ошибка" error="Допускается ввод не более 900 символов!" sqref="M989">
      <formula1>900</formula1>
    </dataValidation>
    <dataValidation type="textLength" operator="lessThanOrEqual" allowBlank="1" showInputMessage="1" showErrorMessage="1" errorTitle="Ошибка" error="Допускается ввод не более 900 символов!" sqref="K9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9">
      <formula1>"a"</formula1>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whole" allowBlank="1" showErrorMessage="1" errorTitle="Ошибка" error="Допускается ввод только неотрицательных целых чисел!" sqref="AI987">
      <formula1>0</formula1>
      <formula2>9.99999999999999E+23</formula2>
    </dataValidation>
    <dataValidation type="whole" allowBlank="1" showErrorMessage="1" errorTitle="Ошибка" error="Допускается ввод только неотрицательных целых чисел!" sqref="AF987">
      <formula1>0</formula1>
      <formula2>9.99999999999999E+23</formula2>
    </dataValidation>
    <dataValidation type="textLength" operator="lessThanOrEqual" allowBlank="1" showInputMessage="1" showErrorMessage="1" errorTitle="Ошибка" error="Допускается ввод не более 900 символов!" sqref="K9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7">
      <formula1>"a"</formula1>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decimal" allowBlank="1" showErrorMessage="1" errorTitle="Ошибка" error="Допускается ввод только неотрицательных чисел!" sqref="AE984">
      <formula1>0</formula1>
      <formula2>9.99999999999999E+23</formula2>
    </dataValidation>
    <dataValidation type="decimal" allowBlank="1" showErrorMessage="1" errorTitle="Ошибка" error="Допускается ввод только неотрицательных чисел!" sqref="AC984">
      <formula1>0</formula1>
      <formula2>9.99999999999999E+23</formula2>
    </dataValidation>
    <dataValidation type="textLength" operator="lessThanOrEqual" allowBlank="1" showInputMessage="1" showErrorMessage="1" errorTitle="Ошибка" error="Допускается ввод не более 900 символов!" sqref="K9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textLength" operator="lessThanOrEqual" allowBlank="1" showInputMessage="1" showErrorMessage="1" errorTitle="Ошибка" error="Допускается ввод не более 900 символов!" sqref="K9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3">
      <formula1>"a"</formula1>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textLength" operator="lessThanOrEqual" allowBlank="1" showInputMessage="1" showErrorMessage="1" errorTitle="Ошибка" error="Допускается ввод не более 900 символов!" sqref="M982">
      <formula1>900</formula1>
    </dataValidation>
    <dataValidation type="textLength" operator="lessThanOrEqual" allowBlank="1" showInputMessage="1" showErrorMessage="1" errorTitle="Ошибка" error="Допускается ввод не более 900 символов!" sqref="K9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decimal" allowBlank="1" showErrorMessage="1" errorTitle="Ошибка" error="Допускается ввод только неотрицательных чисел!" sqref="AE930">
      <formula1>0</formula1>
      <formula2>9.99999999999999E+23</formula2>
    </dataValidation>
    <dataValidation type="decimal" allowBlank="1" showErrorMessage="1" errorTitle="Ошибка" error="Допускается ввод только неотрицательных чисел!" sqref="AC930">
      <formula1>0</formula1>
      <formula2>9.99999999999999E+23</formula2>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decimal" allowBlank="1" showErrorMessage="1" errorTitle="Ошибка" error="Допускается ввод только неотрицательных чисел!" sqref="AE973">
      <formula1>0</formula1>
      <formula2>9.99999999999999E+23</formula2>
    </dataValidation>
    <dataValidation type="decimal" allowBlank="1" showErrorMessage="1" errorTitle="Ошибка" error="Допускается ввод только неотрицательных чисел!" sqref="AC973">
      <formula1>0</formula1>
      <formula2>9.99999999999999E+23</formula2>
    </dataValidation>
    <dataValidation type="textLength" operator="lessThanOrEqual" allowBlank="1" showInputMessage="1" showErrorMessage="1" errorTitle="Ошибка" error="Допускается ввод не более 900 символов!" sqref="K9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textLength" operator="lessThanOrEqual" allowBlank="1" showInputMessage="1" showErrorMessage="1" errorTitle="Ошибка" error="Допускается ввод не более 900 символов!" sqref="K9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decimal" allowBlank="1" showErrorMessage="1" errorTitle="Ошибка" error="Допускается ввод только неотрицательных чисел!" sqref="AE972">
      <formula1>0</formula1>
      <formula2>9.99999999999999E+23</formula2>
    </dataValidation>
    <dataValidation type="decimal" allowBlank="1" showErrorMessage="1" errorTitle="Ошибка" error="Допускается ввод только неотрицательных чисел!" sqref="AC972">
      <formula1>0</formula1>
      <formula2>9.99999999999999E+23</formula2>
    </dataValidation>
    <dataValidation type="textLength" operator="lessThanOrEqual" allowBlank="1" showInputMessage="1" showErrorMessage="1" errorTitle="Ошибка" error="Допускается ввод не более 900 символов!" sqref="K9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textLength" operator="lessThanOrEqual" allowBlank="1" showInputMessage="1" showErrorMessage="1" errorTitle="Ошибка" error="Допускается ввод не более 900 символов!" sqref="K9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1">
      <formula1>"a"</formula1>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textLength" operator="lessThanOrEqual" allowBlank="1" showInputMessage="1" showErrorMessage="1" errorTitle="Ошибка" error="Допускается ввод не более 900 символов!" sqref="M970">
      <formula1>900</formula1>
    </dataValidation>
    <dataValidation type="textLength" operator="lessThanOrEqual" allowBlank="1" showInputMessage="1" showErrorMessage="1" errorTitle="Ошибка" error="Допускается ввод не более 900 символов!" sqref="K9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decimal" allowBlank="1" showErrorMessage="1" errorTitle="Ошибка" error="Допускается ввод только неотрицательных чисел!" sqref="AE817">
      <formula1>0</formula1>
      <formula2>9.99999999999999E+23</formula2>
    </dataValidation>
    <dataValidation type="decimal" allowBlank="1" showErrorMessage="1" errorTitle="Ошибка" error="Допускается ввод только неотрицательных чисел!" sqref="AC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decimal" allowBlank="1" showErrorMessage="1" errorTitle="Ошибка" error="Допускается ввод только неотрицательных чисел!" sqref="AE795">
      <formula1>0</formula1>
      <formula2>9.99999999999999E+23</formula2>
    </dataValidation>
    <dataValidation type="decimal" allowBlank="1" showErrorMessage="1" errorTitle="Ошибка" error="Допускается ввод только неотрицательных чисел!" sqref="AC795">
      <formula1>0</formula1>
      <formula2>9.99999999999999E+23</formula2>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decimal" allowBlank="1" showErrorMessage="1" errorTitle="Ошибка" error="Допускается ввод только неотрицательных чисел!" sqref="AE780">
      <formula1>0</formula1>
      <formula2>9.99999999999999E+23</formula2>
    </dataValidation>
    <dataValidation type="decimal" allowBlank="1" showErrorMessage="1" errorTitle="Ошибка" error="Допускается ввод только неотрицательных чисел!" sqref="AC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decimal" allowBlank="1" showErrorMessage="1" errorTitle="Ошибка" error="Допускается ввод только неотрицательных чисел!" sqref="AE772">
      <formula1>0</formula1>
      <formula2>9.99999999999999E+23</formula2>
    </dataValidation>
    <dataValidation type="decimal" allowBlank="1" showErrorMessage="1" errorTitle="Ошибка" error="Допускается ввод только неотрицательных чисел!" sqref="AC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decimal" allowBlank="1" showErrorMessage="1" errorTitle="Ошибка" error="Допускается ввод только неотрицательных чисел!" sqref="AE750">
      <formula1>0</formula1>
      <formula2>9.99999999999999E+23</formula2>
    </dataValidation>
    <dataValidation type="decimal" allowBlank="1" showErrorMessage="1" errorTitle="Ошибка" error="Допускается ввод только неотрицательных чисел!" sqref="AC750">
      <formula1>0</formula1>
      <formula2>9.99999999999999E+23</formula2>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decimal" allowBlank="1" showErrorMessage="1" errorTitle="Ошибка" error="Допускается ввод только неотрицательных чисел!" sqref="AE946">
      <formula1>0</formula1>
      <formula2>9.99999999999999E+23</formula2>
    </dataValidation>
    <dataValidation type="decimal" allowBlank="1" showErrorMessage="1" errorTitle="Ошибка" error="Допускается ввод только неотрицательных чисел!" sqref="AC946">
      <formula1>0</formula1>
      <formula2>9.99999999999999E+23</formula2>
    </dataValidation>
    <dataValidation type="textLength" operator="lessThanOrEqual" allowBlank="1" showInputMessage="1" showErrorMessage="1" errorTitle="Ошибка" error="Допускается ввод не более 900 символов!" sqref="K9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decimal" allowBlank="1" showErrorMessage="1" errorTitle="Ошибка" error="Допускается ввод только неотрицательных чисел!" sqref="AE938">
      <formula1>0</formula1>
      <formula2>9.99999999999999E+23</formula2>
    </dataValidation>
    <dataValidation type="decimal" allowBlank="1" showErrorMessage="1" errorTitle="Ошибка" error="Допускается ввод только неотрицательных чисел!" sqref="AC938">
      <formula1>0</formula1>
      <formula2>9.99999999999999E+23</formula2>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decimal" allowBlank="1" showErrorMessage="1" errorTitle="Ошибка" error="Допускается ввод только неотрицательных чисел!" sqref="AE839">
      <formula1>0</formula1>
      <formula2>9.99999999999999E+23</formula2>
    </dataValidation>
    <dataValidation type="decimal" allowBlank="1" showErrorMessage="1" errorTitle="Ошибка" error="Допускается ввод только неотрицательных чисел!" sqref="AC839">
      <formula1>0</formula1>
      <formula2>9.99999999999999E+23</formula2>
    </dataValidation>
    <dataValidation type="textLength" operator="lessThanOrEqual" allowBlank="1" showInputMessage="1" showErrorMessage="1" errorTitle="Ошибка" error="Допускается ввод не более 900 символов!" sqref="K8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decimal" allowBlank="1" showErrorMessage="1" errorTitle="Ошибка" error="Допускается ввод только неотрицательных чисел!" sqref="AE703">
      <formula1>0</formula1>
      <formula2>9.99999999999999E+23</formula2>
    </dataValidation>
    <dataValidation type="decimal" allowBlank="1" showErrorMessage="1" errorTitle="Ошибка" error="Допускается ввод только неотрицательных чисел!" sqref="AC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decimal" allowBlank="1" showErrorMessage="1" errorTitle="Ошибка" error="Допускается ввод только неотрицательных чисел!" sqref="AE742">
      <formula1>0</formula1>
      <formula2>9.99999999999999E+23</formula2>
    </dataValidation>
    <dataValidation type="decimal" allowBlank="1" showErrorMessage="1" errorTitle="Ошибка" error="Допускается ввод только неотрицательных чисел!" sqref="AC742">
      <formula1>0</formula1>
      <formula2>9.99999999999999E+23</formula2>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decimal" allowBlank="1" showErrorMessage="1" errorTitle="Ошибка" error="Допускается ввод только неотрицательных чисел!" sqref="AE734">
      <formula1>0</formula1>
      <formula2>9.99999999999999E+23</formula2>
    </dataValidation>
    <dataValidation type="decimal" allowBlank="1" showErrorMessage="1" errorTitle="Ошибка" error="Допускается ввод только неотрицательных чисел!" sqref="AC734">
      <formula1>0</formula1>
      <formula2>9.99999999999999E+23</formula2>
    </dataValidation>
    <dataValidation type="textLength" operator="lessThanOrEqual" allowBlank="1" showInputMessage="1" showErrorMessage="1" errorTitle="Ошибка" error="Допускается ввод не более 900 символов!" sqref="K7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decimal" allowBlank="1" showErrorMessage="1" errorTitle="Ошибка" error="Допускается ввод только неотрицательных чисел!" sqref="AE718">
      <formula1>0</formula1>
      <formula2>9.99999999999999E+23</formula2>
    </dataValidation>
    <dataValidation type="decimal" allowBlank="1" showErrorMessage="1" errorTitle="Ошибка" error="Допускается ввод только неотрицательных чисел!" sqref="AC718">
      <formula1>0</formula1>
      <formula2>9.99999999999999E+23</formula2>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decimal" allowBlank="1" showErrorMessage="1" errorTitle="Ошибка" error="Допускается ввод только неотрицательных чисел!" sqref="AE688">
      <formula1>0</formula1>
      <formula2>9.99999999999999E+23</formula2>
    </dataValidation>
    <dataValidation type="decimal" allowBlank="1" showErrorMessage="1" errorTitle="Ошибка" error="Допускается ввод только неотрицательных чисел!" sqref="AC688">
      <formula1>0</formula1>
      <formula2>9.99999999999999E+23</formula2>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decimal" allowBlank="1" showErrorMessage="1" errorTitle="Ошибка" error="Допускается ввод только неотрицательных чисел!" sqref="AE967">
      <formula1>0</formula1>
      <formula2>9.99999999999999E+23</formula2>
    </dataValidation>
    <dataValidation type="decimal" allowBlank="1" showErrorMessage="1" errorTitle="Ошибка" error="Допускается ввод только неотрицательных чисел!" sqref="AC967">
      <formula1>0</formula1>
      <formula2>9.99999999999999E+23</formula2>
    </dataValidation>
    <dataValidation type="textLength" operator="lessThanOrEqual" allowBlank="1" showInputMessage="1" showErrorMessage="1" errorTitle="Ошибка" error="Допускается ввод не более 900 символов!" sqref="K9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decimal" allowBlank="1" showErrorMessage="1" errorTitle="Ошибка" error="Допускается ввод только неотрицательных чисел!" sqref="AE966">
      <formula1>0</formula1>
      <formula2>9.99999999999999E+23</formula2>
    </dataValidation>
    <dataValidation type="decimal" allowBlank="1" showErrorMessage="1" errorTitle="Ошибка" error="Допускается ввод только неотрицательных чисел!" sqref="AC966">
      <formula1>0</formula1>
      <formula2>9.99999999999999E+23</formula2>
    </dataValidation>
    <dataValidation type="textLength" operator="lessThanOrEqual" allowBlank="1" showInputMessage="1" showErrorMessage="1" errorTitle="Ошибка" error="Допускается ввод не более 900 символов!" sqref="K9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decimal" allowBlank="1" showErrorMessage="1" errorTitle="Ошибка" error="Допускается ввод только неотрицательных чисел!" sqref="AE960">
      <formula1>0</formula1>
      <formula2>9.99999999999999E+23</formula2>
    </dataValidation>
    <dataValidation type="decimal" allowBlank="1" showErrorMessage="1" errorTitle="Ошибка" error="Допускается ввод только неотрицательных чисел!" sqref="AC960">
      <formula1>0</formula1>
      <formula2>9.99999999999999E+23</formula2>
    </dataValidation>
    <dataValidation type="textLength" operator="lessThanOrEqual" allowBlank="1" showInputMessage="1" showErrorMessage="1" errorTitle="Ошибка" error="Допускается ввод не более 900 символов!" sqref="K9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decimal" allowBlank="1" showErrorMessage="1" errorTitle="Ошибка" error="Допускается ввод только неотрицательных чисел!" sqref="AE959">
      <formula1>0</formula1>
      <formula2>9.99999999999999E+23</formula2>
    </dataValidation>
    <dataValidation type="decimal" allowBlank="1" showErrorMessage="1" errorTitle="Ошибка" error="Допускается ввод только неотрицательных чисел!" sqref="AC959">
      <formula1>0</formula1>
      <formula2>9.99999999999999E+23</formula2>
    </dataValidation>
    <dataValidation type="textLength" operator="lessThanOrEqual" allowBlank="1" showInputMessage="1" showErrorMessage="1" errorTitle="Ошибка" error="Допускается ввод не более 900 символов!" sqref="K9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9">
      <formula1>"a"</formula1>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decimal" allowBlank="1" showErrorMessage="1" errorTitle="Ошибка" error="Допускается ввод только неотрицательных чисел!" sqref="AE953">
      <formula1>0</formula1>
      <formula2>9.99999999999999E+23</formula2>
    </dataValidation>
    <dataValidation type="decimal" allowBlank="1" showErrorMessage="1" errorTitle="Ошибка" error="Допускается ввод только неотрицательных чисел!" sqref="AC953">
      <formula1>0</formula1>
      <formula2>9.99999999999999E+23</formula2>
    </dataValidation>
    <dataValidation type="textLength" operator="lessThanOrEqual" allowBlank="1" showInputMessage="1" showErrorMessage="1" errorTitle="Ошибка" error="Допускается ввод не более 900 символов!" sqref="K9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decimal" allowBlank="1" showErrorMessage="1" errorTitle="Ошибка" error="Допускается ввод только неотрицательных чисел!" sqref="AE952">
      <formula1>0</formula1>
      <formula2>9.99999999999999E+23</formula2>
    </dataValidation>
    <dataValidation type="decimal" allowBlank="1" showErrorMessage="1" errorTitle="Ошибка" error="Допускается ввод только неотрицательных чисел!" sqref="AC952">
      <formula1>0</formula1>
      <formula2>9.99999999999999E+23</formula2>
    </dataValidation>
    <dataValidation type="textLength" operator="lessThanOrEqual" allowBlank="1" showInputMessage="1" showErrorMessage="1" errorTitle="Ошибка" error="Допускается ввод не более 900 символов!" sqref="K9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decimal" allowBlank="1" showErrorMessage="1" errorTitle="Ошибка" error="Допускается ввод только неотрицательных чисел!" sqref="AE945">
      <formula1>0</formula1>
      <formula2>9.99999999999999E+23</formula2>
    </dataValidation>
    <dataValidation type="decimal" allowBlank="1" showErrorMessage="1" errorTitle="Ошибка" error="Допускается ввод только неотрицательных чисел!" sqref="AC945">
      <formula1>0</formula1>
      <formula2>9.99999999999999E+23</formula2>
    </dataValidation>
    <dataValidation type="textLength" operator="lessThanOrEqual" allowBlank="1" showInputMessage="1" showErrorMessage="1" errorTitle="Ошибка" error="Допускается ввод не более 900 символов!" sqref="K9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decimal" allowBlank="1" showErrorMessage="1" errorTitle="Ошибка" error="Допускается ввод только неотрицательных чисел!" sqref="AE944">
      <formula1>0</formula1>
      <formula2>9.99999999999999E+23</formula2>
    </dataValidation>
    <dataValidation type="decimal" allowBlank="1" showErrorMessage="1" errorTitle="Ошибка" error="Допускается ввод только неотрицательных чисел!" sqref="AC944">
      <formula1>0</formula1>
      <formula2>9.99999999999999E+23</formula2>
    </dataValidation>
    <dataValidation type="textLength" operator="lessThanOrEqual" allowBlank="1" showInputMessage="1" showErrorMessage="1" errorTitle="Ошибка" error="Допускается ввод не более 900 символов!" sqref="K9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4">
      <formula1>"a"</formula1>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decimal" allowBlank="1" showErrorMessage="1" errorTitle="Ошибка" error="Допускается ввод только неотрицательных чисел!" sqref="AE937">
      <formula1>0</formula1>
      <formula2>9.99999999999999E+23</formula2>
    </dataValidation>
    <dataValidation type="decimal" allowBlank="1" showErrorMessage="1" errorTitle="Ошибка" error="Допускается ввод только неотрицательных чисел!" sqref="AC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decimal" allowBlank="1" showErrorMessage="1" errorTitle="Ошибка" error="Допускается ввод только неотрицательных чисел!" sqref="AE936">
      <formula1>0</formula1>
      <formula2>9.99999999999999E+23</formula2>
    </dataValidation>
    <dataValidation type="decimal" allowBlank="1" showErrorMessage="1" errorTitle="Ошибка" error="Допускается ввод только неотрицательных чисел!" sqref="AC936">
      <formula1>0</formula1>
      <formula2>9.99999999999999E+23</formula2>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decimal" allowBlank="1" showErrorMessage="1" errorTitle="Ошибка" error="Допускается ввод только неотрицательных чисел!" sqref="AE924">
      <formula1>0</formula1>
      <formula2>9.99999999999999E+23</formula2>
    </dataValidation>
    <dataValidation type="decimal" allowBlank="1" showErrorMessage="1" errorTitle="Ошибка" error="Допускается ввод только неотрицательных чисел!" sqref="AC924">
      <formula1>0</formula1>
      <formula2>9.99999999999999E+23</formula2>
    </dataValidation>
    <dataValidation type="textLength" operator="lessThanOrEqual" allowBlank="1" showInputMessage="1" showErrorMessage="1" errorTitle="Ошибка" error="Допускается ввод не более 900 символов!" sqref="K9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decimal" allowBlank="1" showErrorMessage="1" errorTitle="Ошибка" error="Допускается ввод только неотрицательных чисел!" sqref="AE918">
      <formula1>0</formula1>
      <formula2>9.99999999999999E+23</formula2>
    </dataValidation>
    <dataValidation type="decimal" allowBlank="1" showErrorMessage="1" errorTitle="Ошибка" error="Допускается ввод только неотрицательных чисел!" sqref="AC918">
      <formula1>0</formula1>
      <formula2>9.99999999999999E+23</formula2>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decimal" allowBlank="1" showErrorMessage="1" errorTitle="Ошибка" error="Допускается ввод только неотрицательных чисел!" sqref="AE912">
      <formula1>0</formula1>
      <formula2>9.99999999999999E+23</formula2>
    </dataValidation>
    <dataValidation type="decimal" allowBlank="1" showErrorMessage="1" errorTitle="Ошибка" error="Допускается ввод только неотрицательных чисел!" sqref="AC912">
      <formula1>0</formula1>
      <formula2>9.99999999999999E+23</formula2>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decimal" allowBlank="1" showErrorMessage="1" errorTitle="Ошибка" error="Допускается ввод только неотрицательных чисел!" sqref="AE906">
      <formula1>0</formula1>
      <formula2>9.99999999999999E+23</formula2>
    </dataValidation>
    <dataValidation type="decimal" allowBlank="1" showErrorMessage="1" errorTitle="Ошибка" error="Допускается ввод только неотрицательных чисел!" sqref="AC906">
      <formula1>0</formula1>
      <formula2>9.99999999999999E+23</formula2>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decimal" allowBlank="1" showErrorMessage="1" errorTitle="Ошибка" error="Допускается ввод только неотрицательных чисел!" sqref="AE900">
      <formula1>0</formula1>
      <formula2>9.99999999999999E+23</formula2>
    </dataValidation>
    <dataValidation type="decimal" allowBlank="1" showErrorMessage="1" errorTitle="Ошибка" error="Допускается ввод только неотрицательных чисел!" sqref="AC900">
      <formula1>0</formula1>
      <formula2>9.99999999999999E+23</formula2>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decimal" allowBlank="1" showErrorMessage="1" errorTitle="Ошибка" error="Допускается ввод только неотрицательных чисел!" sqref="AE894">
      <formula1>0</formula1>
      <formula2>9.99999999999999E+23</formula2>
    </dataValidation>
    <dataValidation type="decimal" allowBlank="1" showErrorMessage="1" errorTitle="Ошибка" error="Допускается ввод только неотрицательных чисел!" sqref="AC894">
      <formula1>0</formula1>
      <formula2>9.99999999999999E+23</formula2>
    </dataValidation>
    <dataValidation type="textLength" operator="lessThanOrEqual" allowBlank="1" showInputMessage="1" showErrorMessage="1" errorTitle="Ошибка" error="Допускается ввод не более 900 символов!" sqref="K8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decimal" allowBlank="1" showErrorMessage="1" errorTitle="Ошибка" error="Допускается ввод только неотрицательных чисел!" sqref="AE888">
      <formula1>0</formula1>
      <formula2>9.99999999999999E+23</formula2>
    </dataValidation>
    <dataValidation type="decimal" allowBlank="1" showErrorMessage="1" errorTitle="Ошибка" error="Допускается ввод только неотрицательных чисел!" sqref="AC888">
      <formula1>0</formula1>
      <formula2>9.99999999999999E+23</formula2>
    </dataValidation>
    <dataValidation type="textLength" operator="lessThanOrEqual" allowBlank="1" showInputMessage="1" showErrorMessage="1" errorTitle="Ошибка" error="Допускается ввод не более 900 символов!" sqref="K8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decimal" allowBlank="1" showErrorMessage="1" errorTitle="Ошибка" error="Допускается ввод только неотрицательных чисел!" sqref="AE882">
      <formula1>0</formula1>
      <formula2>9.99999999999999E+23</formula2>
    </dataValidation>
    <dataValidation type="decimal" allowBlank="1" showErrorMessage="1" errorTitle="Ошибка" error="Допускается ввод только неотрицательных чисел!" sqref="AC882">
      <formula1>0</formula1>
      <formula2>9.99999999999999E+23</formula2>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decimal" allowBlank="1" showErrorMessage="1" errorTitle="Ошибка" error="Допускается ввод только неотрицательных чисел!" sqref="AE876">
      <formula1>0</formula1>
      <formula2>9.99999999999999E+23</formula2>
    </dataValidation>
    <dataValidation type="decimal" allowBlank="1" showErrorMessage="1" errorTitle="Ошибка" error="Допускается ввод только неотрицательных чисел!" sqref="AC876">
      <formula1>0</formula1>
      <formula2>9.99999999999999E+23</formula2>
    </dataValidation>
    <dataValidation type="textLength" operator="lessThanOrEqual" allowBlank="1" showInputMessage="1" showErrorMessage="1" errorTitle="Ошибка" error="Допускается ввод не более 900 символов!" sqref="K8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decimal" allowBlank="1" showErrorMessage="1" errorTitle="Ошибка" error="Допускается ввод только неотрицательных чисел!" sqref="AE870">
      <formula1>0</formula1>
      <formula2>9.99999999999999E+23</formula2>
    </dataValidation>
    <dataValidation type="decimal" allowBlank="1" showErrorMessage="1" errorTitle="Ошибка" error="Допускается ввод только неотрицательных чисел!" sqref="AC870">
      <formula1>0</formula1>
      <formula2>9.99999999999999E+23</formula2>
    </dataValidation>
    <dataValidation type="textLength" operator="lessThanOrEqual" allowBlank="1" showInputMessage="1" showErrorMessage="1" errorTitle="Ошибка" error="Допускается ввод не более 900 символов!" sqref="K8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decimal" allowBlank="1" showErrorMessage="1" errorTitle="Ошибка" error="Допускается ввод только неотрицательных чисел!" sqref="AE864">
      <formula1>0</formula1>
      <formula2>9.99999999999999E+23</formula2>
    </dataValidation>
    <dataValidation type="decimal" allowBlank="1" showErrorMessage="1" errorTitle="Ошибка" error="Допускается ввод только неотрицательных чисел!" sqref="AC864">
      <formula1>0</formula1>
      <formula2>9.99999999999999E+23</formula2>
    </dataValidation>
    <dataValidation type="textLength" operator="lessThanOrEqual" allowBlank="1" showInputMessage="1" showErrorMessage="1" errorTitle="Ошибка" error="Допускается ввод не более 900 символов!" sqref="K8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decimal" allowBlank="1" showErrorMessage="1" errorTitle="Ошибка" error="Допускается ввод только неотрицательных чисел!" sqref="AE858">
      <formula1>0</formula1>
      <formula2>9.99999999999999E+23</formula2>
    </dataValidation>
    <dataValidation type="decimal" allowBlank="1" showErrorMessage="1" errorTitle="Ошибка" error="Допускается ввод только неотрицательных чисел!" sqref="AC858">
      <formula1>0</formula1>
      <formula2>9.99999999999999E+23</formula2>
    </dataValidation>
    <dataValidation type="textLength" operator="lessThanOrEqual" allowBlank="1" showInputMessage="1" showErrorMessage="1" errorTitle="Ошибка" error="Допускается ввод не более 900 символов!" sqref="K8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decimal" allowBlank="1" showErrorMessage="1" errorTitle="Ошибка" error="Допускается ввод только неотрицательных чисел!" sqref="AE852">
      <formula1>0</formula1>
      <formula2>9.99999999999999E+23</formula2>
    </dataValidation>
    <dataValidation type="decimal" allowBlank="1" showErrorMessage="1" errorTitle="Ошибка" error="Допускается ввод только неотрицательных чисел!" sqref="AC852">
      <formula1>0</formula1>
      <formula2>9.99999999999999E+23</formula2>
    </dataValidation>
    <dataValidation type="textLength" operator="lessThanOrEqual" allowBlank="1" showInputMessage="1" showErrorMessage="1" errorTitle="Ошибка" error="Допускается ввод не более 900 символов!" sqref="K8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decimal" allowBlank="1" showErrorMessage="1" errorTitle="Ошибка" error="Допускается ввод только неотрицательных чисел!" sqref="AE846">
      <formula1>0</formula1>
      <formula2>9.99999999999999E+23</formula2>
    </dataValidation>
    <dataValidation type="decimal" allowBlank="1" showErrorMessage="1" errorTitle="Ошибка" error="Допускается ввод только неотрицательных чисел!" sqref="AC846">
      <formula1>0</formula1>
      <formula2>9.99999999999999E+23</formula2>
    </dataValidation>
    <dataValidation type="textLength" operator="lessThanOrEqual" allowBlank="1" showInputMessage="1" showErrorMessage="1" errorTitle="Ошибка" error="Допускается ввод не более 900 символов!" sqref="K8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decimal" allowBlank="1" showErrorMessage="1" errorTitle="Ошибка" error="Допускается ввод только неотрицательных чисел!" sqref="AE845">
      <formula1>0</formula1>
      <formula2>9.99999999999999E+23</formula2>
    </dataValidation>
    <dataValidation type="decimal" allowBlank="1" showErrorMessage="1" errorTitle="Ошибка" error="Допускается ввод только неотрицательных чисел!" sqref="AC845">
      <formula1>0</formula1>
      <formula2>9.99999999999999E+23</formula2>
    </dataValidation>
    <dataValidation type="textLength" operator="lessThanOrEqual" allowBlank="1" showInputMessage="1" showErrorMessage="1" errorTitle="Ошибка" error="Допускается ввод не более 900 символов!" sqref="K8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decimal" allowBlank="1" showErrorMessage="1" errorTitle="Ошибка" error="Допускается ввод только неотрицательных чисел!" sqref="AE838">
      <formula1>0</formula1>
      <formula2>9.99999999999999E+23</formula2>
    </dataValidation>
    <dataValidation type="decimal" allowBlank="1" showErrorMessage="1" errorTitle="Ошибка" error="Допускается ввод только неотрицательных чисел!" sqref="AC838">
      <formula1>0</formula1>
      <formula2>9.99999999999999E+23</formula2>
    </dataValidation>
    <dataValidation type="textLength" operator="lessThanOrEqual" allowBlank="1" showInputMessage="1" showErrorMessage="1" errorTitle="Ошибка" error="Допускается ввод не более 900 символов!" sqref="K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decimal" allowBlank="1" showErrorMessage="1" errorTitle="Ошибка" error="Допускается ввод только неотрицательных чисел!" sqref="AE837">
      <formula1>0</formula1>
      <formula2>9.99999999999999E+23</formula2>
    </dataValidation>
    <dataValidation type="decimal" allowBlank="1" showErrorMessage="1" errorTitle="Ошибка" error="Допускается ввод только неотрицательных чисел!" sqref="AC837">
      <formula1>0</formula1>
      <formula2>9.99999999999999E+23</formula2>
    </dataValidation>
    <dataValidation type="textLength" operator="lessThanOrEqual" allowBlank="1" showInputMessage="1" showErrorMessage="1" errorTitle="Ошибка" error="Допускается ввод не более 900 символов!" sqref="K8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decimal" allowBlank="1" showErrorMessage="1" errorTitle="Ошибка" error="Допускается ввод только неотрицательных чисел!" sqref="AE831">
      <formula1>0</formula1>
      <formula2>9.99999999999999E+23</formula2>
    </dataValidation>
    <dataValidation type="decimal" allowBlank="1" showErrorMessage="1" errorTitle="Ошибка" error="Допускается ввод только неотрицательных чисел!" sqref="AC831">
      <formula1>0</formula1>
      <formula2>9.99999999999999E+23</formula2>
    </dataValidation>
    <dataValidation type="textLength" operator="lessThanOrEqual" allowBlank="1" showInputMessage="1" showErrorMessage="1" errorTitle="Ошибка" error="Допускается ввод не более 900 символов!" sqref="K8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decimal" allowBlank="1" showErrorMessage="1" errorTitle="Ошибка" error="Допускается ввод только неотрицательных чисел!" sqref="AE830">
      <formula1>0</formula1>
      <formula2>9.99999999999999E+23</formula2>
    </dataValidation>
    <dataValidation type="decimal" allowBlank="1" showErrorMessage="1" errorTitle="Ошибка" error="Допускается ввод только неотрицательных чисел!" sqref="AC830">
      <formula1>0</formula1>
      <formula2>9.99999999999999E+23</formula2>
    </dataValidation>
    <dataValidation type="textLength" operator="lessThanOrEqual" allowBlank="1" showInputMessage="1" showErrorMessage="1" errorTitle="Ошибка" error="Допускается ввод не более 900 символов!" sqref="K8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decimal" allowBlank="1" showErrorMessage="1" errorTitle="Ошибка" error="Допускается ввод только неотрицательных чисел!" sqref="AE824">
      <formula1>0</formula1>
      <formula2>9.99999999999999E+23</formula2>
    </dataValidation>
    <dataValidation type="decimal" allowBlank="1" showErrorMessage="1" errorTitle="Ошибка" error="Допускается ввод только неотрицательных чисел!" sqref="AC824">
      <formula1>0</formula1>
      <formula2>9.99999999999999E+23</formula2>
    </dataValidation>
    <dataValidation type="textLength" operator="lessThanOrEqual" allowBlank="1" showInputMessage="1" showErrorMessage="1" errorTitle="Ошибка" error="Допускается ввод не более 900 символов!" sqref="K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decimal" allowBlank="1" showErrorMessage="1" errorTitle="Ошибка" error="Допускается ввод только неотрицательных чисел!" sqref="AE823">
      <formula1>0</formula1>
      <formula2>9.99999999999999E+23</formula2>
    </dataValidation>
    <dataValidation type="decimal" allowBlank="1" showErrorMessage="1" errorTitle="Ошибка" error="Допускается ввод только неотрицательных чисел!" sqref="AC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decimal" allowBlank="1" showErrorMessage="1" errorTitle="Ошибка" error="Допускается ввод только неотрицательных чисел!" sqref="AE816">
      <formula1>0</formula1>
      <formula2>9.99999999999999E+23</formula2>
    </dataValidation>
    <dataValidation type="decimal" allowBlank="1" showErrorMessage="1" errorTitle="Ошибка" error="Допускается ввод только неотрицательных чисел!" sqref="AC816">
      <formula1>0</formula1>
      <formula2>9.99999999999999E+23</formula2>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decimal" allowBlank="1" showErrorMessage="1" errorTitle="Ошибка" error="Допускается ввод только неотрицательных чисел!" sqref="AE815">
      <formula1>0</formula1>
      <formula2>9.99999999999999E+23</formula2>
    </dataValidation>
    <dataValidation type="decimal" allowBlank="1" showErrorMessage="1" errorTitle="Ошибка" error="Допускается ввод только неотрицательных чисел!" sqref="AC815">
      <formula1>0</formula1>
      <formula2>9.99999999999999E+23</formula2>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decimal" allowBlank="1" showErrorMessage="1" errorTitle="Ошибка" error="Допускается ввод только неотрицательных чисел!" sqref="AE809">
      <formula1>0</formula1>
      <formula2>9.99999999999999E+23</formula2>
    </dataValidation>
    <dataValidation type="decimal" allowBlank="1" showErrorMessage="1" errorTitle="Ошибка" error="Допускается ввод только неотрицательных чисел!" sqref="AC809">
      <formula1>0</formula1>
      <formula2>9.99999999999999E+23</formula2>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decimal" allowBlank="1" showErrorMessage="1" errorTitle="Ошибка" error="Допускается ввод только неотрицательных чисел!" sqref="AE808">
      <formula1>0</formula1>
      <formula2>9.99999999999999E+23</formula2>
    </dataValidation>
    <dataValidation type="decimal" allowBlank="1" showErrorMessage="1" errorTitle="Ошибка" error="Допускается ввод только неотрицательных чисел!" sqref="AC808">
      <formula1>0</formula1>
      <formula2>9.99999999999999E+23</formula2>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decimal" allowBlank="1" showErrorMessage="1" errorTitle="Ошибка" error="Допускается ввод только неотрицательных чисел!" sqref="AE802">
      <formula1>0</formula1>
      <formula2>9.99999999999999E+23</formula2>
    </dataValidation>
    <dataValidation type="decimal" allowBlank="1" showErrorMessage="1" errorTitle="Ошибка" error="Допускается ввод только неотрицательных чисел!" sqref="AC802">
      <formula1>0</formula1>
      <formula2>9.99999999999999E+23</formula2>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decimal" allowBlank="1" showErrorMessage="1" errorTitle="Ошибка" error="Допускается ввод только неотрицательных чисел!" sqref="AE801">
      <formula1>0</formula1>
      <formula2>9.99999999999999E+23</formula2>
    </dataValidation>
    <dataValidation type="decimal" allowBlank="1" showErrorMessage="1" errorTitle="Ошибка" error="Допускается ввод только неотрицательных чисел!" sqref="AC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decimal" allowBlank="1" showErrorMessage="1" errorTitle="Ошибка" error="Допускается ввод только неотрицательных чисел!" sqref="AE794">
      <formula1>0</formula1>
      <formula2>9.99999999999999E+23</formula2>
    </dataValidation>
    <dataValidation type="decimal" allowBlank="1" showErrorMessage="1" errorTitle="Ошибка" error="Допускается ввод только неотрицательных чисел!" sqref="AC794">
      <formula1>0</formula1>
      <formula2>9.99999999999999E+23</formula2>
    </dataValidation>
    <dataValidation type="textLength" operator="lessThanOrEqual" allowBlank="1" showInputMessage="1" showErrorMessage="1" errorTitle="Ошибка" error="Допускается ввод не более 900 символов!" sqref="K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decimal" allowBlank="1" showErrorMessage="1" errorTitle="Ошибка" error="Допускается ввод только неотрицательных чисел!" sqref="AE793">
      <formula1>0</formula1>
      <formula2>9.99999999999999E+23</formula2>
    </dataValidation>
    <dataValidation type="decimal" allowBlank="1" showErrorMessage="1" errorTitle="Ошибка" error="Допускается ввод только неотрицательных чисел!" sqref="AC793">
      <formula1>0</formula1>
      <formula2>9.99999999999999E+23</formula2>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decimal" allowBlank="1" showErrorMessage="1" errorTitle="Ошибка" error="Допускается ввод только неотрицательных чисел!" sqref="AE787">
      <formula1>0</formula1>
      <formula2>9.99999999999999E+23</formula2>
    </dataValidation>
    <dataValidation type="decimal" allowBlank="1" showErrorMessage="1" errorTitle="Ошибка" error="Допускается ввод только неотрицательных чисел!" sqref="AC787">
      <formula1>0</formula1>
      <formula2>9.99999999999999E+23</formula2>
    </dataValidation>
    <dataValidation type="textLength" operator="lessThanOrEqual" allowBlank="1" showInputMessage="1" showErrorMessage="1" errorTitle="Ошибка" error="Допускается ввод не более 900 символов!" sqref="K7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decimal" allowBlank="1" showErrorMessage="1" errorTitle="Ошибка" error="Допускается ввод только неотрицательных чисел!" sqref="AE786">
      <formula1>0</formula1>
      <formula2>9.99999999999999E+23</formula2>
    </dataValidation>
    <dataValidation type="decimal" allowBlank="1" showErrorMessage="1" errorTitle="Ошибка" error="Допускается ввод только неотрицательных чисел!" sqref="AC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decimal" allowBlank="1" showErrorMessage="1" errorTitle="Ошибка" error="Допускается ввод только неотрицательных чисел!" sqref="AE779">
      <formula1>0</formula1>
      <formula2>9.99999999999999E+23</formula2>
    </dataValidation>
    <dataValidation type="decimal" allowBlank="1" showErrorMessage="1" errorTitle="Ошибка" error="Допускается ввод только неотрицательных чисел!" sqref="AC779">
      <formula1>0</formula1>
      <formula2>9.99999999999999E+23</formula2>
    </dataValidation>
    <dataValidation type="textLength" operator="lessThanOrEqual" allowBlank="1" showInputMessage="1" showErrorMessage="1" errorTitle="Ошибка" error="Допускается ввод не более 900 символов!" sqref="K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decimal" allowBlank="1" showErrorMessage="1" errorTitle="Ошибка" error="Допускается ввод только неотрицательных чисел!" sqref="AE778">
      <formula1>0</formula1>
      <formula2>9.99999999999999E+23</formula2>
    </dataValidation>
    <dataValidation type="decimal" allowBlank="1" showErrorMessage="1" errorTitle="Ошибка" error="Допускается ввод только неотрицательных чисел!" sqref="AC778">
      <formula1>0</formula1>
      <formula2>9.99999999999999E+23</formula2>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decimal" allowBlank="1" showErrorMessage="1" errorTitle="Ошибка" error="Допускается ввод только неотрицательных чисел!" sqref="AE771">
      <formula1>0</formula1>
      <formula2>9.99999999999999E+23</formula2>
    </dataValidation>
    <dataValidation type="decimal" allowBlank="1" showErrorMessage="1" errorTitle="Ошибка" error="Допускается ввод только неотрицательных чисел!" sqref="AC771">
      <formula1>0</formula1>
      <formula2>9.99999999999999E+23</formula2>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decimal" allowBlank="1" showErrorMessage="1" errorTitle="Ошибка" error="Допускается ввод только неотрицательных чисел!" sqref="AE770">
      <formula1>0</formula1>
      <formula2>9.99999999999999E+23</formula2>
    </dataValidation>
    <dataValidation type="decimal" allowBlank="1" showErrorMessage="1" errorTitle="Ошибка" error="Допускается ввод только неотрицательных чисел!" sqref="AC770">
      <formula1>0</formula1>
      <formula2>9.99999999999999E+23</formula2>
    </dataValidation>
    <dataValidation type="textLength" operator="lessThanOrEqual" allowBlank="1" showInputMessage="1" showErrorMessage="1" errorTitle="Ошибка" error="Допускается ввод не более 900 символов!" sqref="K7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decimal" allowBlank="1" showErrorMessage="1" errorTitle="Ошибка" error="Допускается ввод только неотрицательных чисел!" sqref="AE764">
      <formula1>0</formula1>
      <formula2>9.99999999999999E+23</formula2>
    </dataValidation>
    <dataValidation type="decimal" allowBlank="1" showErrorMessage="1" errorTitle="Ошибка" error="Допускается ввод только неотрицательных чисел!" sqref="AC764">
      <formula1>0</formula1>
      <formula2>9.99999999999999E+23</formula2>
    </dataValidation>
    <dataValidation type="textLength" operator="lessThanOrEqual" allowBlank="1" showInputMessage="1" showErrorMessage="1" errorTitle="Ошибка" error="Допускается ввод не более 900 символов!" sqref="K7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decimal" allowBlank="1" showErrorMessage="1" errorTitle="Ошибка" error="Допускается ввод только неотрицательных чисел!" sqref="AE763">
      <formula1>0</formula1>
      <formula2>9.99999999999999E+23</formula2>
    </dataValidation>
    <dataValidation type="decimal" allowBlank="1" showErrorMessage="1" errorTitle="Ошибка" error="Допускается ввод только неотрицательных чисел!" sqref="AC763">
      <formula1>0</formula1>
      <formula2>9.99999999999999E+23</formula2>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decimal" allowBlank="1" showErrorMessage="1" errorTitle="Ошибка" error="Допускается ввод только неотрицательных чисел!" sqref="AE757">
      <formula1>0</formula1>
      <formula2>9.99999999999999E+23</formula2>
    </dataValidation>
    <dataValidation type="decimal" allowBlank="1" showErrorMessage="1" errorTitle="Ошибка" error="Допускается ввод только неотрицательных чисел!" sqref="AC757">
      <formula1>0</formula1>
      <formula2>9.99999999999999E+23</formula2>
    </dataValidation>
    <dataValidation type="textLength" operator="lessThanOrEqual" allowBlank="1" showInputMessage="1" showErrorMessage="1" errorTitle="Ошибка" error="Допускается ввод не более 900 символов!" sqref="K7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decimal" allowBlank="1" showErrorMessage="1" errorTitle="Ошибка" error="Допускается ввод только неотрицательных чисел!" sqref="AE756">
      <formula1>0</formula1>
      <formula2>9.99999999999999E+23</formula2>
    </dataValidation>
    <dataValidation type="decimal" allowBlank="1" showErrorMessage="1" errorTitle="Ошибка" error="Допускается ввод только неотрицательных чисел!" sqref="AC756">
      <formula1>0</formula1>
      <formula2>9.99999999999999E+23</formula2>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decimal" allowBlank="1" showErrorMessage="1" errorTitle="Ошибка" error="Допускается ввод только неотрицательных чисел!" sqref="AE749">
      <formula1>0</formula1>
      <formula2>9.99999999999999E+23</formula2>
    </dataValidation>
    <dataValidation type="decimal" allowBlank="1" showErrorMessage="1" errorTitle="Ошибка" error="Допускается ввод только неотрицательных чисел!" sqref="AC749">
      <formula1>0</formula1>
      <formula2>9.99999999999999E+23</formula2>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decimal" allowBlank="1" showErrorMessage="1" errorTitle="Ошибка" error="Допускается ввод только неотрицательных чисел!" sqref="AE748">
      <formula1>0</formula1>
      <formula2>9.99999999999999E+23</formula2>
    </dataValidation>
    <dataValidation type="decimal" allowBlank="1" showErrorMessage="1" errorTitle="Ошибка" error="Допускается ввод только неотрицательных чисел!" sqref="AC748">
      <formula1>0</formula1>
      <formula2>9.99999999999999E+23</formula2>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decimal" allowBlank="1" showErrorMessage="1" errorTitle="Ошибка" error="Допускается ввод только неотрицательных чисел!" sqref="AE741">
      <formula1>0</formula1>
      <formula2>9.99999999999999E+23</formula2>
    </dataValidation>
    <dataValidation type="decimal" allowBlank="1" showErrorMessage="1" errorTitle="Ошибка" error="Допускается ввод только неотрицательных чисел!" sqref="AC741">
      <formula1>0</formula1>
      <formula2>9.99999999999999E+23</formula2>
    </dataValidation>
    <dataValidation type="textLength" operator="lessThanOrEqual" allowBlank="1" showInputMessage="1" showErrorMessage="1" errorTitle="Ошибка" error="Допускается ввод не более 900 символов!" sqref="K7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decimal" allowBlank="1" showErrorMessage="1" errorTitle="Ошибка" error="Допускается ввод только неотрицательных чисел!" sqref="AE740">
      <formula1>0</formula1>
      <formula2>9.99999999999999E+23</formula2>
    </dataValidation>
    <dataValidation type="decimal" allowBlank="1" showErrorMessage="1" errorTitle="Ошибка" error="Допускается ввод только неотрицательных чисел!" sqref="AC740">
      <formula1>0</formula1>
      <formula2>9.99999999999999E+23</formula2>
    </dataValidation>
    <dataValidation type="textLength" operator="lessThanOrEqual" allowBlank="1" showInputMessage="1" showErrorMessage="1" errorTitle="Ошибка" error="Допускается ввод не более 900 символов!" sqref="K7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decimal" allowBlank="1" showErrorMessage="1" errorTitle="Ошибка" error="Допускается ввод только неотрицательных чисел!" sqref="AE733">
      <formula1>0</formula1>
      <formula2>9.99999999999999E+23</formula2>
    </dataValidation>
    <dataValidation type="decimal" allowBlank="1" showErrorMessage="1" errorTitle="Ошибка" error="Допускается ввод только неотрицательных чисел!" sqref="AC733">
      <formula1>0</formula1>
      <formula2>9.99999999999999E+23</formula2>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decimal" allowBlank="1" showErrorMessage="1" errorTitle="Ошибка" error="Допускается ввод только неотрицательных чисел!" sqref="AE732">
      <formula1>0</formula1>
      <formula2>9.99999999999999E+23</formula2>
    </dataValidation>
    <dataValidation type="decimal" allowBlank="1" showErrorMessage="1" errorTitle="Ошибка" error="Допускается ввод только неотрицательных чисел!" sqref="AC732">
      <formula1>0</formula1>
      <formula2>9.99999999999999E+23</formula2>
    </dataValidation>
    <dataValidation type="textLength" operator="lessThanOrEqual" allowBlank="1" showInputMessage="1" showErrorMessage="1" errorTitle="Ошибка" error="Допускается ввод не более 900 символов!" sqref="K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decimal" allowBlank="1" showErrorMessage="1" errorTitle="Ошибка" error="Допускается ввод только неотрицательных чисел!" sqref="AE725">
      <formula1>0</formula1>
      <formula2>9.99999999999999E+23</formula2>
    </dataValidation>
    <dataValidation type="decimal" allowBlank="1" showErrorMessage="1" errorTitle="Ошибка" error="Допускается ввод только неотрицательных чисел!" sqref="AC725">
      <formula1>0</formula1>
      <formula2>9.99999999999999E+23</formula2>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decimal" allowBlank="1" showErrorMessage="1" errorTitle="Ошибка" error="Допускается ввод только неотрицательных чисел!" sqref="AE724">
      <formula1>0</formula1>
      <formula2>9.99999999999999E+23</formula2>
    </dataValidation>
    <dataValidation type="decimal" allowBlank="1" showErrorMessage="1" errorTitle="Ошибка" error="Допускается ввод только неотрицательных чисел!" sqref="AC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decimal" allowBlank="1" showErrorMessage="1" errorTitle="Ошибка" error="Допускается ввод только неотрицательных чисел!" sqref="AE717">
      <formula1>0</formula1>
      <formula2>9.99999999999999E+23</formula2>
    </dataValidation>
    <dataValidation type="decimal" allowBlank="1" showErrorMessage="1" errorTitle="Ошибка" error="Допускается ввод только неотрицательных чисел!" sqref="AC717">
      <formula1>0</formula1>
      <formula2>9.99999999999999E+23</formula2>
    </dataValidation>
    <dataValidation type="textLength" operator="lessThanOrEqual" allowBlank="1" showInputMessage="1" showErrorMessage="1" errorTitle="Ошибка" error="Допускается ввод не более 900 символов!" sqref="K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decimal" allowBlank="1" showErrorMessage="1" errorTitle="Ошибка" error="Допускается ввод только неотрицательных чисел!" sqref="AE716">
      <formula1>0</formula1>
      <formula2>9.99999999999999E+23</formula2>
    </dataValidation>
    <dataValidation type="decimal" allowBlank="1" showErrorMessage="1" errorTitle="Ошибка" error="Допускается ввод только неотрицательных чисел!" sqref="AC716">
      <formula1>0</formula1>
      <formula2>9.99999999999999E+23</formula2>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decimal" allowBlank="1" showErrorMessage="1" errorTitle="Ошибка" error="Допускается ввод только неотрицательных чисел!" sqref="AE710">
      <formula1>0</formula1>
      <formula2>9.99999999999999E+23</formula2>
    </dataValidation>
    <dataValidation type="decimal" allowBlank="1" showErrorMessage="1" errorTitle="Ошибка" error="Допускается ввод только неотрицательных чисел!" sqref="AC710">
      <formula1>0</formula1>
      <formula2>9.99999999999999E+23</formula2>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decimal" allowBlank="1" showErrorMessage="1" errorTitle="Ошибка" error="Допускается ввод только неотрицательных чисел!" sqref="AE709">
      <formula1>0</formula1>
      <formula2>9.99999999999999E+23</formula2>
    </dataValidation>
    <dataValidation type="decimal" allowBlank="1" showErrorMessage="1" errorTitle="Ошибка" error="Допускается ввод только неотрицательных чисел!" sqref="AC709">
      <formula1>0</formula1>
      <formula2>9.99999999999999E+23</formula2>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decimal" allowBlank="1" showErrorMessage="1" errorTitle="Ошибка" error="Допускается ввод только неотрицательных чисел!" sqref="AE702">
      <formula1>0</formula1>
      <formula2>9.99999999999999E+23</formula2>
    </dataValidation>
    <dataValidation type="decimal" allowBlank="1" showErrorMessage="1" errorTitle="Ошибка" error="Допускается ввод только неотрицательных чисел!" sqref="AC702">
      <formula1>0</formula1>
      <formula2>9.99999999999999E+23</formula2>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decimal" allowBlank="1" showErrorMessage="1" errorTitle="Ошибка" error="Допускается ввод только неотрицательных чисел!" sqref="AE695">
      <formula1>0</formula1>
      <formula2>9.99999999999999E+23</formula2>
    </dataValidation>
    <dataValidation type="decimal" allowBlank="1" showErrorMessage="1" errorTitle="Ошибка" error="Допускается ввод только неотрицательных чисел!" sqref="AC695">
      <formula1>0</formula1>
      <formula2>9.99999999999999E+23</formula2>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decimal" allowBlank="1" showErrorMessage="1" errorTitle="Ошибка" error="Допускается ввод только неотрицательных чисел!" sqref="AE694">
      <formula1>0</formula1>
      <formula2>9.99999999999999E+23</formula2>
    </dataValidation>
    <dataValidation type="decimal" allowBlank="1" showErrorMessage="1" errorTitle="Ошибка" error="Допускается ввод только неотрицательных чисел!" sqref="AC694">
      <formula1>0</formula1>
      <formula2>9.99999999999999E+23</formula2>
    </dataValidation>
    <dataValidation type="textLength" operator="lessThanOrEqual" allowBlank="1" showInputMessage="1" showErrorMessage="1" errorTitle="Ошибка" error="Допускается ввод не более 900 символов!" sqref="K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decimal" allowBlank="1" showErrorMessage="1" errorTitle="Ошибка" error="Допускается ввод только неотрицательных чисел!" sqref="AE687">
      <formula1>0</formula1>
      <formula2>9.99999999999999E+23</formula2>
    </dataValidation>
    <dataValidation type="decimal" allowBlank="1" showErrorMessage="1" errorTitle="Ошибка" error="Допускается ввод только неотрицательных чисел!" sqref="AC687">
      <formula1>0</formula1>
      <formula2>9.99999999999999E+23</formula2>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decimal" allowBlank="1" showErrorMessage="1" errorTitle="Ошибка" error="Допускается ввод только неотрицательных чисел!" sqref="AE686">
      <formula1>0</formula1>
      <formula2>9.99999999999999E+23</formula2>
    </dataValidation>
    <dataValidation type="decimal" allowBlank="1" showErrorMessage="1" errorTitle="Ошибка" error="Допускается ввод только неотрицательных чисел!" sqref="AC686">
      <formula1>0</formula1>
      <formula2>9.99999999999999E+23</formula2>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decimal" allowBlank="1" showErrorMessage="1" errorTitle="Ошибка" error="Допускается ввод только неотрицательных чисел!" sqref="AE680">
      <formula1>0</formula1>
      <formula2>9.99999999999999E+23</formula2>
    </dataValidation>
    <dataValidation type="decimal" allowBlank="1" showErrorMessage="1" errorTitle="Ошибка" error="Допускается ввод только неотрицательных чисел!" sqref="AC680">
      <formula1>0</formula1>
      <formula2>9.99999999999999E+23</formula2>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decimal" allowBlank="1" showErrorMessage="1" errorTitle="Ошибка" error="Допускается ввод только неотрицательных чисел!" sqref="AE679">
      <formula1>0</formula1>
      <formula2>9.99999999999999E+23</formula2>
    </dataValidation>
    <dataValidation type="decimal" allowBlank="1" showErrorMessage="1" errorTitle="Ошибка" error="Допускается ввод только неотрицательных чисел!" sqref="AC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textLength" operator="lessThanOrEqual" allowBlank="1" showInputMessage="1" showErrorMessage="1" errorTitle="Ошибка" error="Допускается ввод не более 900 символов!" sqref="K9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decimal" allowBlank="1" showErrorMessage="1" errorTitle="Ошибка" error="Допускается ввод только неотрицательных чисел!" sqref="AE965">
      <formula1>0</formula1>
      <formula2>9.99999999999999E+23</formula2>
    </dataValidation>
    <dataValidation type="decimal" allowBlank="1" showErrorMessage="1" errorTitle="Ошибка" error="Допускается ввод только неотрицательных чисел!" sqref="AC965">
      <formula1>0</formula1>
      <formula2>9.99999999999999E+23</formula2>
    </dataValidation>
    <dataValidation type="textLength" operator="lessThanOrEqual" allowBlank="1" showInputMessage="1" showErrorMessage="1" errorTitle="Ошибка" error="Допускается ввод не более 900 символов!" sqref="K9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5">
      <formula1>"a"</formula1>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textLength" operator="lessThanOrEqual" allowBlank="1" showInputMessage="1" showErrorMessage="1" errorTitle="Ошибка" error="Допускается ввод не более 900 символов!" sqref="K9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textLength" operator="lessThanOrEqual" allowBlank="1" showInputMessage="1" showErrorMessage="1" errorTitle="Ошибка" error="Допускается ввод не более 900 символов!" sqref="M963">
      <formula1>900</formula1>
    </dataValidation>
    <dataValidation type="textLength" operator="lessThanOrEqual" allowBlank="1" showInputMessage="1" showErrorMessage="1" errorTitle="Ошибка" error="Допускается ввод не более 900 символов!" sqref="K9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textLength" operator="lessThanOrEqual" allowBlank="1" showInputMessage="1" showErrorMessage="1" errorTitle="Ошибка" error="Допускается ввод не более 900 символов!" sqref="K9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decimal" allowBlank="1" showErrorMessage="1" errorTitle="Ошибка" error="Допускается ввод только неотрицательных чисел!" sqref="AE958">
      <formula1>0</formula1>
      <formula2>9.99999999999999E+23</formula2>
    </dataValidation>
    <dataValidation type="decimal" allowBlank="1" showErrorMessage="1" errorTitle="Ошибка" error="Допускается ввод только неотрицательных чисел!" sqref="AC958">
      <formula1>0</formula1>
      <formula2>9.99999999999999E+23</formula2>
    </dataValidation>
    <dataValidation type="textLength" operator="lessThanOrEqual" allowBlank="1" showInputMessage="1" showErrorMessage="1" errorTitle="Ошибка" error="Допускается ввод не более 900 символов!" sqref="K9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textLength" operator="lessThanOrEqual" allowBlank="1" showInputMessage="1" showErrorMessage="1" errorTitle="Ошибка" error="Допускается ввод не более 900 символов!" sqref="K9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textLength" operator="lessThanOrEqual" allowBlank="1" showInputMessage="1" showErrorMessage="1" errorTitle="Ошибка" error="Допускается ввод не более 900 символов!" sqref="M956">
      <formula1>900</formula1>
    </dataValidation>
    <dataValidation type="textLength" operator="lessThanOrEqual" allowBlank="1" showInputMessage="1" showErrorMessage="1" errorTitle="Ошибка" error="Допускается ввод не более 900 символов!" sqref="K9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textLength" operator="lessThanOrEqual" allowBlank="1" showInputMessage="1" showErrorMessage="1" errorTitle="Ошибка" error="Допускается ввод не более 900 символов!" sqref="K9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decimal" allowBlank="1" showErrorMessage="1" errorTitle="Ошибка" error="Допускается ввод только неотрицательных чисел!" sqref="AE951">
      <formula1>0</formula1>
      <formula2>9.99999999999999E+23</formula2>
    </dataValidation>
    <dataValidation type="decimal" allowBlank="1" showErrorMessage="1" errorTitle="Ошибка" error="Допускается ввод только неотрицательных чисел!" sqref="AC951">
      <formula1>0</formula1>
      <formula2>9.99999999999999E+23</formula2>
    </dataValidation>
    <dataValidation type="textLength" operator="lessThanOrEqual" allowBlank="1" showInputMessage="1" showErrorMessage="1" errorTitle="Ошибка" error="Допускается ввод не более 900 символов!" sqref="K9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textLength" operator="lessThanOrEqual" allowBlank="1" showInputMessage="1" showErrorMessage="1" errorTitle="Ошибка" error="Допускается ввод не более 900 символов!" sqref="K9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textLength" operator="lessThanOrEqual" allowBlank="1" showInputMessage="1" showErrorMessage="1" errorTitle="Ошибка" error="Допускается ввод не более 900 символов!" sqref="M949">
      <formula1>900</formula1>
    </dataValidation>
    <dataValidation type="textLength" operator="lessThanOrEqual" allowBlank="1" showInputMessage="1" showErrorMessage="1" errorTitle="Ошибка" error="Допускается ввод не более 900 символов!" sqref="K9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9">
      <formula1>"a"</formula1>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textLength" operator="lessThanOrEqual" allowBlank="1" showInputMessage="1" showErrorMessage="1" errorTitle="Ошибка" error="Допускается ввод не более 900 символов!" sqref="K9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decimal" allowBlank="1" showErrorMessage="1" errorTitle="Ошибка" error="Допускается ввод только неотрицательных чисел!" sqref="AE943">
      <formula1>0</formula1>
      <formula2>9.99999999999999E+23</formula2>
    </dataValidation>
    <dataValidation type="decimal" allowBlank="1" showErrorMessage="1" errorTitle="Ошибка" error="Допускается ввод только неотрицательных чисел!" sqref="AC943">
      <formula1>0</formula1>
      <formula2>9.99999999999999E+23</formula2>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textLength" operator="lessThanOrEqual" allowBlank="1" showInputMessage="1" showErrorMessage="1" errorTitle="Ошибка" error="Допускается ввод не более 900 символов!" sqref="K9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textLength" operator="lessThanOrEqual" allowBlank="1" showInputMessage="1" showErrorMessage="1" errorTitle="Ошибка" error="Допускается ввод не более 900 символов!" sqref="M941">
      <formula1>900</formula1>
    </dataValidation>
    <dataValidation type="textLength" operator="lessThanOrEqual" allowBlank="1" showInputMessage="1" showErrorMessage="1" errorTitle="Ошибка" error="Допускается ввод не более 900 символов!" sqref="K9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textLength" operator="lessThanOrEqual" allowBlank="1" showInputMessage="1" showErrorMessage="1" errorTitle="Ошибка" error="Допускается ввод не более 900 символов!" sqref="K9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9">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decimal" allowBlank="1" showErrorMessage="1" errorTitle="Ошибка" error="Допускается ввод только неотрицательных чисел!" sqref="AE935">
      <formula1>0</formula1>
      <formula2>9.99999999999999E+23</formula2>
    </dataValidation>
    <dataValidation type="decimal" allowBlank="1" showErrorMessage="1" errorTitle="Ошибка" error="Допускается ввод только неотрицательных чисел!" sqref="AC935">
      <formula1>0</formula1>
      <formula2>9.99999999999999E+23</formula2>
    </dataValidation>
    <dataValidation type="textLength" operator="lessThanOrEqual" allowBlank="1" showInputMessage="1" showErrorMessage="1" errorTitle="Ошибка" error="Допускается ввод не более 900 символов!" sqref="K9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textLength" operator="lessThanOrEqual" allowBlank="1" showInputMessage="1" showErrorMessage="1" errorTitle="Ошибка" error="Допускается ввод не более 900 символов!" sqref="K9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textLength" operator="lessThanOrEqual" allowBlank="1" showInputMessage="1" showErrorMessage="1" errorTitle="Ошибка" error="Допускается ввод не более 900 символов!" sqref="M933">
      <formula1>900</formula1>
    </dataValidation>
    <dataValidation type="textLength" operator="lessThanOrEqual" allowBlank="1" showInputMessage="1" showErrorMessage="1" errorTitle="Ошибка" error="Допускается ввод не более 900 символов!" sqref="K9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textLength" operator="lessThanOrEqual" allowBlank="1" showInputMessage="1" showErrorMessage="1" errorTitle="Ошибка" error="Допускается ввод не более 900 символов!" sqref="K9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decimal" allowBlank="1" showErrorMessage="1" errorTitle="Ошибка" error="Допускается ввод только неотрицательных чисел!" sqref="AE929">
      <formula1>0</formula1>
      <formula2>9.99999999999999E+23</formula2>
    </dataValidation>
    <dataValidation type="decimal" allowBlank="1" showErrorMessage="1" errorTitle="Ошибка" error="Допускается ввод только неотрицательных чисел!" sqref="AC929">
      <formula1>0</formula1>
      <formula2>9.99999999999999E+23</formula2>
    </dataValidation>
    <dataValidation type="textLength" operator="lessThanOrEqual" allowBlank="1" showInputMessage="1" showErrorMessage="1" errorTitle="Ошибка" error="Допускается ввод не более 900 символов!" sqref="K9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9">
      <formula1>"a"</formula1>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textLength" operator="lessThanOrEqual" allowBlank="1" showInputMessage="1" showErrorMessage="1" errorTitle="Ошибка" error="Допускается ввод не более 900 символов!" sqref="K9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8">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textLength" operator="lessThanOrEqual" allowBlank="1" showInputMessage="1" showErrorMessage="1" errorTitle="Ошибка" error="Допускается ввод не более 900 символов!" sqref="M927">
      <formula1>900</formula1>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decimal" allowBlank="1" showErrorMessage="1" errorTitle="Ошибка" error="Допускается ввод только неотрицательных чисел!" sqref="AE923">
      <formula1>0</formula1>
      <formula2>9.99999999999999E+23</formula2>
    </dataValidation>
    <dataValidation type="decimal" allowBlank="1" showErrorMessage="1" errorTitle="Ошибка" error="Допускается ввод только неотрицательных чисел!" sqref="AC923">
      <formula1>0</formula1>
      <formula2>9.99999999999999E+23</formula2>
    </dataValidation>
    <dataValidation type="textLength" operator="lessThanOrEqual" allowBlank="1" showInputMessage="1" showErrorMessage="1" errorTitle="Ошибка" error="Допускается ввод не более 900 символов!" sqref="K9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textLength" operator="lessThanOrEqual" allowBlank="1" showInputMessage="1" showErrorMessage="1" errorTitle="Ошибка" error="Допускается ввод не более 900 символов!" sqref="K9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textLength" operator="lessThanOrEqual" allowBlank="1" showInputMessage="1" showErrorMessage="1" errorTitle="Ошибка" error="Допускается ввод не более 900 символов!" sqref="M921">
      <formula1>900</formula1>
    </dataValidation>
    <dataValidation type="textLength" operator="lessThanOrEqual" allowBlank="1" showInputMessage="1" showErrorMessage="1" errorTitle="Ошибка" error="Допускается ввод не более 900 символов!" sqref="K9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textLength" operator="lessThanOrEqual" allowBlank="1" showInputMessage="1" showErrorMessage="1" errorTitle="Ошибка" error="Допускается ввод не более 900 символов!" sqref="K9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decimal" allowBlank="1" showErrorMessage="1" errorTitle="Ошибка" error="Допускается ввод только неотрицательных чисел!" sqref="AE917">
      <formula1>0</formula1>
      <formula2>9.99999999999999E+23</formula2>
    </dataValidation>
    <dataValidation type="decimal" allowBlank="1" showErrorMessage="1" errorTitle="Ошибка" error="Допускается ввод только неотрицательных чисел!" sqref="AC917">
      <formula1>0</formula1>
      <formula2>9.99999999999999E+23</formula2>
    </dataValidation>
    <dataValidation type="textLength" operator="lessThanOrEqual" allowBlank="1" showInputMessage="1" showErrorMessage="1" errorTitle="Ошибка" error="Допускается ввод не более 900 символов!" sqref="K9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textLength" operator="lessThanOrEqual" allowBlank="1" showInputMessage="1" showErrorMessage="1" errorTitle="Ошибка" error="Допускается ввод не более 900 символов!" sqref="K9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textLength" operator="lessThanOrEqual" allowBlank="1" showInputMessage="1" showErrorMessage="1" errorTitle="Ошибка" error="Допускается ввод не более 900 символов!" sqref="M915">
      <formula1>900</formula1>
    </dataValidation>
    <dataValidation type="textLength" operator="lessThanOrEqual" allowBlank="1" showInputMessage="1" showErrorMessage="1" errorTitle="Ошибка" error="Допускается ввод не более 900 символов!" sqref="K9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decimal" allowBlank="1" showErrorMessage="1" errorTitle="Ошибка" error="Допускается ввод только неотрицательных чисел!" sqref="AE911">
      <formula1>0</formula1>
      <formula2>9.99999999999999E+23</formula2>
    </dataValidation>
    <dataValidation type="decimal" allowBlank="1" showErrorMessage="1" errorTitle="Ошибка" error="Допускается ввод только неотрицательных чисел!" sqref="AC911">
      <formula1>0</formula1>
      <formula2>9.99999999999999E+23</formula2>
    </dataValidation>
    <dataValidation type="textLength" operator="lessThanOrEqual" allowBlank="1" showInputMessage="1" showErrorMessage="1" errorTitle="Ошибка" error="Допускается ввод не более 900 символов!" sqref="K9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textLength" operator="lessThanOrEqual" allowBlank="1" showInputMessage="1" showErrorMessage="1" errorTitle="Ошибка" error="Допускается ввод не более 900 символов!" sqref="M909">
      <formula1>900</formula1>
    </dataValidation>
    <dataValidation type="textLength" operator="lessThanOrEqual" allowBlank="1" showInputMessage="1" showErrorMessage="1" errorTitle="Ошибка" error="Допускается ввод не более 900 символов!" sqref="K9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9">
      <formula1>"a"</formula1>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decimal" allowBlank="1" showErrorMessage="1" errorTitle="Ошибка" error="Допускается ввод только неотрицательных чисел!" sqref="AE905">
      <formula1>0</formula1>
      <formula2>9.99999999999999E+23</formula2>
    </dataValidation>
    <dataValidation type="decimal" allowBlank="1" showErrorMessage="1" errorTitle="Ошибка" error="Допускается ввод только неотрицательных чисел!" sqref="AC905">
      <formula1>0</formula1>
      <formula2>9.99999999999999E+23</formula2>
    </dataValidation>
    <dataValidation type="textLength" operator="lessThanOrEqual" allowBlank="1" showInputMessage="1" showErrorMessage="1" errorTitle="Ошибка" error="Допускается ввод не более 900 символов!" sqref="K9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textLength" operator="lessThanOrEqual" allowBlank="1" showInputMessage="1" showErrorMessage="1" errorTitle="Ошибка" error="Допускается ввод не более 900 символов!" sqref="K9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textLength" operator="lessThanOrEqual" allowBlank="1" showInputMessage="1" showErrorMessage="1" errorTitle="Ошибка" error="Допускается ввод не более 900 символов!" sqref="M903">
      <formula1>900</formula1>
    </dataValidation>
    <dataValidation type="textLength" operator="lessThanOrEqual" allowBlank="1" showInputMessage="1" showErrorMessage="1" errorTitle="Ошибка" error="Допускается ввод не более 900 символов!" sqref="K9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decimal" allowBlank="1" showErrorMessage="1" errorTitle="Ошибка" error="Допускается ввод только неотрицательных чисел!" sqref="AE899">
      <formula1>0</formula1>
      <formula2>9.99999999999999E+23</formula2>
    </dataValidation>
    <dataValidation type="decimal" allowBlank="1" showErrorMessage="1" errorTitle="Ошибка" error="Допускается ввод только неотрицательных чисел!" sqref="AC899">
      <formula1>0</formula1>
      <formula2>9.99999999999999E+23</formula2>
    </dataValidation>
    <dataValidation type="textLength" operator="lessThanOrEqual" allowBlank="1" showInputMessage="1" showErrorMessage="1" errorTitle="Ошибка" error="Допускается ввод не более 900 символов!" sqref="K8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textLength" operator="lessThanOrEqual" allowBlank="1" showInputMessage="1" showErrorMessage="1" errorTitle="Ошибка" error="Допускается ввод не более 900 символов!" sqref="K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textLength" operator="lessThanOrEqual" allowBlank="1" showInputMessage="1" showErrorMessage="1" errorTitle="Ошибка" error="Допускается ввод не более 900 символов!" sqref="M897">
      <formula1>900</formula1>
    </dataValidation>
    <dataValidation type="textLength" operator="lessThanOrEqual" allowBlank="1" showInputMessage="1" showErrorMessage="1" errorTitle="Ошибка" error="Допускается ввод не более 900 символов!" sqref="K8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textLength" operator="lessThanOrEqual" allowBlank="1" showInputMessage="1" showErrorMessage="1" errorTitle="Ошибка" error="Допускается ввод не более 900 символов!" sqref="K8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decimal" allowBlank="1" showErrorMessage="1" errorTitle="Ошибка" error="Допускается ввод только неотрицательных чисел!" sqref="AE893">
      <formula1>0</formula1>
      <formula2>9.99999999999999E+23</formula2>
    </dataValidation>
    <dataValidation type="decimal" allowBlank="1" showErrorMessage="1" errorTitle="Ошибка" error="Допускается ввод только неотрицательных чисел!" sqref="AC893">
      <formula1>0</formula1>
      <formula2>9.99999999999999E+23</formula2>
    </dataValidation>
    <dataValidation type="textLength" operator="lessThanOrEqual" allowBlank="1" showInputMessage="1" showErrorMessage="1" errorTitle="Ошибка" error="Допускается ввод не более 900 символов!" sqref="K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textLength" operator="lessThanOrEqual" allowBlank="1" showInputMessage="1" showErrorMessage="1" errorTitle="Ошибка" error="Допускается ввод не более 900 символов!" sqref="M891">
      <formula1>900</formula1>
    </dataValidation>
    <dataValidation type="textLength" operator="lessThanOrEqual" allowBlank="1" showInputMessage="1" showErrorMessage="1" errorTitle="Ошибка" error="Допускается ввод не более 900 символов!" sqref="K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textLength" operator="lessThanOrEqual" allowBlank="1" showInputMessage="1" showErrorMessage="1" errorTitle="Ошибка" error="Допускается ввод не более 900 символов!" sqref="K8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decimal" allowBlank="1" showErrorMessage="1" errorTitle="Ошибка" error="Допускается ввод только неотрицательных чисел!" sqref="AE887">
      <formula1>0</formula1>
      <formula2>9.99999999999999E+23</formula2>
    </dataValidation>
    <dataValidation type="decimal" allowBlank="1" showErrorMessage="1" errorTitle="Ошибка" error="Допускается ввод только неотрицательных чисел!" sqref="AC887">
      <formula1>0</formula1>
      <formula2>9.99999999999999E+23</formula2>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textLength" operator="lessThanOrEqual" allowBlank="1" showInputMessage="1" showErrorMessage="1" errorTitle="Ошибка" error="Допускается ввод не более 900 символов!" sqref="M885">
      <formula1>900</formula1>
    </dataValidation>
    <dataValidation type="textLength" operator="lessThanOrEqual" allowBlank="1" showInputMessage="1" showErrorMessage="1" errorTitle="Ошибка" error="Допускается ввод не более 900 символов!" sqref="K8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textLength" operator="lessThanOrEqual" allowBlank="1" showInputMessage="1" showErrorMessage="1" errorTitle="Ошибка" error="Допускается ввод не более 900 символов!" sqref="K8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decimal" allowBlank="1" showErrorMessage="1" errorTitle="Ошибка" error="Допускается ввод только неотрицательных чисел!" sqref="AE881">
      <formula1>0</formula1>
      <formula2>9.99999999999999E+23</formula2>
    </dataValidation>
    <dataValidation type="decimal" allowBlank="1" showErrorMessage="1" errorTitle="Ошибка" error="Допускается ввод только неотрицательных чисел!" sqref="AC881">
      <formula1>0</formula1>
      <formula2>9.99999999999999E+23</formula2>
    </dataValidation>
    <dataValidation type="textLength" operator="lessThanOrEqual" allowBlank="1" showInputMessage="1" showErrorMessage="1" errorTitle="Ошибка" error="Допускается ввод не более 900 символов!" sqref="K8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textLength" operator="lessThanOrEqual" allowBlank="1" showInputMessage="1" showErrorMessage="1" errorTitle="Ошибка" error="Допускается ввод не более 900 символов!" sqref="K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textLength" operator="lessThanOrEqual" allowBlank="1" showInputMessage="1" showErrorMessage="1" errorTitle="Ошибка" error="Допускается ввод не более 900 символов!" sqref="M879">
      <formula1>900</formula1>
    </dataValidation>
    <dataValidation type="textLength" operator="lessThanOrEqual" allowBlank="1" showInputMessage="1" showErrorMessage="1" errorTitle="Ошибка" error="Допускается ввод не более 900 символов!" sqref="K8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textLength" operator="lessThanOrEqual" allowBlank="1" showInputMessage="1" showErrorMessage="1" errorTitle="Ошибка" error="Допускается ввод не более 900 символов!" sqref="K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decimal" allowBlank="1" showErrorMessage="1" errorTitle="Ошибка" error="Допускается ввод только неотрицательных чисел!" sqref="AE875">
      <formula1>0</formula1>
      <formula2>9.99999999999999E+23</formula2>
    </dataValidation>
    <dataValidation type="decimal" allowBlank="1" showErrorMessage="1" errorTitle="Ошибка" error="Допускается ввод только неотрицательных чисел!" sqref="AC875">
      <formula1>0</formula1>
      <formula2>9.99999999999999E+23</formula2>
    </dataValidation>
    <dataValidation type="textLength" operator="lessThanOrEqual" allowBlank="1" showInputMessage="1" showErrorMessage="1" errorTitle="Ошибка" error="Допускается ввод не более 900 символов!" sqref="K8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textLength" operator="lessThanOrEqual" allowBlank="1" showInputMessage="1" showErrorMessage="1" errorTitle="Ошибка" error="Допускается ввод не более 900 символов!" sqref="K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textLength" operator="lessThanOrEqual" allowBlank="1" showInputMessage="1" showErrorMessage="1" errorTitle="Ошибка" error="Допускается ввод не более 900 символов!" sqref="M873">
      <formula1>900</formula1>
    </dataValidation>
    <dataValidation type="textLength" operator="lessThanOrEqual" allowBlank="1" showInputMessage="1" showErrorMessage="1" errorTitle="Ошибка" error="Допускается ввод не более 900 символов!" sqref="K8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textLength" operator="lessThanOrEqual" allowBlank="1" showInputMessage="1" showErrorMessage="1" errorTitle="Ошибка" error="Допускается ввод не более 900 символов!" sqref="K8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decimal" allowBlank="1" showErrorMessage="1" errorTitle="Ошибка" error="Допускается ввод только неотрицательных чисел!" sqref="AE869">
      <formula1>0</formula1>
      <formula2>9.99999999999999E+23</formula2>
    </dataValidation>
    <dataValidation type="decimal" allowBlank="1" showErrorMessage="1" errorTitle="Ошибка" error="Допускается ввод только неотрицательных чисел!" sqref="AC869">
      <formula1>0</formula1>
      <formula2>9.99999999999999E+23</formula2>
    </dataValidation>
    <dataValidation type="textLength" operator="lessThanOrEqual" allowBlank="1" showInputMessage="1" showErrorMessage="1" errorTitle="Ошибка" error="Допускается ввод не более 900 символов!" sqref="K8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textLength" operator="lessThanOrEqual" allowBlank="1" showInputMessage="1" showErrorMessage="1" errorTitle="Ошибка" error="Допускается ввод не более 900 символов!" sqref="K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textLength" operator="lessThanOrEqual" allowBlank="1" showInputMessage="1" showErrorMessage="1" errorTitle="Ошибка" error="Допускается ввод не более 900 символов!" sqref="M867">
      <formula1>900</formula1>
    </dataValidation>
    <dataValidation type="textLength" operator="lessThanOrEqual" allowBlank="1" showInputMessage="1" showErrorMessage="1" errorTitle="Ошибка" error="Допускается ввод не более 900 символов!" sqref="K8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textLength" operator="lessThanOrEqual" allowBlank="1" showInputMessage="1" showErrorMessage="1" errorTitle="Ошибка" error="Допускается ввод не более 900 символов!" sqref="K8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decimal" allowBlank="1" showErrorMessage="1" errorTitle="Ошибка" error="Допускается ввод только неотрицательных чисел!" sqref="AE863">
      <formula1>0</formula1>
      <formula2>9.99999999999999E+23</formula2>
    </dataValidation>
    <dataValidation type="decimal" allowBlank="1" showErrorMessage="1" errorTitle="Ошибка" error="Допускается ввод только неотрицательных чисел!" sqref="AC863">
      <formula1>0</formula1>
      <formula2>9.99999999999999E+23</formula2>
    </dataValidation>
    <dataValidation type="textLength" operator="lessThanOrEqual" allowBlank="1" showInputMessage="1" showErrorMessage="1" errorTitle="Ошибка" error="Допускается ввод не более 900 символов!" sqref="K8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textLength" operator="lessThanOrEqual" allowBlank="1" showInputMessage="1" showErrorMessage="1" errorTitle="Ошибка" error="Допускается ввод не более 900 символов!" sqref="K8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textLength" operator="lessThanOrEqual" allowBlank="1" showInputMessage="1" showErrorMessage="1" errorTitle="Ошибка" error="Допускается ввод не более 900 символов!" sqref="M861">
      <formula1>900</formula1>
    </dataValidation>
    <dataValidation type="textLength" operator="lessThanOrEqual" allowBlank="1" showInputMessage="1" showErrorMessage="1" errorTitle="Ошибка" error="Допускается ввод не более 900 символов!" sqref="K8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textLength" operator="lessThanOrEqual" allowBlank="1" showInputMessage="1" showErrorMessage="1" errorTitle="Ошибка" error="Допускается ввод не более 900 символов!" sqref="K8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decimal" allowBlank="1" showErrorMessage="1" errorTitle="Ошибка" error="Допускается ввод только неотрицательных чисел!" sqref="AE857">
      <formula1>0</formula1>
      <formula2>9.99999999999999E+23</formula2>
    </dataValidation>
    <dataValidation type="decimal" allowBlank="1" showErrorMessage="1" errorTitle="Ошибка" error="Допускается ввод только неотрицательных чисел!" sqref="AC857">
      <formula1>0</formula1>
      <formula2>9.99999999999999E+23</formula2>
    </dataValidation>
    <dataValidation type="textLength" operator="lessThanOrEqual" allowBlank="1" showInputMessage="1" showErrorMessage="1" errorTitle="Ошибка" error="Допускается ввод не более 900 символов!" sqref="K8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textLength" operator="lessThanOrEqual" allowBlank="1" showInputMessage="1" showErrorMessage="1" errorTitle="Ошибка" error="Допускается ввод не более 900 символов!" sqref="K8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textLength" operator="lessThanOrEqual" allowBlank="1" showInputMessage="1" showErrorMessage="1" errorTitle="Ошибка" error="Допускается ввод не более 900 символов!" sqref="M855">
      <formula1>900</formula1>
    </dataValidation>
    <dataValidation type="textLength" operator="lessThanOrEqual" allowBlank="1" showInputMessage="1" showErrorMessage="1" errorTitle="Ошибка" error="Допускается ввод не более 900 символов!" sqref="K8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textLength" operator="lessThanOrEqual" allowBlank="1" showInputMessage="1" showErrorMessage="1" errorTitle="Ошибка" error="Допускается ввод не более 900 символов!" sqref="K8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decimal" allowBlank="1" showErrorMessage="1" errorTitle="Ошибка" error="Допускается ввод только неотрицательных чисел!" sqref="AE851">
      <formula1>0</formula1>
      <formula2>9.99999999999999E+23</formula2>
    </dataValidation>
    <dataValidation type="decimal" allowBlank="1" showErrorMessage="1" errorTitle="Ошибка" error="Допускается ввод только неотрицательных чисел!" sqref="AC851">
      <formula1>0</formula1>
      <formula2>9.99999999999999E+23</formula2>
    </dataValidation>
    <dataValidation type="textLength" operator="lessThanOrEqual" allowBlank="1" showInputMessage="1" showErrorMessage="1" errorTitle="Ошибка" error="Допускается ввод не более 900 символов!" sqref="K8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1">
      <formula1>"a"</formula1>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textLength" operator="lessThanOrEqual" allowBlank="1" showInputMessage="1" showErrorMessage="1" errorTitle="Ошибка" error="Допускается ввод не более 900 символов!" sqref="K8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textLength" operator="lessThanOrEqual" allowBlank="1" showInputMessage="1" showErrorMessage="1" errorTitle="Ошибка" error="Допускается ввод не более 900 символов!" sqref="M849">
      <formula1>900</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textLength" operator="lessThanOrEqual" allowBlank="1" showInputMessage="1" showErrorMessage="1" errorTitle="Ошибка" error="Допускается ввод не более 900 символов!" sqref="M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decimal" allowBlank="1" showErrorMessage="1" errorTitle="Ошибка" error="Допускается ввод только неотрицательных чисел!" sqref="AC306">
      <formula1>0</formula1>
      <formula2>9.99999999999999E+23</formula2>
    </dataValidation>
    <dataValidation type="decimal" allowBlank="1" showErrorMessage="1" errorTitle="Ошибка" error="Допускается ввод только неотрицательных чисел!" sqref="AE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textLength" operator="lessThanOrEqual" allowBlank="1" showInputMessage="1" showErrorMessage="1" errorTitle="Ошибка" error="Допускается ввод не более 900 символов!" sqref="M375">
      <formula1>900</formula1>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textLength" operator="lessThanOrEqual" allowBlank="1" showInputMessage="1" showErrorMessage="1" errorTitle="Ошибка" error="Допускается ввод не более 900 символов!" sqref="M501">
      <formula1>900</formula1>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decimal" allowBlank="1" showErrorMessage="1" errorTitle="Ошибка" error="Допускается ввод только неотрицательных чисел!" sqref="AC503">
      <formula1>0</formula1>
      <formula2>9.99999999999999E+23</formula2>
    </dataValidation>
    <dataValidation type="decimal" allowBlank="1" showErrorMessage="1" errorTitle="Ошибка" error="Допускается ввод только неотрицательных чисел!" sqref="AE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textLength" operator="lessThanOrEqual" allowBlank="1" showInputMessage="1" showErrorMessage="1" errorTitle="Ошибка" error="Допускается ввод не более 900 символов!" sqref="K671">
      <formula1>900</formula1>
    </dataValidation>
    <dataValidation type="textLength" operator="lessThanOrEqual" allowBlank="1" showInputMessage="1" showErrorMessage="1" errorTitle="Ошибка" error="Допускается ввод не более 900 символов!" sqref="M671">
      <formula1>900</formula1>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textLength" operator="lessThanOrEqual" allowBlank="1" showInputMessage="1" showErrorMessage="1" errorTitle="Ошибка" error="Допускается ввод не более 900 символов!" sqref="K673">
      <formula1>900</formula1>
    </dataValidation>
    <dataValidation type="decimal" allowBlank="1" showErrorMessage="1" errorTitle="Ошибка" error="Допускается ввод только неотрицательных чисел!" sqref="AC673">
      <formula1>0</formula1>
      <formula2>9.99999999999999E+23</formula2>
    </dataValidation>
    <dataValidation type="decimal" allowBlank="1" showErrorMessage="1" errorTitle="Ошибка" error="Допускается ввод только неотрицательных чисел!" sqref="AE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textLength" operator="lessThanOrEqual" allowBlank="1" showInputMessage="1" showErrorMessage="1" errorTitle="Ошибка" error="Допускается ввод не более 900 символов!" sqref="K674">
      <formula1>900</formula1>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7">
      <formula1>"a"</formula1>
    </dataValidation>
    <dataValidation type="textLength" operator="lessThanOrEqual" allowBlank="1" showInputMessage="1" showErrorMessage="1" errorTitle="Ошибка" error="Допускается ввод не более 900 символов!" sqref="K977">
      <formula1>900</formula1>
    </dataValidation>
    <dataValidation type="textLength" operator="lessThanOrEqual" allowBlank="1" showInputMessage="1" showErrorMessage="1" errorTitle="Ошибка" error="Допускается ввод не более 900 символов!" sqref="M977">
      <formula1>900</formula1>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textLength" operator="lessThanOrEqual" allowBlank="1" showInputMessage="1" showErrorMessage="1" errorTitle="Ошибка" error="Допускается ввод не более 900 символов!" sqref="K978">
      <formula1>900</formula1>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textLength" operator="lessThanOrEqual" allowBlank="1" showInputMessage="1" showErrorMessage="1" errorTitle="Ошибка" error="Допускается ввод не более 900 символов!" sqref="K979">
      <formula1>900</formula1>
    </dataValidation>
    <dataValidation type="decimal" allowBlank="1" showErrorMessage="1" errorTitle="Ошибка" error="Допускается ввод только неотрицательных чисел!" sqref="AC979">
      <formula1>0</formula1>
      <formula2>9.99999999999999E+23</formula2>
    </dataValidation>
    <dataValidation type="decimal" allowBlank="1" showErrorMessage="1" errorTitle="Ошибка" error="Допускается ввод только неотрицательных чисел!" sqref="AE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0">
      <formula1>"a"</formula1>
    </dataValidation>
    <dataValidation type="textLength" operator="lessThanOrEqual" allowBlank="1" showInputMessage="1" showErrorMessage="1" errorTitle="Ошибка" error="Допускается ввод не более 900 символов!" sqref="K980">
      <formula1>900</formula1>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7">
      <formula1>"a"</formula1>
    </dataValidation>
    <dataValidation type="textLength" operator="lessThanOrEqual" allowBlank="1" showInputMessage="1" showErrorMessage="1" errorTitle="Ошибка" error="Допускается ввод не более 900 символов!" sqref="K1157">
      <formula1>900</formula1>
    </dataValidation>
    <dataValidation type="textLength" operator="lessThanOrEqual" allowBlank="1" showInputMessage="1" showErrorMessage="1" errorTitle="Ошибка" error="Допускается ввод не более 900 символов!" sqref="M1157">
      <formula1>900</formula1>
    </dataValidation>
    <dataValidation type="whole" allowBlank="1" showErrorMessage="1" errorTitle="Ошибка" error="Допускается ввод только неотрицательных целых чисел!" sqref="AF1157">
      <formula1>0</formula1>
      <formula2>9.99999999999999E+23</formula2>
    </dataValidation>
    <dataValidation type="whole" allowBlank="1" showErrorMessage="1" errorTitle="Ошибка" error="Допускается ввод только неотрицательных целых чисел!" sqref="AI1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8">
      <formula1>"a"</formula1>
    </dataValidation>
    <dataValidation type="textLength" operator="lessThanOrEqual" allowBlank="1" showInputMessage="1" showErrorMessage="1" errorTitle="Ошибка" error="Допускается ввод не более 900 символов!" sqref="K1158">
      <formula1>900</formula1>
    </dataValidation>
    <dataValidation type="whole" allowBlank="1" showErrorMessage="1" errorTitle="Ошибка" error="Допускается ввод только неотрицательных целых чисел!" sqref="AF1158">
      <formula1>0</formula1>
      <formula2>9.99999999999999E+23</formula2>
    </dataValidation>
    <dataValidation type="whole" allowBlank="1" showErrorMessage="1" errorTitle="Ошибка" error="Допускается ввод только неотрицательных целых чисел!" sqref="AI1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9">
      <formula1>"a"</formula1>
    </dataValidation>
    <dataValidation type="textLength" operator="lessThanOrEqual" allowBlank="1" showInputMessage="1" showErrorMessage="1" errorTitle="Ошибка" error="Допускается ввод не более 900 символов!" sqref="K1159">
      <formula1>900</formula1>
    </dataValidation>
    <dataValidation type="decimal" allowBlank="1" showErrorMessage="1" errorTitle="Ошибка" error="Допускается ввод только неотрицательных чисел!" sqref="AC1159">
      <formula1>0</formula1>
      <formula2>9.99999999999999E+23</formula2>
    </dataValidation>
    <dataValidation type="decimal" allowBlank="1" showErrorMessage="1" errorTitle="Ошибка" error="Допускается ввод только неотрицательных чисел!" sqref="AE1159">
      <formula1>0</formula1>
      <formula2>9.99999999999999E+23</formula2>
    </dataValidation>
    <dataValidation type="whole" allowBlank="1" showErrorMessage="1" errorTitle="Ошибка" error="Допускается ввод только неотрицательных целых чисел!" sqref="AF1159">
      <formula1>0</formula1>
      <formula2>9.99999999999999E+23</formula2>
    </dataValidation>
    <dataValidation type="whole" allowBlank="1" showErrorMessage="1" errorTitle="Ошибка" error="Допускается ввод только неотрицательных целых чисел!" sqref="AI1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0">
      <formula1>"a"</formula1>
    </dataValidation>
    <dataValidation type="textLength" operator="lessThanOrEqual" allowBlank="1" showInputMessage="1" showErrorMessage="1" errorTitle="Ошибка" error="Допускается ввод не более 900 символов!" sqref="K1160">
      <formula1>900</formula1>
    </dataValidation>
    <dataValidation type="whole" allowBlank="1" showErrorMessage="1" errorTitle="Ошибка" error="Допускается ввод только неотрицательных целых чисел!" sqref="AF1160">
      <formula1>0</formula1>
      <formula2>9.99999999999999E+23</formula2>
    </dataValidation>
    <dataValidation type="whole" allowBlank="1" showErrorMessage="1" errorTitle="Ошибка" error="Допускается ввод только неотрицательных целых чисел!" sqref="AI1160">
      <formula1>0</formula1>
      <formula2>9.99999999999999E+23</formula2>
    </dataValidation>
    <dataValidation type="whole" allowBlank="1" showErrorMessage="1" errorTitle="Ошибка" error="Допускается ввод только неотрицательных целых чисел!" sqref="AF1161">
      <formula1>0</formula1>
      <formula2>9.99999999999999E+23</formula2>
    </dataValidation>
    <dataValidation type="whole" allowBlank="1" showErrorMessage="1" errorTitle="Ошибка" error="Допускается ввод только неотрицательных целых чисел!" sqref="AI1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8">
      <formula1>"a"</formula1>
    </dataValidation>
    <dataValidation type="textLength" operator="lessThanOrEqual" allowBlank="1" showInputMessage="1" showErrorMessage="1" errorTitle="Ошибка" error="Допускается ввод не более 900 символов!" sqref="K1198">
      <formula1>900</formula1>
    </dataValidation>
    <dataValidation type="textLength" operator="lessThanOrEqual" allowBlank="1" showInputMessage="1" showErrorMessage="1" errorTitle="Ошибка" error="Допускается ввод не более 900 символов!" sqref="M1198">
      <formula1>900</formula1>
    </dataValidation>
    <dataValidation type="whole" allowBlank="1" showErrorMessage="1" errorTitle="Ошибка" error="Допускается ввод только неотрицательных целых чисел!" sqref="AF1198">
      <formula1>0</formula1>
      <formula2>9.99999999999999E+23</formula2>
    </dataValidation>
    <dataValidation type="whole" allowBlank="1" showErrorMessage="1" errorTitle="Ошибка" error="Допускается ввод только неотрицательных целых чисел!" sqref="AI1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9">
      <formula1>"a"</formula1>
    </dataValidation>
    <dataValidation type="textLength" operator="lessThanOrEqual" allowBlank="1" showInputMessage="1" showErrorMessage="1" errorTitle="Ошибка" error="Допускается ввод не более 900 символов!" sqref="K1199">
      <formula1>900</formula1>
    </dataValidation>
    <dataValidation type="whole" allowBlank="1" showErrorMessage="1" errorTitle="Ошибка" error="Допускается ввод только неотрицательных целых чисел!" sqref="AF1199">
      <formula1>0</formula1>
      <formula2>9.99999999999999E+23</formula2>
    </dataValidation>
    <dataValidation type="whole" allowBlank="1" showErrorMessage="1" errorTitle="Ошибка" error="Допускается ввод только неотрицательных целых чисел!" sqref="AI1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0">
      <formula1>"a"</formula1>
    </dataValidation>
    <dataValidation type="textLength" operator="lessThanOrEqual" allowBlank="1" showInputMessage="1" showErrorMessage="1" errorTitle="Ошибка" error="Допускается ввод не более 900 символов!" sqref="K1200">
      <formula1>900</formula1>
    </dataValidation>
    <dataValidation type="decimal" allowBlank="1" showErrorMessage="1" errorTitle="Ошибка" error="Допускается ввод только неотрицательных чисел!" sqref="AC1200">
      <formula1>0</formula1>
      <formula2>9.99999999999999E+23</formula2>
    </dataValidation>
    <dataValidation type="decimal" allowBlank="1" showErrorMessage="1" errorTitle="Ошибка" error="Допускается ввод только неотрицательных чисел!" sqref="AE1200">
      <formula1>0</formula1>
      <formula2>9.99999999999999E+23</formula2>
    </dataValidation>
    <dataValidation type="whole" allowBlank="1" showErrorMessage="1" errorTitle="Ошибка" error="Допускается ввод только неотрицательных целых чисел!" sqref="AF1200">
      <formula1>0</formula1>
      <formula2>9.99999999999999E+23</formula2>
    </dataValidation>
    <dataValidation type="whole" allowBlank="1" showErrorMessage="1" errorTitle="Ошибка" error="Допускается ввод только неотрицательных целых чисел!" sqref="AI1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1">
      <formula1>"a"</formula1>
    </dataValidation>
    <dataValidation type="textLength" operator="lessThanOrEqual" allowBlank="1" showInputMessage="1" showErrorMessage="1" errorTitle="Ошибка" error="Допускается ввод не более 900 символов!" sqref="K1201">
      <formula1>900</formula1>
    </dataValidation>
    <dataValidation type="whole" allowBlank="1" showErrorMessage="1" errorTitle="Ошибка" error="Допускается ввод только неотрицательных целых чисел!" sqref="AF1201">
      <formula1>0</formula1>
      <formula2>9.99999999999999E+23</formula2>
    </dataValidation>
    <dataValidation type="whole" allowBlank="1" showErrorMessage="1" errorTitle="Ошибка" error="Допускается ввод только неотрицательных целых чисел!" sqref="AI1201">
      <formula1>0</formula1>
      <formula2>9.99999999999999E+23</formula2>
    </dataValidation>
    <dataValidation type="whole" allowBlank="1" showErrorMessage="1" errorTitle="Ошибка" error="Допускается ввод только неотрицательных целых чисел!" sqref="AF1202">
      <formula1>0</formula1>
      <formula2>9.99999999999999E+23</formula2>
    </dataValidation>
    <dataValidation type="whole" allowBlank="1" showErrorMessage="1" errorTitle="Ошибка" error="Допускается ввод только неотрицательных целых чисел!" sqref="AI1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1">
      <formula1>"a"</formula1>
    </dataValidation>
    <dataValidation type="textLength" operator="lessThanOrEqual" allowBlank="1" showInputMessage="1" showErrorMessage="1" errorTitle="Ошибка" error="Допускается ввод не более 900 символов!" sqref="K1281">
      <formula1>900</formula1>
    </dataValidation>
    <dataValidation type="textLength" operator="lessThanOrEqual" allowBlank="1" showInputMessage="1" showErrorMessage="1" errorTitle="Ошибка" error="Допускается ввод не более 900 символов!" sqref="M1281">
      <formula1>900</formula1>
    </dataValidation>
    <dataValidation type="whole" allowBlank="1" showErrorMessage="1" errorTitle="Ошибка" error="Допускается ввод только неотрицательных целых чисел!" sqref="AF1281">
      <formula1>0</formula1>
      <formula2>9.99999999999999E+23</formula2>
    </dataValidation>
    <dataValidation type="whole" allowBlank="1" showErrorMessage="1" errorTitle="Ошибка" error="Допускается ввод только неотрицательных целых чисел!" sqref="AI1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2">
      <formula1>"a"</formula1>
    </dataValidation>
    <dataValidation type="textLength" operator="lessThanOrEqual" allowBlank="1" showInputMessage="1" showErrorMessage="1" errorTitle="Ошибка" error="Допускается ввод не более 900 символов!" sqref="K1282">
      <formula1>900</formula1>
    </dataValidation>
    <dataValidation type="whole" allowBlank="1" showErrorMessage="1" errorTitle="Ошибка" error="Допускается ввод только неотрицательных целых чисел!" sqref="AF1282">
      <formula1>0</formula1>
      <formula2>9.99999999999999E+23</formula2>
    </dataValidation>
    <dataValidation type="whole" allowBlank="1" showErrorMessage="1" errorTitle="Ошибка" error="Допускается ввод только неотрицательных целых чисел!" sqref="AI1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3">
      <formula1>"a"</formula1>
    </dataValidation>
    <dataValidation type="textLength" operator="lessThanOrEqual" allowBlank="1" showInputMessage="1" showErrorMessage="1" errorTitle="Ошибка" error="Допускается ввод не более 900 символов!" sqref="K1283">
      <formula1>900</formula1>
    </dataValidation>
    <dataValidation type="decimal" allowBlank="1" showErrorMessage="1" errorTitle="Ошибка" error="Допускается ввод только неотрицательных чисел!" sqref="AC1283">
      <formula1>0</formula1>
      <formula2>9.99999999999999E+23</formula2>
    </dataValidation>
    <dataValidation type="decimal" allowBlank="1" showErrorMessage="1" errorTitle="Ошибка" error="Допускается ввод только неотрицательных чисел!" sqref="AE1283">
      <formula1>0</formula1>
      <formula2>9.99999999999999E+23</formula2>
    </dataValidation>
    <dataValidation type="whole" allowBlank="1" showErrorMessage="1" errorTitle="Ошибка" error="Допускается ввод только неотрицательных целых чисел!" sqref="AF1283">
      <formula1>0</formula1>
      <formula2>9.99999999999999E+23</formula2>
    </dataValidation>
    <dataValidation type="whole" allowBlank="1" showErrorMessage="1" errorTitle="Ошибка" error="Допускается ввод только неотрицательных целых чисел!" sqref="AI1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4">
      <formula1>"a"</formula1>
    </dataValidation>
    <dataValidation type="textLength" operator="lessThanOrEqual" allowBlank="1" showInputMessage="1" showErrorMessage="1" errorTitle="Ошибка" error="Допускается ввод не более 900 символов!" sqref="K1284">
      <formula1>900</formula1>
    </dataValidation>
    <dataValidation type="whole" allowBlank="1" showErrorMessage="1" errorTitle="Ошибка" error="Допускается ввод только неотрицательных целых чисел!" sqref="AF1284">
      <formula1>0</formula1>
      <formula2>9.99999999999999E+23</formula2>
    </dataValidation>
    <dataValidation type="whole" allowBlank="1" showErrorMessage="1" errorTitle="Ошибка" error="Допускается ввод только неотрицательных целых чисел!" sqref="AI1284">
      <formula1>0</formula1>
      <formula2>9.99999999999999E+23</formula2>
    </dataValidation>
    <dataValidation type="whole" allowBlank="1" showErrorMessage="1" errorTitle="Ошибка" error="Допускается ввод только неотрицательных целых чисел!" sqref="AF1285">
      <formula1>0</formula1>
      <formula2>9.99999999999999E+23</formula2>
    </dataValidation>
    <dataValidation type="whole" allowBlank="1" showErrorMessage="1" errorTitle="Ошибка" error="Допускается ввод только неотрицательных целых чисел!" sqref="AI1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4">
      <formula1>"a"</formula1>
    </dataValidation>
    <dataValidation type="textLength" operator="lessThanOrEqual" allowBlank="1" showInputMessage="1" showErrorMessage="1" errorTitle="Ошибка" error="Допускается ввод не более 900 символов!" sqref="K1364">
      <formula1>900</formula1>
    </dataValidation>
    <dataValidation type="textLength" operator="lessThanOrEqual" allowBlank="1" showInputMessage="1" showErrorMessage="1" errorTitle="Ошибка" error="Допускается ввод не более 900 символов!" sqref="M1364">
      <formula1>900</formula1>
    </dataValidation>
    <dataValidation type="whole" allowBlank="1" showErrorMessage="1" errorTitle="Ошибка" error="Допускается ввод только неотрицательных целых чисел!" sqref="AF1364">
      <formula1>0</formula1>
      <formula2>9.99999999999999E+23</formula2>
    </dataValidation>
    <dataValidation type="whole" allowBlank="1" showErrorMessage="1" errorTitle="Ошибка" error="Допускается ввод только неотрицательных целых чисел!" sqref="AI1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5">
      <formula1>"a"</formula1>
    </dataValidation>
    <dataValidation type="textLength" operator="lessThanOrEqual" allowBlank="1" showInputMessage="1" showErrorMessage="1" errorTitle="Ошибка" error="Допускается ввод не более 900 символов!" sqref="K1365">
      <formula1>900</formula1>
    </dataValidation>
    <dataValidation type="whole" allowBlank="1" showErrorMessage="1" errorTitle="Ошибка" error="Допускается ввод только неотрицательных целых чисел!" sqref="AF1365">
      <formula1>0</formula1>
      <formula2>9.99999999999999E+23</formula2>
    </dataValidation>
    <dataValidation type="whole" allowBlank="1" showErrorMessage="1" errorTitle="Ошибка" error="Допускается ввод только неотрицательных целых чисел!" sqref="AI1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6">
      <formula1>"a"</formula1>
    </dataValidation>
    <dataValidation type="textLength" operator="lessThanOrEqual" allowBlank="1" showInputMessage="1" showErrorMessage="1" errorTitle="Ошибка" error="Допускается ввод не более 900 символов!" sqref="K1366">
      <formula1>900</formula1>
    </dataValidation>
    <dataValidation type="decimal" allowBlank="1" showErrorMessage="1" errorTitle="Ошибка" error="Допускается ввод только неотрицательных чисел!" sqref="AC1366">
      <formula1>0</formula1>
      <formula2>9.99999999999999E+23</formula2>
    </dataValidation>
    <dataValidation type="decimal" allowBlank="1" showErrorMessage="1" errorTitle="Ошибка" error="Допускается ввод только неотрицательных чисел!" sqref="AE1366">
      <formula1>0</formula1>
      <formula2>9.99999999999999E+23</formula2>
    </dataValidation>
    <dataValidation type="whole" allowBlank="1" showErrorMessage="1" errorTitle="Ошибка" error="Допускается ввод только неотрицательных целых чисел!" sqref="AF1366">
      <formula1>0</formula1>
      <formula2>9.99999999999999E+23</formula2>
    </dataValidation>
    <dataValidation type="whole" allowBlank="1" showErrorMessage="1" errorTitle="Ошибка" error="Допускается ввод только неотрицательных целых чисел!" sqref="AI1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7">
      <formula1>"a"</formula1>
    </dataValidation>
    <dataValidation type="textLength" operator="lessThanOrEqual" allowBlank="1" showInputMessage="1" showErrorMessage="1" errorTitle="Ошибка" error="Допускается ввод не более 900 символов!" sqref="K1367">
      <formula1>900</formula1>
    </dataValidation>
    <dataValidation type="whole" allowBlank="1" showErrorMessage="1" errorTitle="Ошибка" error="Допускается ввод только неотрицательных целых чисел!" sqref="AF1367">
      <formula1>0</formula1>
      <formula2>9.99999999999999E+23</formula2>
    </dataValidation>
    <dataValidation type="whole" allowBlank="1" showErrorMessage="1" errorTitle="Ошибка" error="Допускается ввод только неотрицательных целых чисел!" sqref="AI1367">
      <formula1>0</formula1>
      <formula2>9.99999999999999E+23</formula2>
    </dataValidation>
    <dataValidation type="whole" allowBlank="1" showErrorMessage="1" errorTitle="Ошибка" error="Допускается ввод только неотрицательных целых чисел!" sqref="AF1368">
      <formula1>0</formula1>
      <formula2>9.99999999999999E+23</formula2>
    </dataValidation>
    <dataValidation type="whole" allowBlank="1" showErrorMessage="1" errorTitle="Ошибка" error="Допускается ввод только неотрицательных целых чисел!" sqref="AI1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0">
      <formula1>"a"</formula1>
    </dataValidation>
    <dataValidation type="textLength" operator="lessThanOrEqual" allowBlank="1" showInputMessage="1" showErrorMessage="1" errorTitle="Ошибка" error="Допускается ввод не более 900 символов!" sqref="K1400">
      <formula1>900</formula1>
    </dataValidation>
    <dataValidation type="textLength" operator="lessThanOrEqual" allowBlank="1" showInputMessage="1" showErrorMessage="1" errorTitle="Ошибка" error="Допускается ввод не более 900 символов!" sqref="M1400">
      <formula1>900</formula1>
    </dataValidation>
    <dataValidation type="whole" allowBlank="1" showErrorMessage="1" errorTitle="Ошибка" error="Допускается ввод только неотрицательных целых чисел!" sqref="AF1400">
      <formula1>0</formula1>
      <formula2>9.99999999999999E+23</formula2>
    </dataValidation>
    <dataValidation type="whole" allowBlank="1" showErrorMessage="1" errorTitle="Ошибка" error="Допускается ввод только неотрицательных целых чисел!" sqref="AI1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1">
      <formula1>"a"</formula1>
    </dataValidation>
    <dataValidation type="textLength" operator="lessThanOrEqual" allowBlank="1" showInputMessage="1" showErrorMessage="1" errorTitle="Ошибка" error="Допускается ввод не более 900 символов!" sqref="K1401">
      <formula1>900</formula1>
    </dataValidation>
    <dataValidation type="whole" allowBlank="1" showErrorMessage="1" errorTitle="Ошибка" error="Допускается ввод только неотрицательных целых чисел!" sqref="AF1401">
      <formula1>0</formula1>
      <formula2>9.99999999999999E+23</formula2>
    </dataValidation>
    <dataValidation type="whole" allowBlank="1" showErrorMessage="1" errorTitle="Ошибка" error="Допускается ввод только неотрицательных целых чисел!" sqref="AI1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2">
      <formula1>"a"</formula1>
    </dataValidation>
    <dataValidation type="textLength" operator="lessThanOrEqual" allowBlank="1" showInputMessage="1" showErrorMessage="1" errorTitle="Ошибка" error="Допускается ввод не более 900 символов!" sqref="K1402">
      <formula1>900</formula1>
    </dataValidation>
    <dataValidation type="decimal" allowBlank="1" showErrorMessage="1" errorTitle="Ошибка" error="Допускается ввод только неотрицательных чисел!" sqref="AC1402">
      <formula1>0</formula1>
      <formula2>9.99999999999999E+23</formula2>
    </dataValidation>
    <dataValidation type="decimal" allowBlank="1" showErrorMessage="1" errorTitle="Ошибка" error="Допускается ввод только неотрицательных чисел!" sqref="AE1402">
      <formula1>0</formula1>
      <formula2>9.99999999999999E+23</formula2>
    </dataValidation>
    <dataValidation type="whole" allowBlank="1" showErrorMessage="1" errorTitle="Ошибка" error="Допускается ввод только неотрицательных целых чисел!" sqref="AF1402">
      <formula1>0</formula1>
      <formula2>9.99999999999999E+23</formula2>
    </dataValidation>
    <dataValidation type="whole" allowBlank="1" showErrorMessage="1" errorTitle="Ошибка" error="Допускается ввод только неотрицательных целых чисел!" sqref="AI1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3">
      <formula1>"a"</formula1>
    </dataValidation>
    <dataValidation type="textLength" operator="lessThanOrEqual" allowBlank="1" showInputMessage="1" showErrorMessage="1" errorTitle="Ошибка" error="Допускается ввод не более 900 символов!" sqref="K1403">
      <formula1>900</formula1>
    </dataValidation>
    <dataValidation type="whole" allowBlank="1" showErrorMessage="1" errorTitle="Ошибка" error="Допускается ввод только неотрицательных целых чисел!" sqref="AF1403">
      <formula1>0</formula1>
      <formula2>9.99999999999999E+23</formula2>
    </dataValidation>
    <dataValidation type="whole" allowBlank="1" showErrorMessage="1" errorTitle="Ошибка" error="Допускается ввод только неотрицательных целых чисел!" sqref="AI1403">
      <formula1>0</formula1>
      <formula2>9.99999999999999E+23</formula2>
    </dataValidation>
    <dataValidation type="whole" allowBlank="1" showErrorMessage="1" errorTitle="Ошибка" error="Допускается ввод только неотрицательных целых чисел!" sqref="AF1404">
      <formula1>0</formula1>
      <formula2>9.99999999999999E+23</formula2>
    </dataValidation>
    <dataValidation type="whole" allowBlank="1" showErrorMessage="1" errorTitle="Ошибка" error="Допускается ввод только неотрицательных целых чисел!" sqref="AI1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1">
      <formula1>"a"</formula1>
    </dataValidation>
    <dataValidation type="textLength" operator="lessThanOrEqual" allowBlank="1" showInputMessage="1" showErrorMessage="1" errorTitle="Ошибка" error="Допускается ввод не более 900 символов!" sqref="K1421">
      <formula1>900</formula1>
    </dataValidation>
    <dataValidation type="textLength" operator="lessThanOrEqual" allowBlank="1" showInputMessage="1" showErrorMessage="1" errorTitle="Ошибка" error="Допускается ввод не более 900 символов!" sqref="M1421">
      <formula1>900</formula1>
    </dataValidation>
    <dataValidation type="whole" allowBlank="1" showErrorMessage="1" errorTitle="Ошибка" error="Допускается ввод только неотрицательных целых чисел!" sqref="AF1421">
      <formula1>0</formula1>
      <formula2>9.99999999999999E+23</formula2>
    </dataValidation>
    <dataValidation type="whole" allowBlank="1" showErrorMessage="1" errorTitle="Ошибка" error="Допускается ввод только неотрицательных целых чисел!" sqref="AI1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2">
      <formula1>"a"</formula1>
    </dataValidation>
    <dataValidation type="textLength" operator="lessThanOrEqual" allowBlank="1" showInputMessage="1" showErrorMessage="1" errorTitle="Ошибка" error="Допускается ввод не более 900 символов!" sqref="K1422">
      <formula1>900</formula1>
    </dataValidation>
    <dataValidation type="whole" allowBlank="1" showErrorMessage="1" errorTitle="Ошибка" error="Допускается ввод только неотрицательных целых чисел!" sqref="AF1422">
      <formula1>0</formula1>
      <formula2>9.99999999999999E+23</formula2>
    </dataValidation>
    <dataValidation type="whole" allowBlank="1" showErrorMessage="1" errorTitle="Ошибка" error="Допускается ввод только неотрицательных целых чисел!" sqref="AI1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3">
      <formula1>"a"</formula1>
    </dataValidation>
    <dataValidation type="textLength" operator="lessThanOrEqual" allowBlank="1" showInputMessage="1" showErrorMessage="1" errorTitle="Ошибка" error="Допускается ввод не более 900 символов!" sqref="K1423">
      <formula1>900</formula1>
    </dataValidation>
    <dataValidation type="decimal" allowBlank="1" showErrorMessage="1" errorTitle="Ошибка" error="Допускается ввод только неотрицательных чисел!" sqref="AC1423">
      <formula1>0</formula1>
      <formula2>9.99999999999999E+23</formula2>
    </dataValidation>
    <dataValidation type="decimal" allowBlank="1" showErrorMessage="1" errorTitle="Ошибка" error="Допускается ввод только неотрицательных чисел!" sqref="AE1423">
      <formula1>0</formula1>
      <formula2>9.99999999999999E+23</formula2>
    </dataValidation>
    <dataValidation type="whole" allowBlank="1" showErrorMessage="1" errorTitle="Ошибка" error="Допускается ввод только неотрицательных целых чисел!" sqref="AF1423">
      <formula1>0</formula1>
      <formula2>9.99999999999999E+23</formula2>
    </dataValidation>
    <dataValidation type="whole" allowBlank="1" showErrorMessage="1" errorTitle="Ошибка" error="Допускается ввод только неотрицательных целых чисел!" sqref="AI1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4">
      <formula1>"a"</formula1>
    </dataValidation>
    <dataValidation type="textLength" operator="lessThanOrEqual" allowBlank="1" showInputMessage="1" showErrorMessage="1" errorTitle="Ошибка" error="Допускается ввод не более 900 символов!" sqref="K1424">
      <formula1>900</formula1>
    </dataValidation>
    <dataValidation type="whole" allowBlank="1" showErrorMessage="1" errorTitle="Ошибка" error="Допускается ввод только неотрицательных целых чисел!" sqref="AF1424">
      <formula1>0</formula1>
      <formula2>9.99999999999999E+23</formula2>
    </dataValidation>
    <dataValidation type="whole" allowBlank="1" showErrorMessage="1" errorTitle="Ошибка" error="Допускается ввод только неотрицательных целых чисел!" sqref="AI1424">
      <formula1>0</formula1>
      <formula2>9.99999999999999E+23</formula2>
    </dataValidation>
    <dataValidation type="whole" allowBlank="1" showErrorMessage="1" errorTitle="Ошибка" error="Допускается ввод только неотрицательных целых чисел!" sqref="AF1425">
      <formula1>0</formula1>
      <formula2>9.99999999999999E+23</formula2>
    </dataValidation>
    <dataValidation type="whole" allowBlank="1" showErrorMessage="1" errorTitle="Ошибка" error="Допускается ввод только неотрицательных целых чисел!" sqref="AI1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textLength" operator="lessThanOrEqual" allowBlank="1" showInputMessage="1" showErrorMessage="1" errorTitle="Ошибка" error="Допускается ввод не более 900 символов!" sqref="M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decimal" allowBlank="1" showErrorMessage="1" errorTitle="Ошибка" error="Допускается ввод только неотрицательных чисел!" sqref="AC102">
      <formula1>0</formula1>
      <formula2>9.99999999999999E+23</formula2>
    </dataValidation>
    <dataValidation type="decimal" allowBlank="1" showErrorMessage="1" errorTitle="Ошибка" error="Допускается ввод только неотрицательных чисел!" sqref="AE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textLength" operator="lessThanOrEqual" allowBlank="1" showInputMessage="1" showErrorMessage="1" errorTitle="Ошибка" error="Допускается ввод не более 900 символов!" sqref="M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textLength" operator="lessThanOrEqual" allowBlank="1" showInputMessage="1" showErrorMessage="1" errorTitle="Ошибка" error="Допускается ввод не более 900 символов!" sqref="M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decimal" allowBlank="1" showErrorMessage="1" errorTitle="Ошибка" error="Допускается ввод только неотрицательных чисел!" sqref="AC169">
      <formula1>0</formula1>
      <formula2>9.99999999999999E+23</formula2>
    </dataValidation>
    <dataValidation type="decimal" allowBlank="1" showErrorMessage="1" errorTitle="Ошибка" error="Допускается ввод только неотрицательных чисел!" sqref="AE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textLength" operator="lessThanOrEqual" allowBlank="1" showInputMessage="1" showErrorMessage="1" errorTitle="Ошибка" error="Допускается ввод не более 900 символов!" sqref="M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decimal" allowBlank="1" showErrorMessage="1" errorTitle="Ошибка" error="Допускается ввод только неотрицательных чисел!" sqref="AC174">
      <formula1>0</formula1>
      <formula2>9.99999999999999E+23</formula2>
    </dataValidation>
    <dataValidation type="decimal" allowBlank="1" showErrorMessage="1" errorTitle="Ошибка" error="Допускается ввод только неотрицательных чисел!" sqref="AE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textLength" operator="lessThanOrEqual" allowBlank="1" showInputMessage="1" showErrorMessage="1" errorTitle="Ошибка" error="Допускается ввод не более 900 символов!" sqref="M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decimal" allowBlank="1" showErrorMessage="1" errorTitle="Ошибка" error="Допускается ввод только неотрицательных чисел!" sqref="AC179">
      <formula1>0</formula1>
      <formula2>9.99999999999999E+23</formula2>
    </dataValidation>
    <dataValidation type="decimal" allowBlank="1" showErrorMessage="1" errorTitle="Ошибка" error="Допускается ввод только неотрицательных чисел!" sqref="AE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textLength" operator="lessThanOrEqual" allowBlank="1" showInputMessage="1" showErrorMessage="1" errorTitle="Ошибка" error="Допускается ввод не более 900 символов!" sqref="M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textLength" operator="lessThanOrEqual" allowBlank="1" showInputMessage="1" showErrorMessage="1" errorTitle="Ошибка" error="Допускается ввод не более 900 символов!" sqref="M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decimal" allowBlank="1" showErrorMessage="1" errorTitle="Ошибка" error="Допускается ввод только неотрицательных чисел!" sqref="AC240">
      <formula1>0</formula1>
      <formula2>9.99999999999999E+23</formula2>
    </dataValidation>
    <dataValidation type="decimal" allowBlank="1" showErrorMessage="1" errorTitle="Ошибка" error="Допускается ввод только неотрицательных чисел!" sqref="AE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textLength" operator="lessThanOrEqual" allowBlank="1" showInputMessage="1" showErrorMessage="1" errorTitle="Ошибка" error="Допускается ввод не более 900 символов!" sqref="M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decimal" allowBlank="1" showErrorMessage="1" errorTitle="Ошибка" error="Допускается ввод только неотрицательных чисел!" sqref="AC245">
      <formula1>0</formula1>
      <formula2>9.99999999999999E+23</formula2>
    </dataValidation>
    <dataValidation type="decimal" allowBlank="1" showErrorMessage="1" errorTitle="Ошибка" error="Допускается ввод только неотрицательных чисел!" sqref="AE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textLength" operator="lessThanOrEqual" allowBlank="1" showInputMessage="1" showErrorMessage="1" errorTitle="Ошибка" error="Допускается ввод не более 900 символов!" sqref="M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textLength" operator="lessThanOrEqual" allowBlank="1" showInputMessage="1" showErrorMessage="1" errorTitle="Ошибка" error="Допускается ввод не более 900 символов!" sqref="M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textLength" operator="lessThanOrEqual" allowBlank="1" showInputMessage="1" showErrorMessage="1" errorTitle="Ошибка" error="Допускается ввод не более 900 символов!" sqref="M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textLength" operator="lessThanOrEqual" allowBlank="1" showInputMessage="1" showErrorMessage="1" errorTitle="Ошибка" error="Допускается ввод не более 900 символов!" sqref="M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decimal" allowBlank="1" showErrorMessage="1" errorTitle="Ошибка" error="Допускается ввод только неотрицательных чисел!" sqref="AC265">
      <formula1>0</formula1>
      <formula2>9.99999999999999E+23</formula2>
    </dataValidation>
    <dataValidation type="decimal" allowBlank="1" showErrorMessage="1" errorTitle="Ошибка" error="Допускается ввод только неотрицательных чисел!" sqref="AE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textLength" operator="lessThanOrEqual" allowBlank="1" showInputMessage="1" showErrorMessage="1" errorTitle="Ошибка" error="Допускается ввод не более 900 символов!" sqref="M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decimal" allowBlank="1" showErrorMessage="1" errorTitle="Ошибка" error="Допускается ввод только неотрицательных чисел!" sqref="AC270">
      <formula1>0</formula1>
      <formula2>9.99999999999999E+23</formula2>
    </dataValidation>
    <dataValidation type="decimal" allowBlank="1" showErrorMessage="1" errorTitle="Ошибка" error="Допускается ввод только неотрицательных чисел!" sqref="AE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textLength" operator="lessThanOrEqual" allowBlank="1" showInputMessage="1" showErrorMessage="1" errorTitle="Ошибка" error="Допускается ввод не более 900 символов!" sqref="M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decimal" allowBlank="1" showErrorMessage="1" errorTitle="Ошибка" error="Допускается ввод только неотрицательных чисел!" sqref="AC275">
      <formula1>0</formula1>
      <formula2>9.99999999999999E+23</formula2>
    </dataValidation>
    <dataValidation type="decimal" allowBlank="1" showErrorMessage="1" errorTitle="Ошибка" error="Допускается ввод только неотрицательных чисел!" sqref="AE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textLength" operator="lessThanOrEqual" allowBlank="1" showInputMessage="1" showErrorMessage="1" errorTitle="Ошибка" error="Допускается ввод не более 900 символов!" sqref="M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decimal" allowBlank="1" showErrorMessage="1" errorTitle="Ошибка" error="Допускается ввод только неотрицательных чисел!" sqref="AC280">
      <formula1>0</formula1>
      <formula2>9.99999999999999E+23</formula2>
    </dataValidation>
    <dataValidation type="decimal" allowBlank="1" showErrorMessage="1" errorTitle="Ошибка" error="Допускается ввод только неотрицательных чисел!" sqref="AE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textLength" operator="lessThanOrEqual" allowBlank="1" showInputMessage="1" showErrorMessage="1" errorTitle="Ошибка" error="Допускается ввод не более 900 символов!" sqref="M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textLength" operator="lessThanOrEqual" allowBlank="1" showInputMessage="1" showErrorMessage="1" errorTitle="Ошибка" error="Допускается ввод не более 900 символов!" sqref="M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textLength" operator="lessThanOrEqual" allowBlank="1" showInputMessage="1" showErrorMessage="1" errorTitle="Ошибка" error="Допускается ввод не более 900 символов!" sqref="M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textLength" operator="lessThanOrEqual" allowBlank="1" showInputMessage="1" showErrorMessage="1" errorTitle="Ошибка" error="Допускается ввод не более 900 символов!" sqref="M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decimal" allowBlank="1" showErrorMessage="1" errorTitle="Ошибка" error="Допускается ввод только неотрицательных чисел!" sqref="AC300">
      <formula1>0</formula1>
      <formula2>9.99999999999999E+23</formula2>
    </dataValidation>
    <dataValidation type="decimal" allowBlank="1" showErrorMessage="1" errorTitle="Ошибка" error="Допускается ввод только неотрицательных чисел!" sqref="AE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textLength" operator="lessThanOrEqual" allowBlank="1" showInputMessage="1" showErrorMessage="1" errorTitle="Ошибка" error="Допускается ввод не более 900 символов!" sqref="M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decimal" allowBlank="1" showErrorMessage="1" errorTitle="Ошибка" error="Допускается ввод только неотрицательных чисел!" sqref="AC311">
      <formula1>0</formula1>
      <formula2>9.99999999999999E+23</formula2>
    </dataValidation>
    <dataValidation type="decimal" allowBlank="1" showErrorMessage="1" errorTitle="Ошибка" error="Допускается ввод только неотрицательных чисел!" sqref="AE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textLength" operator="lessThanOrEqual" allowBlank="1" showInputMessage="1" showErrorMessage="1" errorTitle="Ошибка" error="Допускается ввод не более 900 символов!" sqref="M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textLength" operator="lessThanOrEqual" allowBlank="1" showInputMessage="1" showErrorMessage="1" errorTitle="Ошибка" error="Допускается ввод не более 900 символов!" sqref="M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decimal" allowBlank="1" showErrorMessage="1" errorTitle="Ошибка" error="Допускается ввод только неотрицательных чисел!" sqref="AC321">
      <formula1>0</formula1>
      <formula2>9.99999999999999E+23</formula2>
    </dataValidation>
    <dataValidation type="decimal" allowBlank="1" showErrorMessage="1" errorTitle="Ошибка" error="Допускается ввод только неотрицательных чисел!" sqref="AE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textLength" operator="lessThanOrEqual" allowBlank="1" showInputMessage="1" showErrorMessage="1" errorTitle="Ошибка" error="Допускается ввод не более 900 символов!" sqref="M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decimal" allowBlank="1" showErrorMessage="1" errorTitle="Ошибка" error="Допускается ввод только неотрицательных чисел!" sqref="AC326">
      <formula1>0</formula1>
      <formula2>9.99999999999999E+23</formula2>
    </dataValidation>
    <dataValidation type="decimal" allowBlank="1" showErrorMessage="1" errorTitle="Ошибка" error="Допускается ввод только неотрицательных чисел!" sqref="AE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textLength" operator="lessThanOrEqual" allowBlank="1" showInputMessage="1" showErrorMessage="1" errorTitle="Ошибка" error="Допускается ввод не более 900 символов!" sqref="M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decimal" allowBlank="1" showErrorMessage="1" errorTitle="Ошибка" error="Допускается ввод только неотрицательных чисел!" sqref="AC331">
      <formula1>0</formula1>
      <formula2>9.99999999999999E+23</formula2>
    </dataValidation>
    <dataValidation type="decimal" allowBlank="1" showErrorMessage="1" errorTitle="Ошибка" error="Допускается ввод только неотрицательных чисел!" sqref="AE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textLength" operator="lessThanOrEqual" allowBlank="1" showInputMessage="1" showErrorMessage="1" errorTitle="Ошибка" error="Допускается ввод не более 900 символов!" sqref="M334">
      <formula1>900</formula1>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decimal" allowBlank="1" showErrorMessage="1" errorTitle="Ошибка" error="Допускается ввод только неотрицательных чисел!" sqref="AC336">
      <formula1>0</formula1>
      <formula2>9.99999999999999E+23</formula2>
    </dataValidation>
    <dataValidation type="decimal" allowBlank="1" showErrorMessage="1" errorTitle="Ошибка" error="Допускается ввод только неотрицательных чисел!" sqref="AE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textLength" operator="lessThanOrEqual" allowBlank="1" showInputMessage="1" showErrorMessage="1" errorTitle="Ошибка" error="Допускается ввод не более 900 символов!" sqref="M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decimal" allowBlank="1" showErrorMessage="1" errorTitle="Ошибка" error="Допускается ввод только неотрицательных чисел!" sqref="AC341">
      <formula1>0</formula1>
      <formula2>9.99999999999999E+23</formula2>
    </dataValidation>
    <dataValidation type="decimal" allowBlank="1" showErrorMessage="1" errorTitle="Ошибка" error="Допускается ввод только неотрицательных чисел!" sqref="AE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textLength" operator="lessThanOrEqual" allowBlank="1" showInputMessage="1" showErrorMessage="1" errorTitle="Ошибка" error="Допускается ввод не более 900 символов!" sqref="M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textLength" operator="lessThanOrEqual" allowBlank="1" showInputMessage="1" showErrorMessage="1" errorTitle="Ошибка" error="Допускается ввод не более 900 символов!" sqref="M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textLength" operator="lessThanOrEqual" allowBlank="1" showInputMessage="1" showErrorMessage="1" errorTitle="Ошибка" error="Допускается ввод не более 900 символов!" sqref="M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textLength" operator="lessThanOrEqual" allowBlank="1" showInputMessage="1" showErrorMessage="1" errorTitle="Ошибка" error="Допускается ввод не более 900 символов!" sqref="M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textLength" operator="lessThanOrEqual" allowBlank="1" showInputMessage="1" showErrorMessage="1" errorTitle="Ошибка" error="Допускается ввод не более 900 символов!" sqref="M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textLength" operator="lessThanOrEqual" allowBlank="1" showInputMessage="1" showErrorMessage="1" errorTitle="Ошибка" error="Допускается ввод не более 900 символов!" sqref="M369">
      <formula1>900</formula1>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decimal" allowBlank="1" showErrorMessage="1" errorTitle="Ошибка" error="Допускается ввод только неотрицательных чисел!" sqref="AC371">
      <formula1>0</formula1>
      <formula2>9.99999999999999E+23</formula2>
    </dataValidation>
    <dataValidation type="decimal" allowBlank="1" showErrorMessage="1" errorTitle="Ошибка" error="Допускается ввод только неотрицательных чисел!" sqref="AE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textLength" operator="lessThanOrEqual" allowBlank="1" showInputMessage="1" showErrorMessage="1" errorTitle="Ошибка" error="Допускается ввод не более 900 символов!" sqref="M380">
      <formula1>900</formula1>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decimal" allowBlank="1" showErrorMessage="1" errorTitle="Ошибка" error="Допускается ввод только неотрицательных чисел!" sqref="AC382">
      <formula1>0</formula1>
      <formula2>9.99999999999999E+23</formula2>
    </dataValidation>
    <dataValidation type="decimal" allowBlank="1" showErrorMessage="1" errorTitle="Ошибка" error="Допускается ввод только неотрицательных чисел!" sqref="AE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textLength" operator="lessThanOrEqual" allowBlank="1" showInputMessage="1" showErrorMessage="1" errorTitle="Ошибка" error="Допускается ввод не более 900 символов!" sqref="M386">
      <formula1>900</formula1>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textLength" operator="lessThanOrEqual" allowBlank="1" showInputMessage="1" showErrorMessage="1" errorTitle="Ошибка" error="Допускается ввод не более 900 символов!" sqref="M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decimal" allowBlank="1" showErrorMessage="1" errorTitle="Ошибка" error="Допускается ввод только неотрицательных чисел!" sqref="AC394">
      <formula1>0</formula1>
      <formula2>9.99999999999999E+23</formula2>
    </dataValidation>
    <dataValidation type="decimal" allowBlank="1" showErrorMessage="1" errorTitle="Ошибка" error="Допускается ввод только неотрицательных чисел!" sqref="AE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textLength" operator="lessThanOrEqual" allowBlank="1" showInputMessage="1" showErrorMessage="1" errorTitle="Ошибка" error="Допускается ввод не более 900 символов!" sqref="M398">
      <formula1>900</formula1>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textLength" operator="lessThanOrEqual" allowBlank="1" showInputMessage="1" showErrorMessage="1" errorTitle="Ошибка" error="Допускается ввод не более 900 символов!" sqref="M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textLength" operator="lessThanOrEqual" allowBlank="1" showInputMessage="1" showErrorMessage="1" errorTitle="Ошибка" error="Допускается ввод не более 900 символов!" sqref="M410">
      <formula1>900</formula1>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textLength" operator="lessThanOrEqual" allowBlank="1" showInputMessage="1" showErrorMessage="1" errorTitle="Ошибка" error="Допускается ввод не более 900 символов!" sqref="M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textLength" operator="lessThanOrEqual" allowBlank="1" showInputMessage="1" showErrorMessage="1" errorTitle="Ошибка" error="Допускается ввод не более 900 символов!" sqref="M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decimal" allowBlank="1" showErrorMessage="1" errorTitle="Ошибка" error="Допускается ввод только неотрицательных чисел!" sqref="AC424">
      <formula1>0</formula1>
      <formula2>9.99999999999999E+23</formula2>
    </dataValidation>
    <dataValidation type="decimal" allowBlank="1" showErrorMessage="1" errorTitle="Ошибка" error="Допускается ввод только неотрицательных чисел!" sqref="AE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textLength" operator="lessThanOrEqual" allowBlank="1" showInputMessage="1" showErrorMessage="1" errorTitle="Ошибка" error="Допускается ввод не более 900 символов!" sqref="M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decimal" allowBlank="1" showErrorMessage="1" errorTitle="Ошибка" error="Допускается ввод только неотрицательных чисел!" sqref="AC430">
      <formula1>0</formula1>
      <formula2>9.99999999999999E+23</formula2>
    </dataValidation>
    <dataValidation type="decimal" allowBlank="1" showErrorMessage="1" errorTitle="Ошибка" error="Допускается ввод только неотрицательных чисел!" sqref="AE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textLength" operator="lessThanOrEqual" allowBlank="1" showInputMessage="1" showErrorMessage="1" errorTitle="Ошибка" error="Допускается ввод не более 900 символов!" sqref="M434">
      <formula1>900</formula1>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decimal" allowBlank="1" showErrorMessage="1" errorTitle="Ошибка" error="Допускается ввод только неотрицательных чисел!" sqref="AC436">
      <formula1>0</formula1>
      <formula2>9.99999999999999E+23</formula2>
    </dataValidation>
    <dataValidation type="decimal" allowBlank="1" showErrorMessage="1" errorTitle="Ошибка" error="Допускается ввод только неотрицательных чисел!" sqref="AE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textLength" operator="lessThanOrEqual" allowBlank="1" showInputMessage="1" showErrorMessage="1" errorTitle="Ошибка" error="Допускается ввод не более 900 символов!" sqref="M440">
      <formula1>900</formula1>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decimal" allowBlank="1" showErrorMessage="1" errorTitle="Ошибка" error="Допускается ввод только неотрицательных чисел!" sqref="AC442">
      <formula1>0</formula1>
      <formula2>9.99999999999999E+23</formula2>
    </dataValidation>
    <dataValidation type="decimal" allowBlank="1" showErrorMessage="1" errorTitle="Ошибка" error="Допускается ввод только неотрицательных чисел!" sqref="AE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textLength" operator="lessThanOrEqual" allowBlank="1" showInputMessage="1" showErrorMessage="1" errorTitle="Ошибка" error="Допускается ввод не более 900 символов!" sqref="M446">
      <formula1>900</formula1>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textLength" operator="lessThanOrEqual" allowBlank="1" showInputMessage="1" showErrorMessage="1" errorTitle="Ошибка" error="Допускается ввод не более 900 символов!" sqref="M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decimal" allowBlank="1" showErrorMessage="1" errorTitle="Ошибка" error="Допускается ввод только неотрицательных чисел!" sqref="AC454">
      <formula1>0</formula1>
      <formula2>9.99999999999999E+23</formula2>
    </dataValidation>
    <dataValidation type="decimal" allowBlank="1" showErrorMessage="1" errorTitle="Ошибка" error="Допускается ввод только неотрицательных чисел!" sqref="AE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textLength" operator="lessThanOrEqual" allowBlank="1" showInputMessage="1" showErrorMessage="1" errorTitle="Ошибка" error="Допускается ввод не более 900 символов!" sqref="M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decimal" allowBlank="1" showErrorMessage="1" errorTitle="Ошибка" error="Допускается ввод только неотрицательных чисел!" sqref="AC460">
      <formula1>0</formula1>
      <formula2>9.99999999999999E+23</formula2>
    </dataValidation>
    <dataValidation type="decimal" allowBlank="1" showErrorMessage="1" errorTitle="Ошибка" error="Допускается ввод только неотрицательных чисел!" sqref="AE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textLength" operator="lessThanOrEqual" allowBlank="1" showInputMessage="1" showErrorMessage="1" errorTitle="Ошибка" error="Допускается ввод не более 900 символов!" sqref="M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decimal" allowBlank="1" showErrorMessage="1" errorTitle="Ошибка" error="Допускается ввод только неотрицательных чисел!" sqref="AC466">
      <formula1>0</formula1>
      <formula2>9.99999999999999E+23</formula2>
    </dataValidation>
    <dataValidation type="decimal" allowBlank="1" showErrorMessage="1" errorTitle="Ошибка" error="Допускается ввод только неотрицательных чисел!" sqref="AE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textLength" operator="lessThanOrEqual" allowBlank="1" showInputMessage="1" showErrorMessage="1" errorTitle="Ошибка" error="Допускается ввод не более 900 символов!" sqref="M470">
      <formula1>900</formula1>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decimal" allowBlank="1" showErrorMessage="1" errorTitle="Ошибка" error="Допускается ввод только неотрицательных чисел!" sqref="AC472">
      <formula1>0</formula1>
      <formula2>9.99999999999999E+23</formula2>
    </dataValidation>
    <dataValidation type="decimal" allowBlank="1" showErrorMessage="1" errorTitle="Ошибка" error="Допускается ввод только неотрицательных чисел!" sqref="AE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textLength" operator="lessThanOrEqual" allowBlank="1" showInputMessage="1" showErrorMessage="1" errorTitle="Ошибка" error="Допускается ввод не более 900 символов!" sqref="M476">
      <formula1>900</formula1>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decimal" allowBlank="1" showErrorMessage="1" errorTitle="Ошибка" error="Допускается ввод только неотрицательных чисел!" sqref="AC478">
      <formula1>0</formula1>
      <formula2>9.99999999999999E+23</formula2>
    </dataValidation>
    <dataValidation type="decimal" allowBlank="1" showErrorMessage="1" errorTitle="Ошибка" error="Допускается ввод только неотрицательных чисел!" sqref="AE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textLength" operator="lessThanOrEqual" allowBlank="1" showInputMessage="1" showErrorMessage="1" errorTitle="Ошибка" error="Допускается ввод не более 900 символов!" sqref="M482">
      <formula1>900</formula1>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textLength" operator="lessThanOrEqual" allowBlank="1" showInputMessage="1" showErrorMessage="1" errorTitle="Ошибка" error="Допускается ввод не более 900 символов!" sqref="M488">
      <formula1>900</formula1>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decimal" allowBlank="1" showErrorMessage="1" errorTitle="Ошибка" error="Допускается ввод только неотрицательных чисел!" sqref="AC490">
      <formula1>0</formula1>
      <formula2>9.99999999999999E+23</formula2>
    </dataValidation>
    <dataValidation type="decimal" allowBlank="1" showErrorMessage="1" errorTitle="Ошибка" error="Допускается ввод только неотрицательных чисел!" sqref="AE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textLength" operator="lessThanOrEqual" allowBlank="1" showInputMessage="1" showErrorMessage="1" errorTitle="Ошибка" error="Допускается ввод не более 900 символов!" sqref="M494">
      <formula1>900</formula1>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decimal" allowBlank="1" showErrorMessage="1" errorTitle="Ошибка" error="Допускается ввод только неотрицательных чисел!" sqref="AC496">
      <formula1>0</formula1>
      <formula2>9.99999999999999E+23</formula2>
    </dataValidation>
    <dataValidation type="decimal" allowBlank="1" showErrorMessage="1" errorTitle="Ошибка" error="Допускается ввод только неотрицательных чисел!" sqref="AE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decimal" allowBlank="1" showErrorMessage="1" errorTitle="Ошибка" error="Допускается ввод только неотрицательных чисел!" sqref="AC419">
      <formula1>0</formula1>
      <formula2>9.99999999999999E+23</formula2>
    </dataValidation>
    <dataValidation type="decimal" allowBlank="1" showErrorMessage="1" errorTitle="Ошибка" error="Допускается ввод только неотрицательных чисел!" sqref="AE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decimal" allowBlank="1" showErrorMessage="1" errorTitle="Ошибка" error="Допускается ввод только неотрицательных чисел!" sqref="AC491">
      <formula1>0</formula1>
      <formula2>9.99999999999999E+23</formula2>
    </dataValidation>
    <dataValidation type="decimal" allowBlank="1" showErrorMessage="1" errorTitle="Ошибка" error="Допускается ввод только неотрицательных чисел!" sqref="AE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decimal" allowBlank="1" showErrorMessage="1" errorTitle="Ошибка" error="Допускается ввод только неотрицательных чисел!" sqref="AC497">
      <formula1>0</formula1>
      <formula2>9.99999999999999E+23</formula2>
    </dataValidation>
    <dataValidation type="decimal" allowBlank="1" showErrorMessage="1" errorTitle="Ошибка" error="Допускается ввод только неотрицательных чисел!" sqref="AE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textLength" operator="lessThanOrEqual" allowBlank="1" showInputMessage="1" showErrorMessage="1" errorTitle="Ошибка" error="Допускается ввод не более 900 символов!" sqref="M506">
      <formula1>900</formula1>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decimal" allowBlank="1" showErrorMessage="1" errorTitle="Ошибка" error="Допускается ввод только неотрицательных чисел!" sqref="AC508">
      <formula1>0</formula1>
      <formula2>9.99999999999999E+23</formula2>
    </dataValidation>
    <dataValidation type="decimal" allowBlank="1" showErrorMessage="1" errorTitle="Ошибка" error="Допускается ввод только неотрицательных чисел!" sqref="AE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textLength" operator="lessThanOrEqual" allowBlank="1" showInputMessage="1" showErrorMessage="1" errorTitle="Ошибка" error="Допускается ввод не более 900 символов!" sqref="M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decimal" allowBlank="1" showErrorMessage="1" errorTitle="Ошибка" error="Допускается ввод только неотрицательных чисел!" sqref="AC515">
      <formula1>0</formula1>
      <formula2>9.99999999999999E+23</formula2>
    </dataValidation>
    <dataValidation type="decimal" allowBlank="1" showErrorMessage="1" errorTitle="Ошибка" error="Допускается ввод только неотрицательных чисел!" sqref="AE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textLength" operator="lessThanOrEqual" allowBlank="1" showInputMessage="1" showErrorMessage="1" errorTitle="Ошибка" error="Допускается ввод не более 900 символов!" sqref="M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decimal" allowBlank="1" showErrorMessage="1" errorTitle="Ошибка" error="Допускается ввод только неотрицательных чисел!" sqref="AC522">
      <formula1>0</formula1>
      <formula2>9.99999999999999E+23</formula2>
    </dataValidation>
    <dataValidation type="decimal" allowBlank="1" showErrorMessage="1" errorTitle="Ошибка" error="Допускается ввод только неотрицательных чисел!" sqref="AE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textLength" operator="lessThanOrEqual" allowBlank="1" showInputMessage="1" showErrorMessage="1" errorTitle="Ошибка" error="Допускается ввод не более 900 символов!" sqref="M527">
      <formula1>900</formula1>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textLength" operator="lessThanOrEqual" allowBlank="1" showInputMessage="1" showErrorMessage="1" errorTitle="Ошибка" error="Допускается ввод не более 900 символов!" sqref="M534">
      <formula1>900</formula1>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decimal" allowBlank="1" showErrorMessage="1" errorTitle="Ошибка" error="Допускается ввод только неотрицательных чисел!" sqref="AC536">
      <formula1>0</formula1>
      <formula2>9.99999999999999E+23</formula2>
    </dataValidation>
    <dataValidation type="decimal" allowBlank="1" showErrorMessage="1" errorTitle="Ошибка" error="Допускается ввод только неотрицательных чисел!" sqref="AE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textLength" operator="lessThanOrEqual" allowBlank="1" showInputMessage="1" showErrorMessage="1" errorTitle="Ошибка" error="Допускается ввод не более 900 символов!" sqref="M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decimal" allowBlank="1" showErrorMessage="1" errorTitle="Ошибка" error="Допускается ввод только неотрицательных чисел!" sqref="AC543">
      <formula1>0</formula1>
      <formula2>9.99999999999999E+23</formula2>
    </dataValidation>
    <dataValidation type="decimal" allowBlank="1" showErrorMessage="1" errorTitle="Ошибка" error="Допускается ввод только неотрицательных чисел!" sqref="AE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textLength" operator="lessThanOrEqual" allowBlank="1" showInputMessage="1" showErrorMessage="1" errorTitle="Ошибка" error="Допускается ввод не более 900 символов!" sqref="M548">
      <formula1>900</formula1>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decimal" allowBlank="1" showErrorMessage="1" errorTitle="Ошибка" error="Допускается ввод только неотрицательных чисел!" sqref="AC550">
      <formula1>0</formula1>
      <formula2>9.99999999999999E+23</formula2>
    </dataValidation>
    <dataValidation type="decimal" allowBlank="1" showErrorMessage="1" errorTitle="Ошибка" error="Допускается ввод только неотрицательных чисел!" sqref="AE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textLength" operator="lessThanOrEqual" allowBlank="1" showInputMessage="1" showErrorMessage="1" errorTitle="Ошибка" error="Допускается ввод не более 900 символов!" sqref="M555">
      <formula1>900</formula1>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decimal" allowBlank="1" showErrorMessage="1" errorTitle="Ошибка" error="Допускается ввод только неотрицательных чисел!" sqref="AC557">
      <formula1>0</formula1>
      <formula2>9.99999999999999E+23</formula2>
    </dataValidation>
    <dataValidation type="decimal" allowBlank="1" showErrorMessage="1" errorTitle="Ошибка" error="Допускается ввод только неотрицательных чисел!" sqref="AE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textLength" operator="lessThanOrEqual" allowBlank="1" showInputMessage="1" showErrorMessage="1" errorTitle="Ошибка" error="Допускается ввод не более 900 символов!" sqref="M562">
      <formula1>900</formula1>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decimal" allowBlank="1" showErrorMessage="1" errorTitle="Ошибка" error="Допускается ввод только неотрицательных чисел!" sqref="AC564">
      <formula1>0</formula1>
      <formula2>9.99999999999999E+23</formula2>
    </dataValidation>
    <dataValidation type="decimal" allowBlank="1" showErrorMessage="1" errorTitle="Ошибка" error="Допускается ввод только неотрицательных чисел!" sqref="AE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textLength" operator="lessThanOrEqual" allowBlank="1" showInputMessage="1" showErrorMessage="1" errorTitle="Ошибка" error="Допускается ввод не более 900 символов!" sqref="M569">
      <formula1>900</formula1>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decimal" allowBlank="1" showErrorMessage="1" errorTitle="Ошибка" error="Допускается ввод только неотрицательных чисел!" sqref="AC571">
      <formula1>0</formula1>
      <formula2>9.99999999999999E+23</formula2>
    </dataValidation>
    <dataValidation type="decimal" allowBlank="1" showErrorMessage="1" errorTitle="Ошибка" error="Допускается ввод только неотрицательных чисел!" sqref="AE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textLength" operator="lessThanOrEqual" allowBlank="1" showInputMessage="1" showErrorMessage="1" errorTitle="Ошибка" error="Допускается ввод не более 900 символов!" sqref="K576">
      <formula1>900</formula1>
    </dataValidation>
    <dataValidation type="textLength" operator="lessThanOrEqual" allowBlank="1" showInputMessage="1" showErrorMessage="1" errorTitle="Ошибка" error="Допускается ввод не более 900 символов!" sqref="M576">
      <formula1>900</formula1>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decimal" allowBlank="1" showErrorMessage="1" errorTitle="Ошибка" error="Допускается ввод только неотрицательных чисел!" sqref="AC578">
      <formula1>0</formula1>
      <formula2>9.99999999999999E+23</formula2>
    </dataValidation>
    <dataValidation type="decimal" allowBlank="1" showErrorMessage="1" errorTitle="Ошибка" error="Допускается ввод только неотрицательных чисел!" sqref="AE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textLength" operator="lessThanOrEqual" allowBlank="1" showInputMessage="1" showErrorMessage="1" errorTitle="Ошибка" error="Допускается ввод не более 900 символов!" sqref="M583">
      <formula1>900</formula1>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textLength" operator="lessThanOrEqual" allowBlank="1" showInputMessage="1" showErrorMessage="1" errorTitle="Ошибка" error="Допускается ввод не более 900 символов!" sqref="K585">
      <formula1>900</formula1>
    </dataValidation>
    <dataValidation type="decimal" allowBlank="1" showErrorMessage="1" errorTitle="Ошибка" error="Допускается ввод только неотрицательных чисел!" sqref="AC585">
      <formula1>0</formula1>
      <formula2>9.99999999999999E+23</formula2>
    </dataValidation>
    <dataValidation type="decimal" allowBlank="1" showErrorMessage="1" errorTitle="Ошибка" error="Допускается ввод только неотрицательных чисел!" sqref="AE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textLength" operator="lessThanOrEqual" allowBlank="1" showInputMessage="1" showErrorMessage="1" errorTitle="Ошибка" error="Допускается ввод не более 900 символов!" sqref="K588">
      <formula1>900</formula1>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textLength" operator="lessThanOrEqual" allowBlank="1" showInputMessage="1" showErrorMessage="1" errorTitle="Ошибка" error="Допускается ввод не более 900 символов!" sqref="K590">
      <formula1>900</formula1>
    </dataValidation>
    <dataValidation type="textLength" operator="lessThanOrEqual" allowBlank="1" showInputMessage="1" showErrorMessage="1" errorTitle="Ошибка" error="Допускается ввод не более 900 символов!" sqref="M590">
      <formula1>900</formula1>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decimal" allowBlank="1" showErrorMessage="1" errorTitle="Ошибка" error="Допускается ввод только неотрицательных чисел!" sqref="AC592">
      <formula1>0</formula1>
      <formula2>9.99999999999999E+23</formula2>
    </dataValidation>
    <dataValidation type="decimal" allowBlank="1" showErrorMessage="1" errorTitle="Ошибка" error="Допускается ввод только неотрицательных чисел!" sqref="AE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textLength" operator="lessThanOrEqual" allowBlank="1" showInputMessage="1" showErrorMessage="1" errorTitle="Ошибка" error="Допускается ввод не более 900 символов!" sqref="M597">
      <formula1>900</formula1>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textLength" operator="lessThanOrEqual" allowBlank="1" showInputMessage="1" showErrorMessage="1" errorTitle="Ошибка" error="Допускается ввод не более 900 символов!" sqref="K604">
      <formula1>900</formula1>
    </dataValidation>
    <dataValidation type="textLength" operator="lessThanOrEqual" allowBlank="1" showInputMessage="1" showErrorMessage="1" errorTitle="Ошибка" error="Допускается ввод не более 900 символов!" sqref="M604">
      <formula1>900</formula1>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decimal" allowBlank="1" showErrorMessage="1" errorTitle="Ошибка" error="Допускается ввод только неотрицательных чисел!" sqref="AC606">
      <formula1>0</formula1>
      <formula2>9.99999999999999E+23</formula2>
    </dataValidation>
    <dataValidation type="decimal" allowBlank="1" showErrorMessage="1" errorTitle="Ошибка" error="Допускается ввод только неотрицательных чисел!" sqref="AE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textLength" operator="lessThanOrEqual" allowBlank="1" showInputMessage="1" showErrorMessage="1" errorTitle="Ошибка" error="Допускается ввод не более 900 символов!" sqref="K611">
      <formula1>900</formula1>
    </dataValidation>
    <dataValidation type="textLength" operator="lessThanOrEqual" allowBlank="1" showInputMessage="1" showErrorMessage="1" errorTitle="Ошибка" error="Допускается ввод не более 900 символов!" sqref="M611">
      <formula1>900</formula1>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textLength" operator="lessThanOrEqual" allowBlank="1" showInputMessage="1" showErrorMessage="1" errorTitle="Ошибка" error="Допускается ввод не более 900 символов!" sqref="K613">
      <formula1>900</formula1>
    </dataValidation>
    <dataValidation type="decimal" allowBlank="1" showErrorMessage="1" errorTitle="Ошибка" error="Допускается ввод только неотрицательных чисел!" sqref="AC613">
      <formula1>0</formula1>
      <formula2>9.99999999999999E+23</formula2>
    </dataValidation>
    <dataValidation type="decimal" allowBlank="1" showErrorMessage="1" errorTitle="Ошибка" error="Допускается ввод только неотрицательных чисел!" sqref="AE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textLength" operator="lessThanOrEqual" allowBlank="1" showInputMessage="1" showErrorMessage="1" errorTitle="Ошибка" error="Допускается ввод не более 900 символов!" sqref="K616">
      <formula1>900</formula1>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textLength" operator="lessThanOrEqual" allowBlank="1" showInputMessage="1" showErrorMessage="1" errorTitle="Ошибка" error="Допускается ввод не более 900 символов!" sqref="M618">
      <formula1>900</formula1>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textLength" operator="lessThanOrEqual" allowBlank="1" showInputMessage="1" showErrorMessage="1" errorTitle="Ошибка" error="Допускается ввод не более 900 символов!" sqref="K620">
      <formula1>900</formula1>
    </dataValidation>
    <dataValidation type="decimal" allowBlank="1" showErrorMessage="1" errorTitle="Ошибка" error="Допускается ввод только неотрицательных чисел!" sqref="AC620">
      <formula1>0</formula1>
      <formula2>9.99999999999999E+23</formula2>
    </dataValidation>
    <dataValidation type="decimal" allowBlank="1" showErrorMessage="1" errorTitle="Ошибка" error="Допускается ввод только неотрицательных чисел!" sqref="AE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textLength" operator="lessThanOrEqual" allowBlank="1" showInputMessage="1" showErrorMessage="1" errorTitle="Ошибка" error="Допускается ввод не более 900 символов!" sqref="M625">
      <formula1>900</formula1>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textLength" operator="lessThanOrEqual" allowBlank="1" showInputMessage="1" showErrorMessage="1" errorTitle="Ошибка" error="Допускается ввод не более 900 символов!" sqref="K626">
      <formula1>900</formula1>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decimal" allowBlank="1" showErrorMessage="1" errorTitle="Ошибка" error="Допускается ввод только неотрицательных чисел!" sqref="AC627">
      <formula1>0</formula1>
      <formula2>9.99999999999999E+23</formula2>
    </dataValidation>
    <dataValidation type="decimal" allowBlank="1" showErrorMessage="1" errorTitle="Ошибка" error="Допускается ввод только неотрицательных чисел!" sqref="AE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textLength" operator="lessThanOrEqual" allowBlank="1" showInputMessage="1" showErrorMessage="1" errorTitle="Ошибка" error="Допускается ввод не более 900 символов!" sqref="K632">
      <formula1>900</formula1>
    </dataValidation>
    <dataValidation type="textLength" operator="lessThanOrEqual" allowBlank="1" showInputMessage="1" showErrorMessage="1" errorTitle="Ошибка" error="Допускается ввод не более 900 символов!" sqref="M632">
      <formula1>900</formula1>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decimal" allowBlank="1" showErrorMessage="1" errorTitle="Ошибка" error="Допускается ввод только неотрицательных чисел!" sqref="AC634">
      <formula1>0</formula1>
      <formula2>9.99999999999999E+23</formula2>
    </dataValidation>
    <dataValidation type="decimal" allowBlank="1" showErrorMessage="1" errorTitle="Ошибка" error="Допускается ввод только неотрицательных чисел!" sqref="AE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textLength" operator="lessThanOrEqual" allowBlank="1" showInputMessage="1" showErrorMessage="1" errorTitle="Ошибка" error="Допускается ввод не более 900 символов!" sqref="M637">
      <formula1>900</formula1>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decimal" allowBlank="1" showErrorMessage="1" errorTitle="Ошибка" error="Допускается ввод только неотрицательных чисел!" sqref="AC639">
      <formula1>0</formula1>
      <formula2>9.99999999999999E+23</formula2>
    </dataValidation>
    <dataValidation type="decimal" allowBlank="1" showErrorMessage="1" errorTitle="Ошибка" error="Допускается ввод только неотрицательных чисел!" sqref="AE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textLength" operator="lessThanOrEqual" allowBlank="1" showInputMessage="1" showErrorMessage="1" errorTitle="Ошибка" error="Допускается ввод не более 900 символов!" sqref="M644">
      <formula1>900</formula1>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decimal" allowBlank="1" showErrorMessage="1" errorTitle="Ошибка" error="Допускается ввод только неотрицательных чисел!" sqref="AC646">
      <formula1>0</formula1>
      <formula2>9.99999999999999E+23</formula2>
    </dataValidation>
    <dataValidation type="decimal" allowBlank="1" showErrorMessage="1" errorTitle="Ошибка" error="Допускается ввод только неотрицательных чисел!" sqref="AE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textLength" operator="lessThanOrEqual" allowBlank="1" showInputMessage="1" showErrorMessage="1" errorTitle="Ошибка" error="Допускается ввод не более 900 символов!" sqref="K647">
      <formula1>900</formula1>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textLength" operator="lessThanOrEqual" allowBlank="1" showInputMessage="1" showErrorMessage="1" errorTitle="Ошибка" error="Допускается ввод не более 900 символов!" sqref="M649">
      <formula1>900</formula1>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textLength" operator="lessThanOrEqual" allowBlank="1" showInputMessage="1" showErrorMessage="1" errorTitle="Ошибка" error="Допускается ввод не более 900 символов!" sqref="K650">
      <formula1>900</formula1>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decimal" allowBlank="1" showErrorMessage="1" errorTitle="Ошибка" error="Допускается ввод только неотрицательных чисел!" sqref="AC651">
      <formula1>0</formula1>
      <formula2>9.99999999999999E+23</formula2>
    </dataValidation>
    <dataValidation type="decimal" allowBlank="1" showErrorMessage="1" errorTitle="Ошибка" error="Допускается ввод только неотрицательных чисел!" sqref="AE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textLength" operator="lessThanOrEqual" allowBlank="1" showInputMessage="1" showErrorMessage="1" errorTitle="Ошибка" error="Допускается ввод не более 900 символов!" sqref="M656">
      <formula1>900</formula1>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decimal" allowBlank="1" showErrorMessage="1" errorTitle="Ошибка" error="Допускается ввод только неотрицательных чисел!" sqref="AC658">
      <formula1>0</formula1>
      <formula2>9.99999999999999E+23</formula2>
    </dataValidation>
    <dataValidation type="decimal" allowBlank="1" showErrorMessage="1" errorTitle="Ошибка" error="Допускается ввод только неотрицательных чисел!" sqref="AE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textLength" operator="lessThanOrEqual" allowBlank="1" showInputMessage="1" showErrorMessage="1" errorTitle="Ошибка" error="Допускается ввод не более 900 символов!" sqref="K661">
      <formula1>900</formula1>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textLength" operator="lessThanOrEqual" allowBlank="1" showInputMessage="1" showErrorMessage="1" errorTitle="Ошибка" error="Допускается ввод не более 900 символов!" sqref="M663">
      <formula1>900</formula1>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textLength" operator="lessThanOrEqual" allowBlank="1" showInputMessage="1" showErrorMessage="1" errorTitle="Ошибка" error="Допускается ввод не более 900 символов!" sqref="K665">
      <formula1>900</formula1>
    </dataValidation>
    <dataValidation type="decimal" allowBlank="1" showErrorMessage="1" errorTitle="Ошибка" error="Допускается ввод только неотрицательных чисел!" sqref="AC665">
      <formula1>0</formula1>
      <formula2>9.99999999999999E+23</formula2>
    </dataValidation>
    <dataValidation type="decimal" allowBlank="1" showErrorMessage="1" errorTitle="Ошибка" error="Допускается ввод только неотрицательных чисел!" sqref="AE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textLength" operator="lessThanOrEqual" allowBlank="1" showInputMessage="1" showErrorMessage="1" errorTitle="Ошибка" error="Допускается ввод не более 900 символов!" sqref="K668">
      <formula1>900</formula1>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decimal" allowBlank="1" showErrorMessage="1" errorTitle="Ошибка" error="Допускается ввод только неотрицательных чисел!" sqref="AC510">
      <formula1>0</formula1>
      <formula2>9.99999999999999E+23</formula2>
    </dataValidation>
    <dataValidation type="decimal" allowBlank="1" showErrorMessage="1" errorTitle="Ошибка" error="Допускается ввод только неотрицательных чисел!" sqref="AE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decimal" allowBlank="1" showErrorMessage="1" errorTitle="Ошибка" error="Допускается ввод только неотрицательных чисел!" sqref="AC516">
      <formula1>0</formula1>
      <formula2>9.99999999999999E+23</formula2>
    </dataValidation>
    <dataValidation type="decimal" allowBlank="1" showErrorMessage="1" errorTitle="Ошибка" error="Допускается ввод только неотрицательных чисел!" sqref="AE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decimal" allowBlank="1" showErrorMessage="1" errorTitle="Ошибка" error="Допускается ввод только неотрицательных чисел!" sqref="AC517">
      <formula1>0</formula1>
      <formula2>9.99999999999999E+23</formula2>
    </dataValidation>
    <dataValidation type="decimal" allowBlank="1" showErrorMessage="1" errorTitle="Ошибка" error="Допускается ввод только неотрицательных чисел!" sqref="AE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decimal" allowBlank="1" showErrorMessage="1" errorTitle="Ошибка" error="Допускается ввод только неотрицательных чисел!" sqref="AC523">
      <formula1>0</formula1>
      <formula2>9.99999999999999E+23</formula2>
    </dataValidation>
    <dataValidation type="decimal" allowBlank="1" showErrorMessage="1" errorTitle="Ошибка" error="Допускается ввод только неотрицательных чисел!" sqref="AE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decimal" allowBlank="1" showErrorMessage="1" errorTitle="Ошибка" error="Допускается ввод только неотрицательных чисел!" sqref="AC530">
      <formula1>0</formula1>
      <formula2>9.99999999999999E+23</formula2>
    </dataValidation>
    <dataValidation type="decimal" allowBlank="1" showErrorMessage="1" errorTitle="Ошибка" error="Допускается ввод только неотрицательных чисел!" sqref="AE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decimal" allowBlank="1" showErrorMessage="1" errorTitle="Ошибка" error="Допускается ввод только неотрицательных чисел!" sqref="AC531">
      <formula1>0</formula1>
      <formula2>9.99999999999999E+23</formula2>
    </dataValidation>
    <dataValidation type="decimal" allowBlank="1" showErrorMessage="1" errorTitle="Ошибка" error="Допускается ввод только неотрицательных чисел!" sqref="AE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decimal" allowBlank="1" showErrorMessage="1" errorTitle="Ошибка" error="Допускается ввод только неотрицательных чисел!" sqref="AC537">
      <formula1>0</formula1>
      <formula2>9.99999999999999E+23</formula2>
    </dataValidation>
    <dataValidation type="decimal" allowBlank="1" showErrorMessage="1" errorTitle="Ошибка" error="Допускается ввод только неотрицательных чисел!" sqref="AE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decimal" allowBlank="1" showErrorMessage="1" errorTitle="Ошибка" error="Допускается ввод только неотрицательных чисел!" sqref="AC538">
      <formula1>0</formula1>
      <formula2>9.99999999999999E+23</formula2>
    </dataValidation>
    <dataValidation type="decimal" allowBlank="1" showErrorMessage="1" errorTitle="Ошибка" error="Допускается ввод только неотрицательных чисел!" sqref="AE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decimal" allowBlank="1" showErrorMessage="1" errorTitle="Ошибка" error="Допускается ввод только неотрицательных чисел!" sqref="AC544">
      <formula1>0</formula1>
      <formula2>9.99999999999999E+23</formula2>
    </dataValidation>
    <dataValidation type="decimal" allowBlank="1" showErrorMessage="1" errorTitle="Ошибка" error="Допускается ввод только неотрицательных чисел!" sqref="AE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decimal" allowBlank="1" showErrorMessage="1" errorTitle="Ошибка" error="Допускается ввод только неотрицательных чисел!" sqref="AC545">
      <formula1>0</formula1>
      <formula2>9.99999999999999E+23</formula2>
    </dataValidation>
    <dataValidation type="decimal" allowBlank="1" showErrorMessage="1" errorTitle="Ошибка" error="Допускается ввод только неотрицательных чисел!" sqref="AE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decimal" allowBlank="1" showErrorMessage="1" errorTitle="Ошибка" error="Допускается ввод только неотрицательных чисел!" sqref="AC551">
      <formula1>0</formula1>
      <formula2>9.99999999999999E+23</formula2>
    </dataValidation>
    <dataValidation type="decimal" allowBlank="1" showErrorMessage="1" errorTitle="Ошибка" error="Допускается ввод только неотрицательных чисел!" sqref="AE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decimal" allowBlank="1" showErrorMessage="1" errorTitle="Ошибка" error="Допускается ввод только неотрицательных чисел!" sqref="AC565">
      <formula1>0</formula1>
      <formula2>9.99999999999999E+23</formula2>
    </dataValidation>
    <dataValidation type="decimal" allowBlank="1" showErrorMessage="1" errorTitle="Ошибка" error="Допускается ввод только неотрицательных чисел!" sqref="AE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decimal" allowBlank="1" showErrorMessage="1" errorTitle="Ошибка" error="Допускается ввод только неотрицательных чисел!" sqref="AC566">
      <formula1>0</formula1>
      <formula2>9.99999999999999E+23</formula2>
    </dataValidation>
    <dataValidation type="decimal" allowBlank="1" showErrorMessage="1" errorTitle="Ошибка" error="Допускается ввод только неотрицательных чисел!" sqref="AE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decimal" allowBlank="1" showErrorMessage="1" errorTitle="Ошибка" error="Допускается ввод только неотрицательных чисел!" sqref="AC572">
      <formula1>0</formula1>
      <formula2>9.99999999999999E+23</formula2>
    </dataValidation>
    <dataValidation type="decimal" allowBlank="1" showErrorMessage="1" errorTitle="Ошибка" error="Допускается ввод только неотрицательных чисел!" sqref="AE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decimal" allowBlank="1" showErrorMessage="1" errorTitle="Ошибка" error="Допускается ввод только неотрицательных чисел!" sqref="AC573">
      <formula1>0</formula1>
      <formula2>9.99999999999999E+23</formula2>
    </dataValidation>
    <dataValidation type="decimal" allowBlank="1" showErrorMessage="1" errorTitle="Ошибка" error="Допускается ввод только неотрицательных чисел!" sqref="AE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decimal" allowBlank="1" showErrorMessage="1" errorTitle="Ошибка" error="Допускается ввод только неотрицательных чисел!" sqref="AC579">
      <formula1>0</formula1>
      <formula2>9.99999999999999E+23</formula2>
    </dataValidation>
    <dataValidation type="decimal" allowBlank="1" showErrorMessage="1" errorTitle="Ошибка" error="Допускается ввод только неотрицательных чисел!" sqref="AE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decimal" allowBlank="1" showErrorMessage="1" errorTitle="Ошибка" error="Допускается ввод только неотрицательных чисел!" sqref="AC587">
      <formula1>0</formula1>
      <formula2>9.99999999999999E+23</formula2>
    </dataValidation>
    <dataValidation type="decimal" allowBlank="1" showErrorMessage="1" errorTitle="Ошибка" error="Допускается ввод только неотрицательных чисел!" sqref="AE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decimal" allowBlank="1" showErrorMessage="1" errorTitle="Ошибка" error="Допускается ввод только неотрицательных чисел!" sqref="AC593">
      <formula1>0</formula1>
      <formula2>9.99999999999999E+23</formula2>
    </dataValidation>
    <dataValidation type="decimal" allowBlank="1" showErrorMessage="1" errorTitle="Ошибка" error="Допускается ввод только неотрицательных чисел!" sqref="AE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textLength" operator="lessThanOrEqual" allowBlank="1" showInputMessage="1" showErrorMessage="1" errorTitle="Ошибка" error="Допускается ввод не более 900 символов!" sqref="K594">
      <formula1>900</formula1>
    </dataValidation>
    <dataValidation type="decimal" allowBlank="1" showErrorMessage="1" errorTitle="Ошибка" error="Допускается ввод только неотрицательных чисел!" sqref="AC594">
      <formula1>0</formula1>
      <formula2>9.99999999999999E+23</formula2>
    </dataValidation>
    <dataValidation type="decimal" allowBlank="1" showErrorMessage="1" errorTitle="Ошибка" error="Допускается ввод только неотрицательных чисел!" sqref="AE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decimal" allowBlank="1" showErrorMessage="1" errorTitle="Ошибка" error="Допускается ввод только неотрицательных чисел!" sqref="AC600">
      <formula1>0</formula1>
      <formula2>9.99999999999999E+23</formula2>
    </dataValidation>
    <dataValidation type="decimal" allowBlank="1" showErrorMessage="1" errorTitle="Ошибка" error="Допускается ввод только неотрицательных чисел!" sqref="AE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textLength" operator="lessThanOrEqual" allowBlank="1" showInputMessage="1" showErrorMessage="1" errorTitle="Ошибка" error="Допускается ввод не более 900 символов!" sqref="K601">
      <formula1>900</formula1>
    </dataValidation>
    <dataValidation type="decimal" allowBlank="1" showErrorMessage="1" errorTitle="Ошибка" error="Допускается ввод только неотрицательных чисел!" sqref="AC601">
      <formula1>0</formula1>
      <formula2>9.99999999999999E+23</formula2>
    </dataValidation>
    <dataValidation type="decimal" allowBlank="1" showErrorMessage="1" errorTitle="Ошибка" error="Допускается ввод только неотрицательных чисел!" sqref="AE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decimal" allowBlank="1" showErrorMessage="1" errorTitle="Ошибка" error="Допускается ввод только неотрицательных чисел!" sqref="AC607">
      <formula1>0</formula1>
      <formula2>9.99999999999999E+23</formula2>
    </dataValidation>
    <dataValidation type="decimal" allowBlank="1" showErrorMessage="1" errorTitle="Ошибка" error="Допускается ввод только неотрицательных чисел!" sqref="AE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textLength" operator="lessThanOrEqual" allowBlank="1" showInputMessage="1" showErrorMessage="1" errorTitle="Ошибка" error="Допускается ввод не более 900 символов!" sqref="K608">
      <formula1>900</formula1>
    </dataValidation>
    <dataValidation type="decimal" allowBlank="1" showErrorMessage="1" errorTitle="Ошибка" error="Допускается ввод только неотрицательных чисел!" sqref="AC608">
      <formula1>0</formula1>
      <formula2>9.99999999999999E+23</formula2>
    </dataValidation>
    <dataValidation type="decimal" allowBlank="1" showErrorMessage="1" errorTitle="Ошибка" error="Допускается ввод только неотрицательных чисел!" sqref="AE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textLength" operator="lessThanOrEqual" allowBlank="1" showInputMessage="1" showErrorMessage="1" errorTitle="Ошибка" error="Допускается ввод не более 900 символов!" sqref="K614">
      <formula1>900</formula1>
    </dataValidation>
    <dataValidation type="decimal" allowBlank="1" showErrorMessage="1" errorTitle="Ошибка" error="Допускается ввод только неотрицательных чисел!" sqref="AC614">
      <formula1>0</formula1>
      <formula2>9.99999999999999E+23</formula2>
    </dataValidation>
    <dataValidation type="decimal" allowBlank="1" showErrorMessage="1" errorTitle="Ошибка" error="Допускается ввод только неотрицательных чисел!" sqref="AE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textLength" operator="lessThanOrEqual" allowBlank="1" showInputMessage="1" showErrorMessage="1" errorTitle="Ошибка" error="Допускается ввод не более 900 символов!" sqref="K615">
      <formula1>900</formula1>
    </dataValidation>
    <dataValidation type="decimal" allowBlank="1" showErrorMessage="1" errorTitle="Ошибка" error="Допускается ввод только неотрицательных чисел!" sqref="AC615">
      <formula1>0</formula1>
      <formula2>9.99999999999999E+23</formula2>
    </dataValidation>
    <dataValidation type="decimal" allowBlank="1" showErrorMessage="1" errorTitle="Ошибка" error="Допускается ввод только неотрицательных чисел!" sqref="AE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textLength" operator="lessThanOrEqual" allowBlank="1" showInputMessage="1" showErrorMessage="1" errorTitle="Ошибка" error="Допускается ввод не более 900 символов!" sqref="K621">
      <formula1>900</formula1>
    </dataValidation>
    <dataValidation type="decimal" allowBlank="1" showErrorMessage="1" errorTitle="Ошибка" error="Допускается ввод только неотрицательных чисел!" sqref="AC621">
      <formula1>0</formula1>
      <formula2>9.99999999999999E+23</formula2>
    </dataValidation>
    <dataValidation type="decimal" allowBlank="1" showErrorMessage="1" errorTitle="Ошибка" error="Допускается ввод только неотрицательных чисел!" sqref="AE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decimal" allowBlank="1" showErrorMessage="1" errorTitle="Ошибка" error="Допускается ввод только неотрицательных чисел!" sqref="AC622">
      <formula1>0</formula1>
      <formula2>9.99999999999999E+23</formula2>
    </dataValidation>
    <dataValidation type="decimal" allowBlank="1" showErrorMessage="1" errorTitle="Ошибка" error="Допускается ввод только неотрицательных чисел!" sqref="AE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decimal" allowBlank="1" showErrorMessage="1" errorTitle="Ошибка" error="Допускается ввод только неотрицательных чисел!" sqref="AC628">
      <formula1>0</formula1>
      <formula2>9.99999999999999E+23</formula2>
    </dataValidation>
    <dataValidation type="decimal" allowBlank="1" showErrorMessage="1" errorTitle="Ошибка" error="Допускается ввод только неотрицательных чисел!" sqref="AE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decimal" allowBlank="1" showErrorMessage="1" errorTitle="Ошибка" error="Допускается ввод только неотрицательных чисел!" sqref="AC629">
      <formula1>0</formula1>
      <formula2>9.99999999999999E+23</formula2>
    </dataValidation>
    <dataValidation type="decimal" allowBlank="1" showErrorMessage="1" errorTitle="Ошибка" error="Допускается ввод только неотрицательных чисел!" sqref="AE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decimal" allowBlank="1" showErrorMessage="1" errorTitle="Ошибка" error="Допускается ввод только неотрицательных чисел!" sqref="AC641">
      <formula1>0</formula1>
      <formula2>9.99999999999999E+23</formula2>
    </dataValidation>
    <dataValidation type="decimal" allowBlank="1" showErrorMessage="1" errorTitle="Ошибка" error="Допускается ввод только неотрицательных чисел!" sqref="AE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decimal" allowBlank="1" showErrorMessage="1" errorTitle="Ошибка" error="Допускается ввод только неотрицательных чисел!" sqref="AC652">
      <formula1>0</formula1>
      <formula2>9.99999999999999E+23</formula2>
    </dataValidation>
    <dataValidation type="decimal" allowBlank="1" showErrorMessage="1" errorTitle="Ошибка" error="Допускается ввод только неотрицательных чисел!" sqref="AE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decimal" allowBlank="1" showErrorMessage="1" errorTitle="Ошибка" error="Допускается ввод только неотрицательных чисел!" sqref="AC659">
      <formula1>0</formula1>
      <formula2>9.99999999999999E+23</formula2>
    </dataValidation>
    <dataValidation type="decimal" allowBlank="1" showErrorMessage="1" errorTitle="Ошибка" error="Допускается ввод только неотрицательных чисел!" sqref="AE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decimal" allowBlank="1" showErrorMessage="1" errorTitle="Ошибка" error="Допускается ввод только неотрицательных чисел!" sqref="AC666">
      <formula1>0</formula1>
      <formula2>9.99999999999999E+23</formula2>
    </dataValidation>
    <dataValidation type="decimal" allowBlank="1" showErrorMessage="1" errorTitle="Ошибка" error="Допускается ввод только неотрицательных чисел!" sqref="AE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textLength" operator="lessThanOrEqual" allowBlank="1" showInputMessage="1" showErrorMessage="1" errorTitle="Ошибка" error="Допускается ввод не более 900 символов!" sqref="K667">
      <formula1>900</formula1>
    </dataValidation>
    <dataValidation type="decimal" allowBlank="1" showErrorMessage="1" errorTitle="Ошибка" error="Допускается ввод только неотрицательных чисел!" sqref="AC667">
      <formula1>0</formula1>
      <formula2>9.99999999999999E+23</formula2>
    </dataValidation>
    <dataValidation type="decimal" allowBlank="1" showErrorMessage="1" errorTitle="Ошибка" error="Допускается ввод только неотрицательных чисел!" sqref="AE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textLength" operator="lessThanOrEqual" allowBlank="1" showInputMessage="1" showErrorMessage="1" errorTitle="Ошибка" error="Допускается ввод не более 900 символов!" sqref="M676">
      <formula1>900</formula1>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textLength" operator="lessThanOrEqual" allowBlank="1" showInputMessage="1" showErrorMessage="1" errorTitle="Ошибка" error="Допускается ввод не более 900 символов!" sqref="K677">
      <formula1>900</formula1>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decimal" allowBlank="1" showErrorMessage="1" errorTitle="Ошибка" error="Допускается ввод только неотрицательных чисел!" sqref="AC678">
      <formula1>0</formula1>
      <formula2>9.99999999999999E+23</formula2>
    </dataValidation>
    <dataValidation type="decimal" allowBlank="1" showErrorMessage="1" errorTitle="Ошибка" error="Допускается ввод только неотрицательных чисел!" sqref="AE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textLength" operator="lessThanOrEqual" allowBlank="1" showInputMessage="1" showErrorMessage="1" errorTitle="Ошибка" error="Допускается ввод не более 900 символов!" sqref="K683">
      <formula1>900</formula1>
    </dataValidation>
    <dataValidation type="textLength" operator="lessThanOrEqual" allowBlank="1" showInputMessage="1" showErrorMessage="1" errorTitle="Ошибка" error="Допускается ввод не более 900 символов!" sqref="M683">
      <formula1>900</formula1>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textLength" operator="lessThanOrEqual" allowBlank="1" showInputMessage="1" showErrorMessage="1" errorTitle="Ошибка" error="Допускается ввод не более 900 символов!" sqref="K685">
      <formula1>900</formula1>
    </dataValidation>
    <dataValidation type="decimal" allowBlank="1" showErrorMessage="1" errorTitle="Ошибка" error="Допускается ввод только неотрицательных чисел!" sqref="AC685">
      <formula1>0</formula1>
      <formula2>9.99999999999999E+23</formula2>
    </dataValidation>
    <dataValidation type="decimal" allowBlank="1" showErrorMessage="1" errorTitle="Ошибка" error="Допускается ввод только неотрицательных чисел!" sqref="AE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textLength" operator="lessThanOrEqual" allowBlank="1" showInputMessage="1" showErrorMessage="1" errorTitle="Ошибка" error="Допускается ввод не более 900 символов!" sqref="K689">
      <formula1>900</formula1>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textLength" operator="lessThanOrEqual" allowBlank="1" showInputMessage="1" showErrorMessage="1" errorTitle="Ошибка" error="Допускается ввод не более 900 символов!" sqref="K691">
      <formula1>900</formula1>
    </dataValidation>
    <dataValidation type="textLength" operator="lessThanOrEqual" allowBlank="1" showInputMessage="1" showErrorMessage="1" errorTitle="Ошибка" error="Допускается ввод не более 900 символов!" sqref="M691">
      <formula1>900</formula1>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textLength" operator="lessThanOrEqual" allowBlank="1" showInputMessage="1" showErrorMessage="1" errorTitle="Ошибка" error="Допускается ввод не более 900 символов!" sqref="K692">
      <formula1>900</formula1>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decimal" allowBlank="1" showErrorMessage="1" errorTitle="Ошибка" error="Допускается ввод только неотрицательных чисел!" sqref="AC693">
      <formula1>0</formula1>
      <formula2>9.99999999999999E+23</formula2>
    </dataValidation>
    <dataValidation type="decimal" allowBlank="1" showErrorMessage="1" errorTitle="Ошибка" error="Допускается ввод только неотрицательных чисел!" sqref="AE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textLength" operator="lessThanOrEqual" allowBlank="1" showInputMessage="1" showErrorMessage="1" errorTitle="Ошибка" error="Допускается ввод не более 900 символов!" sqref="M698">
      <formula1>900</formula1>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decimal" allowBlank="1" showErrorMessage="1" errorTitle="Ошибка" error="Допускается ввод только неотрицательных чисел!" sqref="AC700">
      <formula1>0</formula1>
      <formula2>9.99999999999999E+23</formula2>
    </dataValidation>
    <dataValidation type="decimal" allowBlank="1" showErrorMessage="1" errorTitle="Ошибка" error="Допускается ввод только неотрицательных чисел!" sqref="AE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textLength" operator="lessThanOrEqual" allowBlank="1" showInputMessage="1" showErrorMessage="1" errorTitle="Ошибка" error="Допускается ввод не более 900 символов!" sqref="K704">
      <formula1>900</formula1>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textLength" operator="lessThanOrEqual" allowBlank="1" showInputMessage="1" showErrorMessage="1" errorTitle="Ошибка" error="Допускается ввод не более 900 символов!" sqref="M706">
      <formula1>900</formula1>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textLength" operator="lessThanOrEqual" allowBlank="1" showInputMessage="1" showErrorMessage="1" errorTitle="Ошибка" error="Допускается ввод не более 900 символов!" sqref="K707">
      <formula1>900</formula1>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decimal" allowBlank="1" showErrorMessage="1" errorTitle="Ошибка" error="Допускается ввод только неотрицательных чисел!" sqref="AC708">
      <formula1>0</formula1>
      <formula2>9.99999999999999E+23</formula2>
    </dataValidation>
    <dataValidation type="decimal" allowBlank="1" showErrorMessage="1" errorTitle="Ошибка" error="Допускается ввод только неотрицательных чисел!" sqref="AE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textLength" operator="lessThanOrEqual" allowBlank="1" showInputMessage="1" showErrorMessage="1" errorTitle="Ошибка" error="Допускается ввод не более 900 символов!" sqref="K713">
      <formula1>900</formula1>
    </dataValidation>
    <dataValidation type="textLength" operator="lessThanOrEqual" allowBlank="1" showInputMessage="1" showErrorMessage="1" errorTitle="Ошибка" error="Допускается ввод не более 900 символов!" sqref="M713">
      <formula1>900</formula1>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textLength" operator="lessThanOrEqual" allowBlank="1" showInputMessage="1" showErrorMessage="1" errorTitle="Ошибка" error="Допускается ввод не более 900 символов!" sqref="K715">
      <formula1>900</formula1>
    </dataValidation>
    <dataValidation type="decimal" allowBlank="1" showErrorMessage="1" errorTitle="Ошибка" error="Допускается ввод только неотрицательных чисел!" sqref="AC715">
      <formula1>0</formula1>
      <formula2>9.99999999999999E+23</formula2>
    </dataValidation>
    <dataValidation type="decimal" allowBlank="1" showErrorMessage="1" errorTitle="Ошибка" error="Допускается ввод только неотрицательных чисел!" sqref="AE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textLength" operator="lessThanOrEqual" allowBlank="1" showInputMessage="1" showErrorMessage="1" errorTitle="Ошибка" error="Допускается ввод не более 900 символов!" sqref="K721">
      <formula1>900</formula1>
    </dataValidation>
    <dataValidation type="textLength" operator="lessThanOrEqual" allowBlank="1" showInputMessage="1" showErrorMessage="1" errorTitle="Ошибка" error="Допускается ввод не более 900 символов!" sqref="M721">
      <formula1>900</formula1>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textLength" operator="lessThanOrEqual" allowBlank="1" showInputMessage="1" showErrorMessage="1" errorTitle="Ошибка" error="Допускается ввод не более 900 символов!" sqref="K722">
      <formula1>900</formula1>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decimal" allowBlank="1" showErrorMessage="1" errorTitle="Ошибка" error="Допускается ввод только неотрицательных чисел!" sqref="AC723">
      <formula1>0</formula1>
      <formula2>9.99999999999999E+23</formula2>
    </dataValidation>
    <dataValidation type="decimal" allowBlank="1" showErrorMessage="1" errorTitle="Ошибка" error="Допускается ввод только неотрицательных чисел!" sqref="AE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textLength" operator="lessThanOrEqual" allowBlank="1" showInputMessage="1" showErrorMessage="1" errorTitle="Ошибка" error="Допускается ввод не более 900 символов!" sqref="K727">
      <formula1>900</formula1>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textLength" operator="lessThanOrEqual" allowBlank="1" showInputMessage="1" showErrorMessage="1" errorTitle="Ошибка" error="Допускается ввод не более 900 символов!" sqref="K729">
      <formula1>900</formula1>
    </dataValidation>
    <dataValidation type="textLength" operator="lessThanOrEqual" allowBlank="1" showInputMessage="1" showErrorMessage="1" errorTitle="Ошибка" error="Допускается ввод не более 900 символов!" sqref="M729">
      <formula1>900</formula1>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textLength" operator="lessThanOrEqual" allowBlank="1" showInputMessage="1" showErrorMessage="1" errorTitle="Ошибка" error="Допускается ввод не более 900 символов!" sqref="K731">
      <formula1>900</formula1>
    </dataValidation>
    <dataValidation type="decimal" allowBlank="1" showErrorMessage="1" errorTitle="Ошибка" error="Допускается ввод только неотрицательных чисел!" sqref="AC731">
      <formula1>0</formula1>
      <formula2>9.99999999999999E+23</formula2>
    </dataValidation>
    <dataValidation type="decimal" allowBlank="1" showErrorMessage="1" errorTitle="Ошибка" error="Допускается ввод только неотрицательных чисел!" sqref="AE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textLength" operator="lessThanOrEqual" allowBlank="1" showInputMessage="1" showErrorMessage="1" errorTitle="Ошибка" error="Допускается ввод не более 900 символов!" sqref="K737">
      <formula1>900</formula1>
    </dataValidation>
    <dataValidation type="textLength" operator="lessThanOrEqual" allowBlank="1" showInputMessage="1" showErrorMessage="1" errorTitle="Ошибка" error="Допускается ввод не более 900 символов!" sqref="M737">
      <formula1>900</formula1>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decimal" allowBlank="1" showErrorMessage="1" errorTitle="Ошибка" error="Допускается ввод только неотрицательных чисел!" sqref="AC739">
      <formula1>0</formula1>
      <formula2>9.99999999999999E+23</formula2>
    </dataValidation>
    <dataValidation type="decimal" allowBlank="1" showErrorMessage="1" errorTitle="Ошибка" error="Допускается ввод только неотрицательных чисел!" sqref="AE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textLength" operator="lessThanOrEqual" allowBlank="1" showInputMessage="1" showErrorMessage="1" errorTitle="Ошибка" error="Допускается ввод не более 900 символов!" sqref="K743">
      <formula1>900</formula1>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textLength" operator="lessThanOrEqual" allowBlank="1" showInputMessage="1" showErrorMessage="1" errorTitle="Ошибка" error="Допускается ввод не более 900 символов!" sqref="K745">
      <formula1>900</formula1>
    </dataValidation>
    <dataValidation type="textLength" operator="lessThanOrEqual" allowBlank="1" showInputMessage="1" showErrorMessage="1" errorTitle="Ошибка" error="Допускается ввод не более 900 символов!" sqref="M745">
      <formula1>900</formula1>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textLength" operator="lessThanOrEqual" allowBlank="1" showInputMessage="1" showErrorMessage="1" errorTitle="Ошибка" error="Допускается ввод не более 900 символов!" sqref="K746">
      <formula1>900</formula1>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textLength" operator="lessThanOrEqual" allowBlank="1" showInputMessage="1" showErrorMessage="1" errorTitle="Ошибка" error="Допускается ввод не более 900 символов!" sqref="K747">
      <formula1>900</formula1>
    </dataValidation>
    <dataValidation type="decimal" allowBlank="1" showErrorMessage="1" errorTitle="Ошибка" error="Допускается ввод только неотрицательных чисел!" sqref="AC747">
      <formula1>0</formula1>
      <formula2>9.99999999999999E+23</formula2>
    </dataValidation>
    <dataValidation type="decimal" allowBlank="1" showErrorMessage="1" errorTitle="Ошибка" error="Допускается ввод только неотрицательных чисел!" sqref="AE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textLength" operator="lessThanOrEqual" allowBlank="1" showInputMessage="1" showErrorMessage="1" errorTitle="Ошибка" error="Допускается ввод не более 900 символов!" sqref="K753">
      <formula1>900</formula1>
    </dataValidation>
    <dataValidation type="textLength" operator="lessThanOrEqual" allowBlank="1" showInputMessage="1" showErrorMessage="1" errorTitle="Ошибка" error="Допускается ввод не более 900 символов!" sqref="M753">
      <formula1>900</formula1>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textLength" operator="lessThanOrEqual" allowBlank="1" showInputMessage="1" showErrorMessage="1" errorTitle="Ошибка" error="Допускается ввод не более 900 символов!" sqref="K754">
      <formula1>900</formula1>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decimal" allowBlank="1" showErrorMessage="1" errorTitle="Ошибка" error="Допускается ввод только неотрицательных чисел!" sqref="AC755">
      <formula1>0</formula1>
      <formula2>9.99999999999999E+23</formula2>
    </dataValidation>
    <dataValidation type="decimal" allowBlank="1" showErrorMessage="1" errorTitle="Ошибка" error="Допускается ввод только неотрицательных чисел!" sqref="AE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textLength" operator="lessThanOrEqual" allowBlank="1" showInputMessage="1" showErrorMessage="1" errorTitle="Ошибка" error="Допускается ввод не более 900 символов!" sqref="K758">
      <formula1>900</formula1>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textLength" operator="lessThanOrEqual" allowBlank="1" showInputMessage="1" showErrorMessage="1" errorTitle="Ошибка" error="Допускается ввод не более 900 символов!" sqref="K760">
      <formula1>900</formula1>
    </dataValidation>
    <dataValidation type="textLength" operator="lessThanOrEqual" allowBlank="1" showInputMessage="1" showErrorMessage="1" errorTitle="Ошибка" error="Допускается ввод не более 900 символов!" sqref="M760">
      <formula1>900</formula1>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textLength" operator="lessThanOrEqual" allowBlank="1" showInputMessage="1" showErrorMessage="1" errorTitle="Ошибка" error="Допускается ввод не более 900 символов!" sqref="K761">
      <formula1>900</formula1>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decimal" allowBlank="1" showErrorMessage="1" errorTitle="Ошибка" error="Допускается ввод только неотрицательных чисел!" sqref="AC762">
      <formula1>0</formula1>
      <formula2>9.99999999999999E+23</formula2>
    </dataValidation>
    <dataValidation type="decimal" allowBlank="1" showErrorMessage="1" errorTitle="Ошибка" error="Допускается ввод только неотрицательных чисел!" sqref="AE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textLength" operator="lessThanOrEqual" allowBlank="1" showInputMessage="1" showErrorMessage="1" errorTitle="Ошибка" error="Допускается ввод не более 900 символов!" sqref="K765">
      <formula1>900</formula1>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textLength" operator="lessThanOrEqual" allowBlank="1" showInputMessage="1" showErrorMessage="1" errorTitle="Ошибка" error="Допускается ввод не более 900 символов!" sqref="K767">
      <formula1>900</formula1>
    </dataValidation>
    <dataValidation type="textLength" operator="lessThanOrEqual" allowBlank="1" showInputMessage="1" showErrorMessage="1" errorTitle="Ошибка" error="Допускается ввод не более 900 символов!" sqref="M767">
      <formula1>900</formula1>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textLength" operator="lessThanOrEqual" allowBlank="1" showInputMessage="1" showErrorMessage="1" errorTitle="Ошибка" error="Допускается ввод не более 900 символов!" sqref="K769">
      <formula1>900</formula1>
    </dataValidation>
    <dataValidation type="decimal" allowBlank="1" showErrorMessage="1" errorTitle="Ошибка" error="Допускается ввод только неотрицательных чисел!" sqref="AC769">
      <formula1>0</formula1>
      <formula2>9.99999999999999E+23</formula2>
    </dataValidation>
    <dataValidation type="decimal" allowBlank="1" showErrorMessage="1" errorTitle="Ошибка" error="Допускается ввод только неотрицательных чисел!" sqref="AE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textLength" operator="lessThanOrEqual" allowBlank="1" showInputMessage="1" showErrorMessage="1" errorTitle="Ошибка" error="Допускается ввод не более 900 символов!" sqref="K775">
      <formula1>900</formula1>
    </dataValidation>
    <dataValidation type="textLength" operator="lessThanOrEqual" allowBlank="1" showInputMessage="1" showErrorMessage="1" errorTitle="Ошибка" error="Допускается ввод не более 900 символов!" sqref="M775">
      <formula1>900</formula1>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textLength" operator="lessThanOrEqual" allowBlank="1" showInputMessage="1" showErrorMessage="1" errorTitle="Ошибка" error="Допускается ввод не более 900 символов!" sqref="K776">
      <formula1>900</formula1>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textLength" operator="lessThanOrEqual" allowBlank="1" showInputMessage="1" showErrorMessage="1" errorTitle="Ошибка" error="Допускается ввод не более 900 символов!" sqref="K777">
      <formula1>900</formula1>
    </dataValidation>
    <dataValidation type="decimal" allowBlank="1" showErrorMessage="1" errorTitle="Ошибка" error="Допускается ввод только неотрицательных чисел!" sqref="AC777">
      <formula1>0</formula1>
      <formula2>9.99999999999999E+23</formula2>
    </dataValidation>
    <dataValidation type="decimal" allowBlank="1" showErrorMessage="1" errorTitle="Ошибка" error="Допускается ввод только неотрицательных чисел!" sqref="AE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textLength" operator="lessThanOrEqual" allowBlank="1" showInputMessage="1" showErrorMessage="1" errorTitle="Ошибка" error="Допускается ввод не более 900 символов!" sqref="K781">
      <formula1>900</formula1>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textLength" operator="lessThanOrEqual" allowBlank="1" showInputMessage="1" showErrorMessage="1" errorTitle="Ошибка" error="Допускается ввод не более 900 символов!" sqref="M783">
      <formula1>900</formula1>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textLength" operator="lessThanOrEqual" allowBlank="1" showInputMessage="1" showErrorMessage="1" errorTitle="Ошибка" error="Допускается ввод не более 900 символов!" sqref="K785">
      <formula1>900</formula1>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textLength" operator="lessThanOrEqual" allowBlank="1" showInputMessage="1" showErrorMessage="1" errorTitle="Ошибка" error="Допускается ввод не более 900 символов!" sqref="M790">
      <formula1>900</formula1>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textLength" operator="lessThanOrEqual" allowBlank="1" showInputMessage="1" showErrorMessage="1" errorTitle="Ошибка" error="Допускается ввод не более 900 символов!" sqref="K791">
      <formula1>900</formula1>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textLength" operator="lessThanOrEqual" allowBlank="1" showInputMessage="1" showErrorMessage="1" errorTitle="Ошибка" error="Допускается ввод не более 900 символов!" sqref="K792">
      <formula1>900</formula1>
    </dataValidation>
    <dataValidation type="decimal" allowBlank="1" showErrorMessage="1" errorTitle="Ошибка" error="Допускается ввод только неотрицательных чисел!" sqref="AC792">
      <formula1>0</formula1>
      <formula2>9.99999999999999E+23</formula2>
    </dataValidation>
    <dataValidation type="decimal" allowBlank="1" showErrorMessage="1" errorTitle="Ошибка" error="Допускается ввод только неотрицательных чисел!" sqref="AE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textLength" operator="lessThanOrEqual" allowBlank="1" showInputMessage="1" showErrorMessage="1" errorTitle="Ошибка" error="Допускается ввод не более 900 символов!" sqref="K796">
      <formula1>900</formula1>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textLength" operator="lessThanOrEqual" allowBlank="1" showInputMessage="1" showErrorMessage="1" errorTitle="Ошибка" error="Допускается ввод не более 900 символов!" sqref="M798">
      <formula1>900</formula1>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textLength" operator="lessThanOrEqual" allowBlank="1" showInputMessage="1" showErrorMessage="1" errorTitle="Ошибка" error="Допускается ввод не более 900 символов!" sqref="K799">
      <formula1>900</formula1>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textLength" operator="lessThanOrEqual" allowBlank="1" showInputMessage="1" showErrorMessage="1" errorTitle="Ошибка" error="Допускается ввод не более 900 символов!" sqref="K800">
      <formula1>900</formula1>
    </dataValidation>
    <dataValidation type="decimal" allowBlank="1" showErrorMessage="1" errorTitle="Ошибка" error="Допускается ввод только неотрицательных чисел!" sqref="AC800">
      <formula1>0</formula1>
      <formula2>9.99999999999999E+23</formula2>
    </dataValidation>
    <dataValidation type="decimal" allowBlank="1" showErrorMessage="1" errorTitle="Ошибка" error="Допускается ввод только неотрицательных чисел!" sqref="AE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textLength" operator="lessThanOrEqual" allowBlank="1" showInputMessage="1" showErrorMessage="1" errorTitle="Ошибка" error="Допускается ввод не более 900 символов!" sqref="K803">
      <formula1>900</formula1>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textLength" operator="lessThanOrEqual" allowBlank="1" showInputMessage="1" showErrorMessage="1" errorTitle="Ошибка" error="Допускается ввод не более 900 символов!" sqref="K805">
      <formula1>900</formula1>
    </dataValidation>
    <dataValidation type="textLength" operator="lessThanOrEqual" allowBlank="1" showInputMessage="1" showErrorMessage="1" errorTitle="Ошибка" error="Допускается ввод не более 900 символов!" sqref="M805">
      <formula1>900</formula1>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textLength" operator="lessThanOrEqual" allowBlank="1" showInputMessage="1" showErrorMessage="1" errorTitle="Ошибка" error="Допускается ввод не более 900 символов!" sqref="K806">
      <formula1>900</formula1>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textLength" operator="lessThanOrEqual" allowBlank="1" showInputMessage="1" showErrorMessage="1" errorTitle="Ошибка" error="Допускается ввод не более 900 символов!" sqref="K807">
      <formula1>900</formula1>
    </dataValidation>
    <dataValidation type="decimal" allowBlank="1" showErrorMessage="1" errorTitle="Ошибка" error="Допускается ввод только неотрицательных чисел!" sqref="AC807">
      <formula1>0</formula1>
      <formula2>9.99999999999999E+23</formula2>
    </dataValidation>
    <dataValidation type="decimal" allowBlank="1" showErrorMessage="1" errorTitle="Ошибка" error="Допускается ввод только неотрицательных чисел!" sqref="AE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textLength" operator="lessThanOrEqual" allowBlank="1" showInputMessage="1" showErrorMessage="1" errorTitle="Ошибка" error="Допускается ввод не более 900 символов!" sqref="K810">
      <formula1>900</formula1>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textLength" operator="lessThanOrEqual" allowBlank="1" showInputMessage="1" showErrorMessage="1" errorTitle="Ошибка" error="Допускается ввод не более 900 символов!" sqref="K812">
      <formula1>900</formula1>
    </dataValidation>
    <dataValidation type="textLength" operator="lessThanOrEqual" allowBlank="1" showInputMessage="1" showErrorMessage="1" errorTitle="Ошибка" error="Допускается ввод не более 900 символов!" sqref="M812">
      <formula1>900</formula1>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textLength" operator="lessThanOrEqual" allowBlank="1" showInputMessage="1" showErrorMessage="1" errorTitle="Ошибка" error="Допускается ввод не более 900 символов!" sqref="K813">
      <formula1>900</formula1>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textLength" operator="lessThanOrEqual" allowBlank="1" showInputMessage="1" showErrorMessage="1" errorTitle="Ошибка" error="Допускается ввод не более 900 символов!" sqref="K814">
      <formula1>900</formula1>
    </dataValidation>
    <dataValidation type="decimal" allowBlank="1" showErrorMessage="1" errorTitle="Ошибка" error="Допускается ввод только неотрицательных чисел!" sqref="AC814">
      <formula1>0</formula1>
      <formula2>9.99999999999999E+23</formula2>
    </dataValidation>
    <dataValidation type="decimal" allowBlank="1" showErrorMessage="1" errorTitle="Ошибка" error="Допускается ввод только неотрицательных чисел!" sqref="AE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textLength" operator="lessThanOrEqual" allowBlank="1" showInputMessage="1" showErrorMessage="1" errorTitle="Ошибка" error="Допускается ввод не более 900 символов!" sqref="K818">
      <formula1>900</formula1>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textLength" operator="lessThanOrEqual" allowBlank="1" showInputMessage="1" showErrorMessage="1" errorTitle="Ошибка" error="Допускается ввод не более 900 символов!" sqref="K820">
      <formula1>900</formula1>
    </dataValidation>
    <dataValidation type="textLength" operator="lessThanOrEqual" allowBlank="1" showInputMessage="1" showErrorMessage="1" errorTitle="Ошибка" error="Допускается ввод не более 900 символов!" sqref="M820">
      <formula1>900</formula1>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textLength" operator="lessThanOrEqual" allowBlank="1" showInputMessage="1" showErrorMessage="1" errorTitle="Ошибка" error="Допускается ввод не более 900 символов!" sqref="K821">
      <formula1>900</formula1>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textLength" operator="lessThanOrEqual" allowBlank="1" showInputMessage="1" showErrorMessage="1" errorTitle="Ошибка" error="Допускается ввод не более 900 символов!" sqref="K822">
      <formula1>900</formula1>
    </dataValidation>
    <dataValidation type="decimal" allowBlank="1" showErrorMessage="1" errorTitle="Ошибка" error="Допускается ввод только неотрицательных чисел!" sqref="AC822">
      <formula1>0</formula1>
      <formula2>9.99999999999999E+23</formula2>
    </dataValidation>
    <dataValidation type="decimal" allowBlank="1" showErrorMessage="1" errorTitle="Ошибка" error="Допускается ввод только неотрицательных чисел!" sqref="AE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textLength" operator="lessThanOrEqual" allowBlank="1" showInputMessage="1" showErrorMessage="1" errorTitle="Ошибка" error="Допускается ввод не более 900 символов!" sqref="K825">
      <formula1>900</formula1>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textLength" operator="lessThanOrEqual" allowBlank="1" showInputMessage="1" showErrorMessage="1" errorTitle="Ошибка" error="Допускается ввод не более 900 символов!" sqref="K827">
      <formula1>900</formula1>
    </dataValidation>
    <dataValidation type="textLength" operator="lessThanOrEqual" allowBlank="1" showInputMessage="1" showErrorMessage="1" errorTitle="Ошибка" error="Допускается ввод не более 900 символов!" sqref="M827">
      <formula1>900</formula1>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textLength" operator="lessThanOrEqual" allowBlank="1" showInputMessage="1" showErrorMessage="1" errorTitle="Ошибка" error="Допускается ввод не более 900 символов!" sqref="K828">
      <formula1>900</formula1>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textLength" operator="lessThanOrEqual" allowBlank="1" showInputMessage="1" showErrorMessage="1" errorTitle="Ошибка" error="Допускается ввод не более 900 символов!" sqref="K829">
      <formula1>900</formula1>
    </dataValidation>
    <dataValidation type="decimal" allowBlank="1" showErrorMessage="1" errorTitle="Ошибка" error="Допускается ввод только неотрицательных чисел!" sqref="AC829">
      <formula1>0</formula1>
      <formula2>9.99999999999999E+23</formula2>
    </dataValidation>
    <dataValidation type="decimal" allowBlank="1" showErrorMessage="1" errorTitle="Ошибка" error="Допускается ввод только неотрицательных чисел!" sqref="AE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textLength" operator="lessThanOrEqual" allowBlank="1" showInputMessage="1" showErrorMessage="1" errorTitle="Ошибка" error="Допускается ввод не более 900 символов!" sqref="M834">
      <formula1>900</formula1>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textLength" operator="lessThanOrEqual" allowBlank="1" showInputMessage="1" showErrorMessage="1" errorTitle="Ошибка" error="Допускается ввод не более 900 символов!" sqref="K836">
      <formula1>900</formula1>
    </dataValidation>
    <dataValidation type="decimal" allowBlank="1" showErrorMessage="1" errorTitle="Ошибка" error="Допускается ввод только неотрицательных чисел!" sqref="AC836">
      <formula1>0</formula1>
      <formula2>9.99999999999999E+23</formula2>
    </dataValidation>
    <dataValidation type="decimal" allowBlank="1" showErrorMessage="1" errorTitle="Ошибка" error="Допускается ввод только неотрицательных чисел!" sqref="AE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textLength" operator="lessThanOrEqual" allowBlank="1" showInputMessage="1" showErrorMessage="1" errorTitle="Ошибка" error="Допускается ввод не более 900 символов!" sqref="K842">
      <formula1>900</formula1>
    </dataValidation>
    <dataValidation type="textLength" operator="lessThanOrEqual" allowBlank="1" showInputMessage="1" showErrorMessage="1" errorTitle="Ошибка" error="Допускается ввод не более 900 символов!" sqref="M842">
      <formula1>900</formula1>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textLength" operator="lessThanOrEqual" allowBlank="1" showInputMessage="1" showErrorMessage="1" errorTitle="Ошибка" error="Допускается ввод не более 900 символов!" sqref="K843">
      <formula1>900</formula1>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decimal" allowBlank="1" showErrorMessage="1" errorTitle="Ошибка" error="Допускается ввод только неотрицательных чисел!" sqref="AC844">
      <formula1>0</formula1>
      <formula2>9.99999999999999E+23</formula2>
    </dataValidation>
    <dataValidation type="decimal" allowBlank="1" showErrorMessage="1" errorTitle="Ошибка" error="Допускается ввод только неотрицательных чисел!" sqref="AE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textLength" operator="lessThanOrEqual" allowBlank="1" showInputMessage="1" showErrorMessage="1" errorTitle="Ошибка" error="Допускается ввод не более 900 символов!" sqref="K847">
      <formula1>900</formula1>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P59"/>
  <sheetViews>
    <sheetView showGridLines="0" zoomScale="85" workbookViewId="0">
      <pane xSplit="9" ySplit="13" topLeftCell="J14" activePane="bottomRight" state="frozen"/>
      <selection pane="topRight" activeCell="J1" sqref="J1"/>
      <selection pane="bottomLeft" activeCell="A14" sqref="A14"/>
      <selection pane="bottomRight" activeCell="AB1" sqref="AB1:AB59"/>
    </sheetView>
  </sheetViews>
  <sheetFormatPr defaultColWidth="9.140625" defaultRowHeight="10.5" customHeight="1"/>
  <cols>
    <col min="1" max="4" width="4.140625" style="1030" hidden="1" customWidth="1"/>
    <col min="5" max="5" width="3" style="1030" customWidth="1"/>
    <col min="6" max="6" width="6" style="1030" customWidth="1"/>
    <col min="7" max="7" width="60" style="1030" customWidth="1"/>
    <col min="8" max="9" width="21.7109375" style="1030" hidden="1" customWidth="1"/>
    <col min="10" max="10" width="0.140625" style="1030" customWidth="1"/>
    <col min="11" max="28" width="21.7109375" style="1030" hidden="1" customWidth="1"/>
    <col min="29" max="29" width="0.140625" style="1030" customWidth="1"/>
    <col min="30" max="30" width="1" style="1030" customWidth="1"/>
    <col min="31" max="41" width="8" style="1030" customWidth="1"/>
    <col min="42" max="42" width="9.140625" style="1030" hidden="1"/>
  </cols>
  <sheetData>
    <row r="1" spans="5:42" ht="10.5" hidden="1" customHeight="1">
      <c r="K1"/>
      <c r="L1"/>
      <c r="M1"/>
      <c r="N1"/>
      <c r="O1"/>
      <c r="P1"/>
      <c r="Q1"/>
      <c r="R1"/>
      <c r="S1"/>
      <c r="T1"/>
      <c r="U1"/>
      <c r="V1"/>
      <c r="W1"/>
      <c r="X1"/>
      <c r="Y1"/>
      <c r="Z1"/>
      <c r="AA1"/>
      <c r="AB1"/>
      <c r="AC1"/>
      <c r="AP1" s="556" t="s">
        <v>14</v>
      </c>
    </row>
    <row r="2" spans="5:42" ht="10.5" hidden="1" customHeight="1">
      <c r="K2"/>
      <c r="L2"/>
      <c r="M2"/>
      <c r="N2"/>
      <c r="O2"/>
      <c r="P2"/>
      <c r="Q2"/>
      <c r="R2"/>
      <c r="S2"/>
      <c r="T2"/>
      <c r="U2"/>
      <c r="V2"/>
      <c r="W2"/>
      <c r="X2"/>
      <c r="Y2"/>
      <c r="Z2"/>
      <c r="AA2"/>
      <c r="AB2"/>
      <c r="AC2"/>
      <c r="AP2" s="539">
        <v>0</v>
      </c>
    </row>
    <row r="3" spans="5:42" ht="10.5" hidden="1" customHeight="1">
      <c r="K3"/>
      <c r="L3"/>
      <c r="M3"/>
      <c r="N3"/>
      <c r="O3"/>
      <c r="P3"/>
      <c r="Q3"/>
      <c r="R3"/>
      <c r="S3"/>
      <c r="T3"/>
      <c r="U3"/>
      <c r="V3"/>
      <c r="W3"/>
      <c r="X3"/>
      <c r="Y3"/>
      <c r="Z3"/>
      <c r="AA3"/>
      <c r="AB3"/>
      <c r="AC3"/>
      <c r="AP3" s="537">
        <v>0</v>
      </c>
    </row>
    <row r="4" spans="5:42" ht="3" customHeight="1">
      <c r="K4"/>
      <c r="L4"/>
      <c r="M4"/>
      <c r="N4"/>
      <c r="O4"/>
      <c r="P4"/>
      <c r="Q4"/>
      <c r="R4"/>
      <c r="S4"/>
      <c r="T4"/>
      <c r="U4"/>
      <c r="V4"/>
      <c r="W4"/>
      <c r="X4"/>
      <c r="Y4"/>
      <c r="Z4"/>
      <c r="AA4"/>
      <c r="AB4"/>
      <c r="AC4"/>
      <c r="AP4" s="539">
        <v>3</v>
      </c>
    </row>
    <row r="5" spans="5:42" ht="27.4" customHeight="1">
      <c r="F5" s="117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174"/>
      <c r="H5" s="1174"/>
      <c r="I5" s="1174"/>
      <c r="J5" s="1174"/>
      <c r="K5" s="125"/>
      <c r="L5" s="125"/>
      <c r="M5" s="125"/>
      <c r="N5" s="125"/>
      <c r="O5" s="125"/>
      <c r="P5" s="125"/>
      <c r="Q5" s="125"/>
      <c r="R5" s="125"/>
      <c r="S5" s="125"/>
      <c r="T5" s="125"/>
      <c r="U5" s="125"/>
      <c r="V5" s="125"/>
      <c r="W5" s="125"/>
      <c r="X5" s="125"/>
      <c r="Y5" s="125"/>
      <c r="Z5" s="125"/>
      <c r="AA5" s="125"/>
      <c r="AB5" s="125"/>
      <c r="AC5" s="125"/>
      <c r="AP5" s="539">
        <v>26</v>
      </c>
    </row>
    <row r="6" spans="5:42" ht="10.5" customHeight="1">
      <c r="F6" s="1148" t="str">
        <f>IF(org=0,"Не определено",org)</f>
        <v>АО "НИЖЕГОРОДСКИЙ ВОДОКАНАЛ"</v>
      </c>
      <c r="G6" s="1148"/>
      <c r="H6" s="1148"/>
      <c r="I6" s="1148"/>
      <c r="J6" s="1148"/>
      <c r="K6" s="77"/>
      <c r="L6" s="77"/>
      <c r="M6" s="77"/>
      <c r="N6" s="77"/>
      <c r="O6" s="77"/>
      <c r="P6" s="77"/>
      <c r="Q6" s="77"/>
      <c r="R6" s="77"/>
      <c r="S6" s="77"/>
      <c r="T6" s="77"/>
      <c r="U6" s="77"/>
      <c r="V6" s="77"/>
      <c r="W6" s="77"/>
      <c r="X6" s="77"/>
      <c r="Y6" s="77"/>
      <c r="Z6" s="77"/>
      <c r="AA6" s="77"/>
      <c r="AB6" s="77"/>
      <c r="AC6" s="77"/>
      <c r="AP6" s="539">
        <v>10</v>
      </c>
    </row>
    <row r="7" spans="5:42" ht="11.45" customHeight="1">
      <c r="E7" s="557"/>
      <c r="F7" s="961"/>
      <c r="G7" s="961"/>
      <c r="H7" s="961"/>
      <c r="I7" s="961"/>
      <c r="J7" s="961"/>
      <c r="K7" s="465" t="s">
        <v>22</v>
      </c>
      <c r="L7" s="465"/>
      <c r="M7" s="465" t="s">
        <v>22</v>
      </c>
      <c r="N7" s="465" t="s">
        <v>22</v>
      </c>
      <c r="O7" s="465" t="s">
        <v>22</v>
      </c>
      <c r="P7" s="465" t="s">
        <v>22</v>
      </c>
      <c r="Q7" s="465" t="s">
        <v>22</v>
      </c>
      <c r="R7" s="465" t="s">
        <v>22</v>
      </c>
      <c r="S7" s="465" t="s">
        <v>22</v>
      </c>
      <c r="T7" s="465" t="s">
        <v>22</v>
      </c>
      <c r="U7" s="465" t="s">
        <v>22</v>
      </c>
      <c r="V7" s="465" t="s">
        <v>22</v>
      </c>
      <c r="W7" s="465" t="s">
        <v>22</v>
      </c>
      <c r="X7" s="465" t="s">
        <v>22</v>
      </c>
      <c r="Y7" s="465" t="s">
        <v>22</v>
      </c>
      <c r="Z7" s="465" t="s">
        <v>22</v>
      </c>
      <c r="AA7" s="465" t="s">
        <v>22</v>
      </c>
      <c r="AB7" s="465" t="s">
        <v>22</v>
      </c>
      <c r="AC7" s="465"/>
      <c r="AP7" s="539">
        <v>11</v>
      </c>
    </row>
    <row r="8" spans="5:42" ht="4.1500000000000004" customHeight="1">
      <c r="F8" s="962"/>
      <c r="G8" s="962"/>
      <c r="H8" s="962"/>
      <c r="I8" s="962"/>
      <c r="J8" s="962"/>
      <c r="K8" s="466" t="s">
        <v>1019</v>
      </c>
      <c r="L8" s="466"/>
      <c r="M8" s="466"/>
      <c r="N8" s="466"/>
      <c r="O8" s="466"/>
      <c r="P8" s="466"/>
      <c r="Q8" s="466"/>
      <c r="R8" s="466"/>
      <c r="S8" s="466"/>
      <c r="T8" s="466"/>
      <c r="U8" s="466"/>
      <c r="V8" s="466"/>
      <c r="W8" s="466"/>
      <c r="X8" s="466"/>
      <c r="Y8" s="466"/>
      <c r="Z8" s="466"/>
      <c r="AA8" s="466"/>
      <c r="AB8" s="466"/>
      <c r="AC8" s="466"/>
      <c r="AP8" s="578">
        <v>4</v>
      </c>
    </row>
    <row r="9" spans="5:42" ht="10.5" customHeight="1">
      <c r="E9" s="557"/>
      <c r="F9" s="1366" t="s">
        <v>308</v>
      </c>
      <c r="G9" s="1367"/>
      <c r="H9" s="1367"/>
      <c r="I9" s="1367"/>
      <c r="J9" s="1367"/>
      <c r="K9" s="467"/>
      <c r="L9" s="467"/>
      <c r="M9" s="467"/>
      <c r="N9" s="467"/>
      <c r="O9" s="467"/>
      <c r="P9" s="467"/>
      <c r="Q9" s="467"/>
      <c r="R9" s="467"/>
      <c r="S9" s="467"/>
      <c r="T9" s="467"/>
      <c r="U9" s="467"/>
      <c r="V9" s="467"/>
      <c r="W9" s="467"/>
      <c r="X9" s="467"/>
      <c r="Y9" s="467"/>
      <c r="Z9" s="467"/>
      <c r="AA9" s="467"/>
      <c r="AB9" s="467"/>
      <c r="AC9" s="467"/>
      <c r="AD9" s="963"/>
      <c r="AP9" s="539">
        <v>10</v>
      </c>
    </row>
    <row r="10" spans="5:42" ht="25.15" customHeight="1">
      <c r="F10" s="1370" t="s">
        <v>87</v>
      </c>
      <c r="G10" s="1374" t="s">
        <v>1206</v>
      </c>
      <c r="H10" s="1305" t="s">
        <v>1207</v>
      </c>
      <c r="I10" s="1305"/>
      <c r="J10" s="1305"/>
      <c r="K10" s="1305" t="s">
        <v>1207</v>
      </c>
      <c r="L10" s="1305"/>
      <c r="M10" s="1305"/>
      <c r="N10" s="1305"/>
      <c r="O10" s="1305"/>
      <c r="P10" s="1305"/>
      <c r="Q10" s="1305"/>
      <c r="R10" s="1305"/>
      <c r="S10" s="1305"/>
      <c r="T10" s="1305"/>
      <c r="U10" s="1305"/>
      <c r="V10" s="1305"/>
      <c r="W10" s="1305"/>
      <c r="X10" s="1305"/>
      <c r="Y10" s="1305"/>
      <c r="Z10" s="1305"/>
      <c r="AA10" s="1305"/>
      <c r="AB10" s="1305"/>
      <c r="AC10" s="1305"/>
      <c r="AD10" s="468"/>
      <c r="AP10" s="539">
        <v>24</v>
      </c>
    </row>
    <row r="11" spans="5:42" ht="25.5" customHeight="1">
      <c r="F11" s="1371"/>
      <c r="G11" s="1374"/>
      <c r="H11" s="1373" t="e">
        <f>INDEX(IP_MAIN_LIST_NAME_IP,MATCH(H8,IP_MAIN_LIST_IP_ID,0))&amp;" ("&amp;INDEX(IP_MAIN_START_DATE,MATCH(H8,IP_MAIN_LIST_IP_ID,0))&amp;"-"&amp;INDEX(IP_MAIN_END_DATE,MATCH(H8,IP_MAIN_LIST_IP_ID,0))&amp;")"</f>
        <v>#N/A</v>
      </c>
      <c r="I11" s="1373"/>
      <c r="J11" s="1373"/>
      <c r="K11" s="1373" t="str">
        <f>INDEX(IP_MAIN_LIST_NAME_IP,MATCH(K8,IP_MAIN_LIST_IP_ID,0))&amp;" ("&amp;INDEX(IP_MAIN_START_DATE,MATCH(K8,IP_MAIN_LIST_IP_ID,0))&amp;"-"&amp;INDEX(IP_MAIN_END_DATE,MATCH(K8,IP_MAIN_LIST_IP_ID,0))&amp;")"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L11" s="1373"/>
      <c r="M11" s="1373"/>
      <c r="N11" s="1373"/>
      <c r="O11" s="1373"/>
      <c r="P11" s="1373"/>
      <c r="Q11" s="1373"/>
      <c r="R11" s="1373"/>
      <c r="S11" s="1373"/>
      <c r="T11" s="1373"/>
      <c r="U11" s="1373"/>
      <c r="V11" s="1373"/>
      <c r="W11" s="1373"/>
      <c r="X11" s="1373"/>
      <c r="Y11" s="1373"/>
      <c r="Z11" s="1373"/>
      <c r="AA11" s="1373"/>
      <c r="AB11" s="1373"/>
      <c r="AC11" s="1373"/>
      <c r="AD11" s="468"/>
      <c r="AP11" s="539">
        <v>24</v>
      </c>
    </row>
    <row r="12" spans="5:42" ht="10.5" customHeight="1">
      <c r="F12" s="1372"/>
      <c r="G12" s="1374"/>
      <c r="H12" s="65" t="s">
        <v>1208</v>
      </c>
      <c r="I12" s="469"/>
      <c r="J12" s="65"/>
      <c r="K12" s="65" t="s">
        <v>1208</v>
      </c>
      <c r="L12" s="469">
        <v>2014</v>
      </c>
      <c r="M12" s="469">
        <v>2015</v>
      </c>
      <c r="N12" s="469">
        <v>2016</v>
      </c>
      <c r="O12" s="469">
        <v>2017</v>
      </c>
      <c r="P12" s="469">
        <v>2018</v>
      </c>
      <c r="Q12" s="469">
        <v>2019</v>
      </c>
      <c r="R12" s="469">
        <v>2020</v>
      </c>
      <c r="S12" s="469">
        <v>2021</v>
      </c>
      <c r="T12" s="469">
        <v>2022</v>
      </c>
      <c r="U12" s="469">
        <v>2023</v>
      </c>
      <c r="V12" s="469">
        <v>2024</v>
      </c>
      <c r="W12" s="469">
        <v>2025</v>
      </c>
      <c r="X12" s="469">
        <v>2026</v>
      </c>
      <c r="Y12" s="469">
        <v>2027</v>
      </c>
      <c r="Z12" s="469">
        <v>2028</v>
      </c>
      <c r="AA12" s="469">
        <v>2029</v>
      </c>
      <c r="AB12" s="469">
        <v>2030</v>
      </c>
      <c r="AC12" s="65"/>
      <c r="AD12" s="772"/>
      <c r="AP12" s="539">
        <v>10</v>
      </c>
    </row>
    <row r="13" spans="5:42" ht="10.5" hidden="1" customHeight="1">
      <c r="F13" s="65">
        <v>1</v>
      </c>
      <c r="G13" s="65">
        <v>2</v>
      </c>
      <c r="H13" s="65">
        <v>3</v>
      </c>
      <c r="I13" s="65">
        <v>4</v>
      </c>
      <c r="J13" s="65">
        <v>5</v>
      </c>
      <c r="K13" s="65">
        <v>3</v>
      </c>
      <c r="L13" s="65">
        <v>4</v>
      </c>
      <c r="M13" s="65">
        <v>4</v>
      </c>
      <c r="N13" s="65">
        <v>4</v>
      </c>
      <c r="O13" s="65">
        <v>4</v>
      </c>
      <c r="P13" s="65">
        <v>4</v>
      </c>
      <c r="Q13" s="65">
        <v>4</v>
      </c>
      <c r="R13" s="65">
        <v>4</v>
      </c>
      <c r="S13" s="65">
        <v>4</v>
      </c>
      <c r="T13" s="65">
        <v>4</v>
      </c>
      <c r="U13" s="65">
        <v>4</v>
      </c>
      <c r="V13" s="65">
        <v>4</v>
      </c>
      <c r="W13" s="65">
        <v>4</v>
      </c>
      <c r="X13" s="65">
        <v>4</v>
      </c>
      <c r="Y13" s="65">
        <v>4</v>
      </c>
      <c r="Z13" s="65">
        <v>4</v>
      </c>
      <c r="AA13" s="65">
        <v>4</v>
      </c>
      <c r="AB13" s="65">
        <v>4</v>
      </c>
      <c r="AC13" s="65">
        <v>5</v>
      </c>
      <c r="AD13" s="772"/>
      <c r="AP13" s="539">
        <v>0</v>
      </c>
    </row>
    <row r="14" spans="5:42" ht="11.45" customHeight="1">
      <c r="F14" s="113" t="s">
        <v>1209</v>
      </c>
      <c r="G14" s="1368" t="s">
        <v>1210</v>
      </c>
      <c r="H14" s="1368"/>
      <c r="I14" s="1368"/>
      <c r="J14" s="1368"/>
      <c r="K14" s="394"/>
      <c r="L14" s="394"/>
      <c r="M14" s="394"/>
      <c r="N14" s="394"/>
      <c r="O14" s="394"/>
      <c r="P14" s="394"/>
      <c r="Q14" s="394"/>
      <c r="R14" s="394"/>
      <c r="S14" s="394"/>
      <c r="T14" s="394"/>
      <c r="U14" s="394"/>
      <c r="V14" s="394"/>
      <c r="W14" s="394"/>
      <c r="X14" s="394"/>
      <c r="Y14" s="394"/>
      <c r="Z14" s="394"/>
      <c r="AA14" s="394"/>
      <c r="AB14" s="394"/>
      <c r="AC14" s="394"/>
      <c r="AD14" s="772"/>
      <c r="AP14" s="539">
        <v>11</v>
      </c>
    </row>
    <row r="15" spans="5:42" ht="11.45" customHeight="1">
      <c r="F15" s="65">
        <v>1</v>
      </c>
      <c r="G15" s="102" t="s">
        <v>1211</v>
      </c>
      <c r="H15" s="274">
        <f t="shared" ref="H15:H36" si="0">SUM(I15:J15)</f>
        <v>0</v>
      </c>
      <c r="I15" s="274">
        <f>SUM(I16:I27)</f>
        <v>0</v>
      </c>
      <c r="J15" s="113"/>
      <c r="K15" s="274">
        <f t="shared" ref="K15:K36" si="1">SUM(L15:AC15)</f>
        <v>0</v>
      </c>
      <c r="L15" s="274">
        <f t="shared" ref="L15:AB15" si="2">SUM(L16:L27)</f>
        <v>0</v>
      </c>
      <c r="M15" s="274">
        <f t="shared" si="2"/>
        <v>0</v>
      </c>
      <c r="N15" s="274">
        <f t="shared" si="2"/>
        <v>0</v>
      </c>
      <c r="O15" s="274">
        <f t="shared" si="2"/>
        <v>0</v>
      </c>
      <c r="P15" s="274">
        <f t="shared" si="2"/>
        <v>0</v>
      </c>
      <c r="Q15" s="274">
        <f t="shared" si="2"/>
        <v>0</v>
      </c>
      <c r="R15" s="274">
        <f t="shared" si="2"/>
        <v>0</v>
      </c>
      <c r="S15" s="274">
        <f t="shared" si="2"/>
        <v>0</v>
      </c>
      <c r="T15" s="274">
        <f t="shared" si="2"/>
        <v>0</v>
      </c>
      <c r="U15" s="274">
        <f t="shared" si="2"/>
        <v>0</v>
      </c>
      <c r="V15" s="274">
        <f t="shared" si="2"/>
        <v>0</v>
      </c>
      <c r="W15" s="274">
        <f t="shared" si="2"/>
        <v>0</v>
      </c>
      <c r="X15" s="274">
        <f t="shared" si="2"/>
        <v>0</v>
      </c>
      <c r="Y15" s="274">
        <f t="shared" si="2"/>
        <v>0</v>
      </c>
      <c r="Z15" s="274">
        <f t="shared" si="2"/>
        <v>0</v>
      </c>
      <c r="AA15" s="274">
        <f t="shared" si="2"/>
        <v>0</v>
      </c>
      <c r="AB15" s="274">
        <f t="shared" si="2"/>
        <v>0</v>
      </c>
      <c r="AC15" s="113"/>
      <c r="AD15" s="772"/>
      <c r="AP15" s="539">
        <v>11</v>
      </c>
    </row>
    <row r="16" spans="5:42" ht="24" customHeight="1">
      <c r="F16" s="65" t="s">
        <v>1212</v>
      </c>
      <c r="G16" s="433" t="s">
        <v>1213</v>
      </c>
      <c r="H16" s="274">
        <f t="shared" si="0"/>
        <v>0</v>
      </c>
      <c r="I16" s="470"/>
      <c r="J16" s="113"/>
      <c r="K16" s="274">
        <f t="shared" si="1"/>
        <v>0</v>
      </c>
      <c r="L16" s="470"/>
      <c r="M16" s="470"/>
      <c r="N16" s="470"/>
      <c r="O16" s="470"/>
      <c r="P16" s="470"/>
      <c r="Q16" s="470"/>
      <c r="R16" s="470"/>
      <c r="S16" s="470"/>
      <c r="T16" s="470"/>
      <c r="U16" s="470"/>
      <c r="V16" s="470"/>
      <c r="W16" s="470"/>
      <c r="X16" s="470"/>
      <c r="Y16" s="470"/>
      <c r="Z16" s="470"/>
      <c r="AA16" s="470"/>
      <c r="AB16" s="470"/>
      <c r="AC16" s="113"/>
      <c r="AD16" s="772"/>
      <c r="AP16" s="539">
        <v>23</v>
      </c>
    </row>
    <row r="17" spans="6:42" ht="24" customHeight="1">
      <c r="F17" s="65" t="s">
        <v>1214</v>
      </c>
      <c r="G17" s="433" t="s">
        <v>1215</v>
      </c>
      <c r="H17" s="274">
        <f t="shared" si="0"/>
        <v>0</v>
      </c>
      <c r="I17" s="470"/>
      <c r="J17" s="113"/>
      <c r="K17" s="274">
        <f t="shared" si="1"/>
        <v>0</v>
      </c>
      <c r="L17" s="470"/>
      <c r="M17" s="470"/>
      <c r="N17" s="470"/>
      <c r="O17" s="470"/>
      <c r="P17" s="470"/>
      <c r="Q17" s="470"/>
      <c r="R17" s="470"/>
      <c r="S17" s="470"/>
      <c r="T17" s="470"/>
      <c r="U17" s="470"/>
      <c r="V17" s="470"/>
      <c r="W17" s="470"/>
      <c r="X17" s="470"/>
      <c r="Y17" s="470"/>
      <c r="Z17" s="470"/>
      <c r="AA17" s="470"/>
      <c r="AB17" s="470"/>
      <c r="AC17" s="113"/>
      <c r="AD17" s="772"/>
      <c r="AP17" s="539">
        <v>23</v>
      </c>
    </row>
    <row r="18" spans="6:42" ht="35.65" customHeight="1">
      <c r="F18" s="65" t="s">
        <v>1216</v>
      </c>
      <c r="G18" s="433" t="s">
        <v>1217</v>
      </c>
      <c r="H18" s="274">
        <f t="shared" si="0"/>
        <v>0</v>
      </c>
      <c r="I18" s="470"/>
      <c r="J18" s="113"/>
      <c r="K18" s="274">
        <f t="shared" si="1"/>
        <v>0</v>
      </c>
      <c r="L18" s="470"/>
      <c r="M18" s="470"/>
      <c r="N18" s="470"/>
      <c r="O18" s="470"/>
      <c r="P18" s="470"/>
      <c r="Q18" s="470"/>
      <c r="R18" s="470"/>
      <c r="S18" s="470"/>
      <c r="T18" s="470"/>
      <c r="U18" s="470"/>
      <c r="V18" s="470"/>
      <c r="W18" s="470"/>
      <c r="X18" s="470"/>
      <c r="Y18" s="470"/>
      <c r="Z18" s="470"/>
      <c r="AA18" s="470"/>
      <c r="AB18" s="470"/>
      <c r="AC18" s="113"/>
      <c r="AD18" s="772"/>
      <c r="AP18" s="539">
        <v>34</v>
      </c>
    </row>
    <row r="19" spans="6:42" ht="35.65" customHeight="1">
      <c r="F19" s="65" t="s">
        <v>1218</v>
      </c>
      <c r="G19" s="433" t="s">
        <v>1219</v>
      </c>
      <c r="H19" s="274">
        <f t="shared" si="0"/>
        <v>0</v>
      </c>
      <c r="I19" s="470"/>
      <c r="J19" s="113"/>
      <c r="K19" s="274">
        <f t="shared" si="1"/>
        <v>0</v>
      </c>
      <c r="L19" s="470"/>
      <c r="M19" s="470"/>
      <c r="N19" s="470"/>
      <c r="O19" s="470"/>
      <c r="P19" s="470"/>
      <c r="Q19" s="470"/>
      <c r="R19" s="470"/>
      <c r="S19" s="470"/>
      <c r="T19" s="470"/>
      <c r="U19" s="470"/>
      <c r="V19" s="470"/>
      <c r="W19" s="470"/>
      <c r="X19" s="470"/>
      <c r="Y19" s="470"/>
      <c r="Z19" s="470"/>
      <c r="AA19" s="470"/>
      <c r="AB19" s="470"/>
      <c r="AC19" s="113"/>
      <c r="AD19" s="772"/>
      <c r="AP19" s="539">
        <v>34</v>
      </c>
    </row>
    <row r="20" spans="6:42" ht="48.2" customHeight="1">
      <c r="F20" s="65" t="s">
        <v>1220</v>
      </c>
      <c r="G20" s="433" t="s">
        <v>1221</v>
      </c>
      <c r="H20" s="274">
        <f t="shared" si="0"/>
        <v>0</v>
      </c>
      <c r="I20" s="470"/>
      <c r="J20" s="113"/>
      <c r="K20" s="274">
        <f t="shared" si="1"/>
        <v>0</v>
      </c>
      <c r="L20" s="470"/>
      <c r="M20" s="470"/>
      <c r="N20" s="470"/>
      <c r="O20" s="470"/>
      <c r="P20" s="470"/>
      <c r="Q20" s="470"/>
      <c r="R20" s="470"/>
      <c r="S20" s="470"/>
      <c r="T20" s="470"/>
      <c r="U20" s="470"/>
      <c r="V20" s="470"/>
      <c r="W20" s="470"/>
      <c r="X20" s="470"/>
      <c r="Y20" s="470"/>
      <c r="Z20" s="470"/>
      <c r="AA20" s="470"/>
      <c r="AB20" s="470"/>
      <c r="AC20" s="113"/>
      <c r="AD20" s="772"/>
      <c r="AP20" s="539">
        <v>46</v>
      </c>
    </row>
    <row r="21" spans="6:42" ht="35.65" customHeight="1">
      <c r="F21" s="65" t="s">
        <v>1222</v>
      </c>
      <c r="G21" s="433" t="s">
        <v>1223</v>
      </c>
      <c r="H21" s="274">
        <f t="shared" si="0"/>
        <v>0</v>
      </c>
      <c r="I21" s="470"/>
      <c r="J21" s="113"/>
      <c r="K21" s="274">
        <f t="shared" si="1"/>
        <v>0</v>
      </c>
      <c r="L21" s="470"/>
      <c r="M21" s="470"/>
      <c r="N21" s="470"/>
      <c r="O21" s="470"/>
      <c r="P21" s="470"/>
      <c r="Q21" s="470"/>
      <c r="R21" s="470"/>
      <c r="S21" s="470"/>
      <c r="T21" s="470"/>
      <c r="U21" s="470"/>
      <c r="V21" s="470"/>
      <c r="W21" s="470"/>
      <c r="X21" s="470"/>
      <c r="Y21" s="470"/>
      <c r="Z21" s="470"/>
      <c r="AA21" s="470"/>
      <c r="AB21" s="470"/>
      <c r="AC21" s="113"/>
      <c r="AD21" s="772"/>
      <c r="AP21" s="539">
        <v>34</v>
      </c>
    </row>
    <row r="22" spans="6:42" ht="35.65" customHeight="1">
      <c r="F22" s="65" t="s">
        <v>1224</v>
      </c>
      <c r="G22" s="433" t="s">
        <v>1225</v>
      </c>
      <c r="H22" s="274">
        <f t="shared" si="0"/>
        <v>0</v>
      </c>
      <c r="I22" s="470"/>
      <c r="J22" s="113"/>
      <c r="K22" s="274">
        <f t="shared" si="1"/>
        <v>0</v>
      </c>
      <c r="L22" s="470"/>
      <c r="M22" s="470"/>
      <c r="N22" s="470"/>
      <c r="O22" s="470"/>
      <c r="P22" s="470"/>
      <c r="Q22" s="470"/>
      <c r="R22" s="470"/>
      <c r="S22" s="470"/>
      <c r="T22" s="470"/>
      <c r="U22" s="470"/>
      <c r="V22" s="470"/>
      <c r="W22" s="470"/>
      <c r="X22" s="470"/>
      <c r="Y22" s="470"/>
      <c r="Z22" s="470"/>
      <c r="AA22" s="470"/>
      <c r="AB22" s="470"/>
      <c r="AC22" s="113"/>
      <c r="AD22" s="772"/>
      <c r="AP22" s="539">
        <v>34</v>
      </c>
    </row>
    <row r="23" spans="6:42" ht="24" customHeight="1">
      <c r="F23" s="65" t="s">
        <v>1226</v>
      </c>
      <c r="G23" s="433" t="s">
        <v>1227</v>
      </c>
      <c r="H23" s="274">
        <f t="shared" si="0"/>
        <v>0</v>
      </c>
      <c r="I23" s="470"/>
      <c r="J23" s="113"/>
      <c r="K23" s="274">
        <f t="shared" si="1"/>
        <v>0</v>
      </c>
      <c r="L23" s="470"/>
      <c r="M23" s="470"/>
      <c r="N23" s="470"/>
      <c r="O23" s="470"/>
      <c r="P23" s="470"/>
      <c r="Q23" s="470"/>
      <c r="R23" s="470"/>
      <c r="S23" s="470"/>
      <c r="T23" s="470"/>
      <c r="U23" s="470"/>
      <c r="V23" s="470"/>
      <c r="W23" s="470"/>
      <c r="X23" s="470"/>
      <c r="Y23" s="470"/>
      <c r="Z23" s="470"/>
      <c r="AA23" s="470"/>
      <c r="AB23" s="470"/>
      <c r="AC23" s="113"/>
      <c r="AD23" s="772"/>
      <c r="AP23" s="539">
        <v>23</v>
      </c>
    </row>
    <row r="24" spans="6:42" ht="24" customHeight="1">
      <c r="F24" s="65" t="s">
        <v>1228</v>
      </c>
      <c r="G24" s="433" t="s">
        <v>1229</v>
      </c>
      <c r="H24" s="274">
        <f t="shared" si="0"/>
        <v>0</v>
      </c>
      <c r="I24" s="470"/>
      <c r="J24" s="113"/>
      <c r="K24" s="274">
        <f t="shared" si="1"/>
        <v>0</v>
      </c>
      <c r="L24" s="470"/>
      <c r="M24" s="470"/>
      <c r="N24" s="470"/>
      <c r="O24" s="470"/>
      <c r="P24" s="470"/>
      <c r="Q24" s="470"/>
      <c r="R24" s="470"/>
      <c r="S24" s="470"/>
      <c r="T24" s="470"/>
      <c r="U24" s="470"/>
      <c r="V24" s="470"/>
      <c r="W24" s="470"/>
      <c r="X24" s="470"/>
      <c r="Y24" s="470"/>
      <c r="Z24" s="470"/>
      <c r="AA24" s="470"/>
      <c r="AB24" s="470"/>
      <c r="AC24" s="113"/>
      <c r="AD24" s="772"/>
      <c r="AP24" s="539">
        <v>23</v>
      </c>
    </row>
    <row r="25" spans="6:42" ht="35.65" customHeight="1">
      <c r="F25" s="65" t="s">
        <v>1230</v>
      </c>
      <c r="G25" s="433" t="s">
        <v>1231</v>
      </c>
      <c r="H25" s="274">
        <f t="shared" si="0"/>
        <v>0</v>
      </c>
      <c r="I25" s="470"/>
      <c r="J25" s="113"/>
      <c r="K25" s="274">
        <f t="shared" si="1"/>
        <v>0</v>
      </c>
      <c r="L25" s="470"/>
      <c r="M25" s="470"/>
      <c r="N25" s="470"/>
      <c r="O25" s="470"/>
      <c r="P25" s="470"/>
      <c r="Q25" s="470"/>
      <c r="R25" s="470"/>
      <c r="S25" s="470"/>
      <c r="T25" s="470"/>
      <c r="U25" s="470"/>
      <c r="V25" s="470"/>
      <c r="W25" s="470"/>
      <c r="X25" s="470"/>
      <c r="Y25" s="470"/>
      <c r="Z25" s="470"/>
      <c r="AA25" s="470"/>
      <c r="AB25" s="470"/>
      <c r="AC25" s="113"/>
      <c r="AD25" s="772"/>
      <c r="AP25" s="539">
        <v>34</v>
      </c>
    </row>
    <row r="26" spans="6:42" ht="35.65" customHeight="1">
      <c r="F26" s="65" t="s">
        <v>1232</v>
      </c>
      <c r="G26" s="433" t="s">
        <v>1233</v>
      </c>
      <c r="H26" s="274">
        <f t="shared" si="0"/>
        <v>0</v>
      </c>
      <c r="I26" s="470"/>
      <c r="J26" s="113"/>
      <c r="K26" s="274">
        <f t="shared" si="1"/>
        <v>0</v>
      </c>
      <c r="L26" s="470"/>
      <c r="M26" s="470"/>
      <c r="N26" s="470"/>
      <c r="O26" s="470"/>
      <c r="P26" s="470"/>
      <c r="Q26" s="470"/>
      <c r="R26" s="470"/>
      <c r="S26" s="470"/>
      <c r="T26" s="470"/>
      <c r="U26" s="470"/>
      <c r="V26" s="470"/>
      <c r="W26" s="470"/>
      <c r="X26" s="470"/>
      <c r="Y26" s="470"/>
      <c r="Z26" s="470"/>
      <c r="AA26" s="470"/>
      <c r="AB26" s="470"/>
      <c r="AC26" s="113"/>
      <c r="AD26" s="772"/>
      <c r="AP26" s="539">
        <v>34</v>
      </c>
    </row>
    <row r="27" spans="6:42" ht="11.45" customHeight="1">
      <c r="F27" s="65" t="s">
        <v>1234</v>
      </c>
      <c r="G27" s="433" t="s">
        <v>1235</v>
      </c>
      <c r="H27" s="274">
        <f t="shared" si="0"/>
        <v>0</v>
      </c>
      <c r="I27" s="470"/>
      <c r="J27" s="113"/>
      <c r="K27" s="274">
        <f t="shared" si="1"/>
        <v>0</v>
      </c>
      <c r="L27" s="470"/>
      <c r="M27" s="470"/>
      <c r="N27" s="470"/>
      <c r="O27" s="470"/>
      <c r="P27" s="470"/>
      <c r="Q27" s="470"/>
      <c r="R27" s="470"/>
      <c r="S27" s="470"/>
      <c r="T27" s="470"/>
      <c r="U27" s="470"/>
      <c r="V27" s="470"/>
      <c r="W27" s="470"/>
      <c r="X27" s="470"/>
      <c r="Y27" s="470"/>
      <c r="Z27" s="470"/>
      <c r="AA27" s="470"/>
      <c r="AB27" s="470"/>
      <c r="AC27" s="113"/>
      <c r="AD27" s="772"/>
      <c r="AP27" s="539">
        <v>11</v>
      </c>
    </row>
    <row r="28" spans="6:42" ht="11.45" customHeight="1">
      <c r="F28" s="65">
        <v>2</v>
      </c>
      <c r="G28" s="102" t="s">
        <v>1236</v>
      </c>
      <c r="H28" s="274">
        <f t="shared" si="0"/>
        <v>0</v>
      </c>
      <c r="I28" s="274">
        <f>SUM(I29:I31)</f>
        <v>0</v>
      </c>
      <c r="J28" s="113"/>
      <c r="K28" s="274">
        <f t="shared" si="1"/>
        <v>0</v>
      </c>
      <c r="L28" s="274">
        <f t="shared" ref="L28:AB28" si="3">SUM(L29:L31)</f>
        <v>0</v>
      </c>
      <c r="M28" s="274">
        <f t="shared" si="3"/>
        <v>0</v>
      </c>
      <c r="N28" s="274">
        <f t="shared" si="3"/>
        <v>0</v>
      </c>
      <c r="O28" s="274">
        <f t="shared" si="3"/>
        <v>0</v>
      </c>
      <c r="P28" s="274">
        <f t="shared" si="3"/>
        <v>0</v>
      </c>
      <c r="Q28" s="274">
        <f t="shared" si="3"/>
        <v>0</v>
      </c>
      <c r="R28" s="274">
        <f t="shared" si="3"/>
        <v>0</v>
      </c>
      <c r="S28" s="274">
        <f t="shared" si="3"/>
        <v>0</v>
      </c>
      <c r="T28" s="274">
        <f t="shared" si="3"/>
        <v>0</v>
      </c>
      <c r="U28" s="274">
        <f t="shared" si="3"/>
        <v>0</v>
      </c>
      <c r="V28" s="274">
        <f t="shared" si="3"/>
        <v>0</v>
      </c>
      <c r="W28" s="274">
        <f t="shared" si="3"/>
        <v>0</v>
      </c>
      <c r="X28" s="274">
        <f t="shared" si="3"/>
        <v>0</v>
      </c>
      <c r="Y28" s="274">
        <f t="shared" si="3"/>
        <v>0</v>
      </c>
      <c r="Z28" s="274">
        <f t="shared" si="3"/>
        <v>0</v>
      </c>
      <c r="AA28" s="274">
        <f t="shared" si="3"/>
        <v>0</v>
      </c>
      <c r="AB28" s="274">
        <f t="shared" si="3"/>
        <v>0</v>
      </c>
      <c r="AC28" s="113"/>
      <c r="AD28" s="772"/>
      <c r="AP28" s="539">
        <v>11</v>
      </c>
    </row>
    <row r="29" spans="6:42" ht="11.45" customHeight="1">
      <c r="F29" s="65" t="s">
        <v>725</v>
      </c>
      <c r="G29" s="433" t="s">
        <v>1237</v>
      </c>
      <c r="H29" s="274">
        <f t="shared" si="0"/>
        <v>0</v>
      </c>
      <c r="I29" s="470"/>
      <c r="J29" s="113"/>
      <c r="K29" s="274">
        <f t="shared" si="1"/>
        <v>0</v>
      </c>
      <c r="L29" s="470"/>
      <c r="M29" s="470"/>
      <c r="N29" s="470"/>
      <c r="O29" s="470"/>
      <c r="P29" s="470"/>
      <c r="Q29" s="470"/>
      <c r="R29" s="470"/>
      <c r="S29" s="470"/>
      <c r="T29" s="470"/>
      <c r="U29" s="470"/>
      <c r="V29" s="470"/>
      <c r="W29" s="470"/>
      <c r="X29" s="470"/>
      <c r="Y29" s="470"/>
      <c r="Z29" s="470"/>
      <c r="AA29" s="470"/>
      <c r="AB29" s="470"/>
      <c r="AC29" s="113"/>
      <c r="AD29" s="772"/>
      <c r="AP29" s="539">
        <v>11</v>
      </c>
    </row>
    <row r="30" spans="6:42" ht="11.45" customHeight="1">
      <c r="F30" s="65" t="s">
        <v>315</v>
      </c>
      <c r="G30" s="433" t="s">
        <v>1238</v>
      </c>
      <c r="H30" s="274">
        <f t="shared" si="0"/>
        <v>0</v>
      </c>
      <c r="I30" s="470"/>
      <c r="J30" s="113"/>
      <c r="K30" s="274">
        <f t="shared" si="1"/>
        <v>0</v>
      </c>
      <c r="L30" s="470"/>
      <c r="M30" s="470"/>
      <c r="N30" s="470"/>
      <c r="O30" s="470"/>
      <c r="P30" s="470"/>
      <c r="Q30" s="470"/>
      <c r="R30" s="470"/>
      <c r="S30" s="470"/>
      <c r="T30" s="470"/>
      <c r="U30" s="470"/>
      <c r="V30" s="470"/>
      <c r="W30" s="470"/>
      <c r="X30" s="470"/>
      <c r="Y30" s="470"/>
      <c r="Z30" s="470"/>
      <c r="AA30" s="470"/>
      <c r="AB30" s="470"/>
      <c r="AC30" s="113"/>
      <c r="AD30" s="772"/>
      <c r="AP30" s="539">
        <v>11</v>
      </c>
    </row>
    <row r="31" spans="6:42" ht="11.45" customHeight="1">
      <c r="F31" s="65" t="s">
        <v>318</v>
      </c>
      <c r="G31" s="433" t="s">
        <v>1239</v>
      </c>
      <c r="H31" s="274">
        <f t="shared" si="0"/>
        <v>0</v>
      </c>
      <c r="I31" s="470"/>
      <c r="J31" s="113"/>
      <c r="K31" s="274">
        <f t="shared" si="1"/>
        <v>0</v>
      </c>
      <c r="L31" s="470"/>
      <c r="M31" s="470"/>
      <c r="N31" s="470"/>
      <c r="O31" s="470"/>
      <c r="P31" s="470"/>
      <c r="Q31" s="470"/>
      <c r="R31" s="470"/>
      <c r="S31" s="470"/>
      <c r="T31" s="470"/>
      <c r="U31" s="470"/>
      <c r="V31" s="470"/>
      <c r="W31" s="470"/>
      <c r="X31" s="470"/>
      <c r="Y31" s="470"/>
      <c r="Z31" s="470"/>
      <c r="AA31" s="470"/>
      <c r="AB31" s="470"/>
      <c r="AC31" s="113"/>
      <c r="AD31" s="772"/>
      <c r="AP31" s="539">
        <v>11</v>
      </c>
    </row>
    <row r="32" spans="6:42" ht="11.45" customHeight="1">
      <c r="F32" s="65">
        <v>3</v>
      </c>
      <c r="G32" s="102" t="s">
        <v>1240</v>
      </c>
      <c r="H32" s="274">
        <f t="shared" si="0"/>
        <v>0</v>
      </c>
      <c r="I32" s="274">
        <f>SUM(I33:I34)</f>
        <v>0</v>
      </c>
      <c r="J32" s="113"/>
      <c r="K32" s="274">
        <f t="shared" si="1"/>
        <v>0</v>
      </c>
      <c r="L32" s="274">
        <f t="shared" ref="L32:AB32" si="4">SUM(L33:L34)</f>
        <v>0</v>
      </c>
      <c r="M32" s="274">
        <f t="shared" si="4"/>
        <v>0</v>
      </c>
      <c r="N32" s="274">
        <f t="shared" si="4"/>
        <v>0</v>
      </c>
      <c r="O32" s="274">
        <f t="shared" si="4"/>
        <v>0</v>
      </c>
      <c r="P32" s="274">
        <f t="shared" si="4"/>
        <v>0</v>
      </c>
      <c r="Q32" s="274">
        <f t="shared" si="4"/>
        <v>0</v>
      </c>
      <c r="R32" s="274">
        <f t="shared" si="4"/>
        <v>0</v>
      </c>
      <c r="S32" s="274">
        <f t="shared" si="4"/>
        <v>0</v>
      </c>
      <c r="T32" s="274">
        <f t="shared" si="4"/>
        <v>0</v>
      </c>
      <c r="U32" s="274">
        <f t="shared" si="4"/>
        <v>0</v>
      </c>
      <c r="V32" s="274">
        <f t="shared" si="4"/>
        <v>0</v>
      </c>
      <c r="W32" s="274">
        <f t="shared" si="4"/>
        <v>0</v>
      </c>
      <c r="X32" s="274">
        <f t="shared" si="4"/>
        <v>0</v>
      </c>
      <c r="Y32" s="274">
        <f t="shared" si="4"/>
        <v>0</v>
      </c>
      <c r="Z32" s="274">
        <f t="shared" si="4"/>
        <v>0</v>
      </c>
      <c r="AA32" s="274">
        <f t="shared" si="4"/>
        <v>0</v>
      </c>
      <c r="AB32" s="274">
        <f t="shared" si="4"/>
        <v>0</v>
      </c>
      <c r="AC32" s="113"/>
      <c r="AD32" s="772"/>
      <c r="AP32" s="539">
        <v>11</v>
      </c>
    </row>
    <row r="33" spans="6:42" ht="48.2" customHeight="1">
      <c r="F33" s="65" t="s">
        <v>332</v>
      </c>
      <c r="G33" s="433" t="s">
        <v>1241</v>
      </c>
      <c r="H33" s="274">
        <f t="shared" si="0"/>
        <v>0</v>
      </c>
      <c r="I33" s="470"/>
      <c r="J33" s="113"/>
      <c r="K33" s="274">
        <f t="shared" si="1"/>
        <v>0</v>
      </c>
      <c r="L33" s="470"/>
      <c r="M33" s="470"/>
      <c r="N33" s="470"/>
      <c r="O33" s="470"/>
      <c r="P33" s="470"/>
      <c r="Q33" s="470"/>
      <c r="R33" s="470"/>
      <c r="S33" s="470"/>
      <c r="T33" s="470"/>
      <c r="U33" s="470"/>
      <c r="V33" s="470"/>
      <c r="W33" s="470"/>
      <c r="X33" s="470"/>
      <c r="Y33" s="470"/>
      <c r="Z33" s="470"/>
      <c r="AA33" s="470"/>
      <c r="AB33" s="470"/>
      <c r="AC33" s="113"/>
      <c r="AD33" s="772"/>
      <c r="AP33" s="539">
        <v>46</v>
      </c>
    </row>
    <row r="34" spans="6:42" ht="11.45" customHeight="1">
      <c r="F34" s="65" t="s">
        <v>340</v>
      </c>
      <c r="G34" s="433" t="s">
        <v>1242</v>
      </c>
      <c r="H34" s="274">
        <f t="shared" si="0"/>
        <v>0</v>
      </c>
      <c r="I34" s="470"/>
      <c r="J34" s="113"/>
      <c r="K34" s="274">
        <f t="shared" si="1"/>
        <v>0</v>
      </c>
      <c r="L34" s="470"/>
      <c r="M34" s="470"/>
      <c r="N34" s="470"/>
      <c r="O34" s="470"/>
      <c r="P34" s="470"/>
      <c r="Q34" s="470"/>
      <c r="R34" s="470"/>
      <c r="S34" s="470"/>
      <c r="T34" s="470"/>
      <c r="U34" s="470"/>
      <c r="V34" s="470"/>
      <c r="W34" s="470"/>
      <c r="X34" s="470"/>
      <c r="Y34" s="470"/>
      <c r="Z34" s="470"/>
      <c r="AA34" s="470"/>
      <c r="AB34" s="470"/>
      <c r="AC34" s="113"/>
      <c r="AD34" s="772"/>
      <c r="AP34" s="539">
        <v>11</v>
      </c>
    </row>
    <row r="35" spans="6:42" ht="11.45" customHeight="1">
      <c r="F35" s="65">
        <v>4</v>
      </c>
      <c r="G35" s="102" t="s">
        <v>1243</v>
      </c>
      <c r="H35" s="274">
        <f t="shared" si="0"/>
        <v>0</v>
      </c>
      <c r="I35" s="470"/>
      <c r="J35" s="113"/>
      <c r="K35" s="274">
        <f t="shared" si="1"/>
        <v>0</v>
      </c>
      <c r="L35" s="470"/>
      <c r="M35" s="470"/>
      <c r="N35" s="470"/>
      <c r="O35" s="470"/>
      <c r="P35" s="470"/>
      <c r="Q35" s="470"/>
      <c r="R35" s="470"/>
      <c r="S35" s="470"/>
      <c r="T35" s="470"/>
      <c r="U35" s="470"/>
      <c r="V35" s="470"/>
      <c r="W35" s="470"/>
      <c r="X35" s="470"/>
      <c r="Y35" s="470"/>
      <c r="Z35" s="470"/>
      <c r="AA35" s="470"/>
      <c r="AB35" s="470"/>
      <c r="AC35" s="113"/>
      <c r="AD35" s="772"/>
      <c r="AP35" s="539">
        <v>11</v>
      </c>
    </row>
    <row r="36" spans="6:42" ht="11.45" customHeight="1">
      <c r="F36" s="65"/>
      <c r="G36" s="394" t="s">
        <v>1244</v>
      </c>
      <c r="H36" s="274">
        <f t="shared" si="0"/>
        <v>0</v>
      </c>
      <c r="I36" s="274">
        <f>SUM(I15,I28,I32,I35)</f>
        <v>0</v>
      </c>
      <c r="J36" s="113"/>
      <c r="K36" s="274">
        <f t="shared" si="1"/>
        <v>0</v>
      </c>
      <c r="L36" s="274">
        <f t="shared" ref="L36:AB36" si="5">SUM(L15,L28,L32,L35)</f>
        <v>0</v>
      </c>
      <c r="M36" s="274">
        <f t="shared" si="5"/>
        <v>0</v>
      </c>
      <c r="N36" s="274">
        <f t="shared" si="5"/>
        <v>0</v>
      </c>
      <c r="O36" s="274">
        <f t="shared" si="5"/>
        <v>0</v>
      </c>
      <c r="P36" s="274">
        <f t="shared" si="5"/>
        <v>0</v>
      </c>
      <c r="Q36" s="274">
        <f t="shared" si="5"/>
        <v>0</v>
      </c>
      <c r="R36" s="274">
        <f t="shared" si="5"/>
        <v>0</v>
      </c>
      <c r="S36" s="274">
        <f t="shared" si="5"/>
        <v>0</v>
      </c>
      <c r="T36" s="274">
        <f t="shared" si="5"/>
        <v>0</v>
      </c>
      <c r="U36" s="274">
        <f t="shared" si="5"/>
        <v>0</v>
      </c>
      <c r="V36" s="274">
        <f t="shared" si="5"/>
        <v>0</v>
      </c>
      <c r="W36" s="274">
        <f t="shared" si="5"/>
        <v>0</v>
      </c>
      <c r="X36" s="274">
        <f t="shared" si="5"/>
        <v>0</v>
      </c>
      <c r="Y36" s="274">
        <f t="shared" si="5"/>
        <v>0</v>
      </c>
      <c r="Z36" s="274">
        <f t="shared" si="5"/>
        <v>0</v>
      </c>
      <c r="AA36" s="274">
        <f t="shared" si="5"/>
        <v>0</v>
      </c>
      <c r="AB36" s="274">
        <f t="shared" si="5"/>
        <v>0</v>
      </c>
      <c r="AC36" s="113"/>
      <c r="AD36" s="772"/>
      <c r="AP36" s="539">
        <v>11</v>
      </c>
    </row>
    <row r="37" spans="6:42" ht="29.25" customHeight="1">
      <c r="F37" s="113" t="s">
        <v>1245</v>
      </c>
      <c r="G37" s="1369" t="s">
        <v>1246</v>
      </c>
      <c r="H37" s="1369"/>
      <c r="I37" s="1369"/>
      <c r="J37" s="1369"/>
      <c r="K37" s="97"/>
      <c r="L37" s="97"/>
      <c r="M37" s="97"/>
      <c r="N37" s="97"/>
      <c r="O37" s="97"/>
      <c r="P37" s="97"/>
      <c r="Q37" s="97"/>
      <c r="R37" s="97"/>
      <c r="S37" s="97"/>
      <c r="T37" s="97"/>
      <c r="U37" s="97"/>
      <c r="V37" s="97"/>
      <c r="W37" s="97"/>
      <c r="X37" s="97"/>
      <c r="Y37" s="97"/>
      <c r="Z37" s="97"/>
      <c r="AA37" s="97"/>
      <c r="AB37" s="97"/>
      <c r="AC37" s="97"/>
      <c r="AD37" s="772"/>
      <c r="AP37" s="539">
        <v>28</v>
      </c>
    </row>
    <row r="38" spans="6:42" ht="24" customHeight="1">
      <c r="F38" s="65" t="s">
        <v>114</v>
      </c>
      <c r="G38" s="102" t="s">
        <v>1247</v>
      </c>
      <c r="H38" s="274">
        <f t="shared" ref="H38:H58" si="6">SUM(I38:J38)</f>
        <v>0</v>
      </c>
      <c r="I38" s="274">
        <f>SUM(I39,I44,I47)</f>
        <v>0</v>
      </c>
      <c r="J38" s="113"/>
      <c r="K38" s="274">
        <f t="shared" ref="K38:K58" si="7">SUM(L38:AC38)</f>
        <v>0</v>
      </c>
      <c r="L38" s="274">
        <f t="shared" ref="L38:AB38" si="8">SUM(L39,L44,L47)</f>
        <v>0</v>
      </c>
      <c r="M38" s="274">
        <f t="shared" si="8"/>
        <v>0</v>
      </c>
      <c r="N38" s="274">
        <f t="shared" si="8"/>
        <v>0</v>
      </c>
      <c r="O38" s="274">
        <f t="shared" si="8"/>
        <v>0</v>
      </c>
      <c r="P38" s="274">
        <f t="shared" si="8"/>
        <v>0</v>
      </c>
      <c r="Q38" s="274">
        <f t="shared" si="8"/>
        <v>0</v>
      </c>
      <c r="R38" s="274">
        <f t="shared" si="8"/>
        <v>0</v>
      </c>
      <c r="S38" s="274">
        <f t="shared" si="8"/>
        <v>0</v>
      </c>
      <c r="T38" s="274">
        <f t="shared" si="8"/>
        <v>0</v>
      </c>
      <c r="U38" s="274">
        <f t="shared" si="8"/>
        <v>0</v>
      </c>
      <c r="V38" s="274">
        <f t="shared" si="8"/>
        <v>0</v>
      </c>
      <c r="W38" s="274">
        <f t="shared" si="8"/>
        <v>0</v>
      </c>
      <c r="X38" s="274">
        <f t="shared" si="8"/>
        <v>0</v>
      </c>
      <c r="Y38" s="274">
        <f t="shared" si="8"/>
        <v>0</v>
      </c>
      <c r="Z38" s="274">
        <f t="shared" si="8"/>
        <v>0</v>
      </c>
      <c r="AA38" s="274">
        <f t="shared" si="8"/>
        <v>0</v>
      </c>
      <c r="AB38" s="274">
        <f t="shared" si="8"/>
        <v>0</v>
      </c>
      <c r="AC38" s="113"/>
      <c r="AD38" s="772"/>
      <c r="AP38" s="539">
        <v>23</v>
      </c>
    </row>
    <row r="39" spans="6:42" ht="11.45" customHeight="1">
      <c r="F39" s="65" t="s">
        <v>1212</v>
      </c>
      <c r="G39" s="433" t="s">
        <v>1211</v>
      </c>
      <c r="H39" s="274">
        <f t="shared" si="6"/>
        <v>0</v>
      </c>
      <c r="I39" s="274">
        <f>SUM(I40:I43)</f>
        <v>0</v>
      </c>
      <c r="J39" s="113"/>
      <c r="K39" s="274">
        <f t="shared" si="7"/>
        <v>0</v>
      </c>
      <c r="L39" s="274">
        <f t="shared" ref="L39:AB39" si="9">SUM(L40:L43)</f>
        <v>0</v>
      </c>
      <c r="M39" s="274">
        <f t="shared" si="9"/>
        <v>0</v>
      </c>
      <c r="N39" s="274">
        <f t="shared" si="9"/>
        <v>0</v>
      </c>
      <c r="O39" s="274">
        <f t="shared" si="9"/>
        <v>0</v>
      </c>
      <c r="P39" s="274">
        <f t="shared" si="9"/>
        <v>0</v>
      </c>
      <c r="Q39" s="274">
        <f t="shared" si="9"/>
        <v>0</v>
      </c>
      <c r="R39" s="274">
        <f t="shared" si="9"/>
        <v>0</v>
      </c>
      <c r="S39" s="274">
        <f t="shared" si="9"/>
        <v>0</v>
      </c>
      <c r="T39" s="274">
        <f t="shared" si="9"/>
        <v>0</v>
      </c>
      <c r="U39" s="274">
        <f t="shared" si="9"/>
        <v>0</v>
      </c>
      <c r="V39" s="274">
        <f t="shared" si="9"/>
        <v>0</v>
      </c>
      <c r="W39" s="274">
        <f t="shared" si="9"/>
        <v>0</v>
      </c>
      <c r="X39" s="274">
        <f t="shared" si="9"/>
        <v>0</v>
      </c>
      <c r="Y39" s="274">
        <f t="shared" si="9"/>
        <v>0</v>
      </c>
      <c r="Z39" s="274">
        <f t="shared" si="9"/>
        <v>0</v>
      </c>
      <c r="AA39" s="274">
        <f t="shared" si="9"/>
        <v>0</v>
      </c>
      <c r="AB39" s="274">
        <f t="shared" si="9"/>
        <v>0</v>
      </c>
      <c r="AC39" s="113"/>
      <c r="AD39" s="772"/>
      <c r="AP39" s="539">
        <v>11</v>
      </c>
    </row>
    <row r="40" spans="6:42" ht="24" customHeight="1">
      <c r="F40" s="65" t="s">
        <v>1248</v>
      </c>
      <c r="G40" s="471" t="s">
        <v>1249</v>
      </c>
      <c r="H40" s="274">
        <f t="shared" si="6"/>
        <v>0</v>
      </c>
      <c r="I40" s="470"/>
      <c r="J40" s="113"/>
      <c r="K40" s="274">
        <f t="shared" si="7"/>
        <v>0</v>
      </c>
      <c r="L40" s="470"/>
      <c r="M40" s="470"/>
      <c r="N40" s="470"/>
      <c r="O40" s="470"/>
      <c r="P40" s="470"/>
      <c r="Q40" s="470"/>
      <c r="R40" s="470"/>
      <c r="S40" s="470"/>
      <c r="T40" s="470"/>
      <c r="U40" s="470"/>
      <c r="V40" s="470"/>
      <c r="W40" s="470"/>
      <c r="X40" s="470"/>
      <c r="Y40" s="470"/>
      <c r="Z40" s="470"/>
      <c r="AA40" s="470"/>
      <c r="AB40" s="470"/>
      <c r="AC40" s="113"/>
      <c r="AD40" s="772"/>
      <c r="AP40" s="539">
        <v>23</v>
      </c>
    </row>
    <row r="41" spans="6:42" ht="11.45" customHeight="1">
      <c r="F41" s="65" t="s">
        <v>1250</v>
      </c>
      <c r="G41" s="471" t="s">
        <v>1251</v>
      </c>
      <c r="H41" s="274">
        <f t="shared" si="6"/>
        <v>0</v>
      </c>
      <c r="I41" s="470"/>
      <c r="J41" s="113"/>
      <c r="K41" s="274">
        <f t="shared" si="7"/>
        <v>0</v>
      </c>
      <c r="L41" s="470"/>
      <c r="M41" s="470"/>
      <c r="N41" s="470"/>
      <c r="O41" s="470"/>
      <c r="P41" s="470"/>
      <c r="Q41" s="470"/>
      <c r="R41" s="470"/>
      <c r="S41" s="470"/>
      <c r="T41" s="470"/>
      <c r="U41" s="470"/>
      <c r="V41" s="470"/>
      <c r="W41" s="470"/>
      <c r="X41" s="470"/>
      <c r="Y41" s="470"/>
      <c r="Z41" s="470"/>
      <c r="AA41" s="470"/>
      <c r="AB41" s="470"/>
      <c r="AC41" s="113"/>
      <c r="AD41" s="772"/>
      <c r="AP41" s="539">
        <v>11</v>
      </c>
    </row>
    <row r="42" spans="6:42" ht="11.45" customHeight="1">
      <c r="F42" s="65" t="s">
        <v>1252</v>
      </c>
      <c r="G42" s="471" t="s">
        <v>1253</v>
      </c>
      <c r="H42" s="274">
        <f t="shared" si="6"/>
        <v>0</v>
      </c>
      <c r="I42" s="470"/>
      <c r="J42" s="113"/>
      <c r="K42" s="274">
        <f t="shared" si="7"/>
        <v>0</v>
      </c>
      <c r="L42" s="470"/>
      <c r="M42" s="470"/>
      <c r="N42" s="470"/>
      <c r="O42" s="470"/>
      <c r="P42" s="470"/>
      <c r="Q42" s="470"/>
      <c r="R42" s="470"/>
      <c r="S42" s="470"/>
      <c r="T42" s="470"/>
      <c r="U42" s="470"/>
      <c r="V42" s="470"/>
      <c r="W42" s="470"/>
      <c r="X42" s="470"/>
      <c r="Y42" s="470"/>
      <c r="Z42" s="470"/>
      <c r="AA42" s="470"/>
      <c r="AB42" s="470"/>
      <c r="AC42" s="113"/>
      <c r="AD42" s="772"/>
      <c r="AP42" s="539">
        <v>11</v>
      </c>
    </row>
    <row r="43" spans="6:42" ht="35.65" customHeight="1">
      <c r="F43" s="65" t="s">
        <v>1254</v>
      </c>
      <c r="G43" s="471" t="s">
        <v>1255</v>
      </c>
      <c r="H43" s="274">
        <f t="shared" si="6"/>
        <v>0</v>
      </c>
      <c r="I43" s="470"/>
      <c r="J43" s="113"/>
      <c r="K43" s="274">
        <f t="shared" si="7"/>
        <v>0</v>
      </c>
      <c r="L43" s="470"/>
      <c r="M43" s="470"/>
      <c r="N43" s="470"/>
      <c r="O43" s="470"/>
      <c r="P43" s="470"/>
      <c r="Q43" s="470"/>
      <c r="R43" s="470"/>
      <c r="S43" s="470"/>
      <c r="T43" s="470"/>
      <c r="U43" s="470"/>
      <c r="V43" s="470"/>
      <c r="W43" s="470"/>
      <c r="X43" s="470"/>
      <c r="Y43" s="470"/>
      <c r="Z43" s="470"/>
      <c r="AA43" s="470"/>
      <c r="AB43" s="470"/>
      <c r="AC43" s="113"/>
      <c r="AD43" s="772"/>
      <c r="AP43" s="539">
        <v>34</v>
      </c>
    </row>
    <row r="44" spans="6:42" ht="11.45" customHeight="1">
      <c r="F44" s="65" t="s">
        <v>1214</v>
      </c>
      <c r="G44" s="433" t="s">
        <v>1240</v>
      </c>
      <c r="H44" s="274">
        <f t="shared" si="6"/>
        <v>0</v>
      </c>
      <c r="I44" s="274">
        <f>SUM(I45:I46)</f>
        <v>0</v>
      </c>
      <c r="J44" s="113"/>
      <c r="K44" s="274">
        <f t="shared" si="7"/>
        <v>0</v>
      </c>
      <c r="L44" s="274">
        <f t="shared" ref="L44:AB44" si="10">SUM(L45:L46)</f>
        <v>0</v>
      </c>
      <c r="M44" s="274">
        <f t="shared" si="10"/>
        <v>0</v>
      </c>
      <c r="N44" s="274">
        <f t="shared" si="10"/>
        <v>0</v>
      </c>
      <c r="O44" s="274">
        <f t="shared" si="10"/>
        <v>0</v>
      </c>
      <c r="P44" s="274">
        <f t="shared" si="10"/>
        <v>0</v>
      </c>
      <c r="Q44" s="274">
        <f t="shared" si="10"/>
        <v>0</v>
      </c>
      <c r="R44" s="274">
        <f t="shared" si="10"/>
        <v>0</v>
      </c>
      <c r="S44" s="274">
        <f t="shared" si="10"/>
        <v>0</v>
      </c>
      <c r="T44" s="274">
        <f t="shared" si="10"/>
        <v>0</v>
      </c>
      <c r="U44" s="274">
        <f t="shared" si="10"/>
        <v>0</v>
      </c>
      <c r="V44" s="274">
        <f t="shared" si="10"/>
        <v>0</v>
      </c>
      <c r="W44" s="274">
        <f t="shared" si="10"/>
        <v>0</v>
      </c>
      <c r="X44" s="274">
        <f t="shared" si="10"/>
        <v>0</v>
      </c>
      <c r="Y44" s="274">
        <f t="shared" si="10"/>
        <v>0</v>
      </c>
      <c r="Z44" s="274">
        <f t="shared" si="10"/>
        <v>0</v>
      </c>
      <c r="AA44" s="274">
        <f t="shared" si="10"/>
        <v>0</v>
      </c>
      <c r="AB44" s="274">
        <f t="shared" si="10"/>
        <v>0</v>
      </c>
      <c r="AC44" s="113"/>
      <c r="AD44" s="772"/>
      <c r="AP44" s="539">
        <v>11</v>
      </c>
    </row>
    <row r="45" spans="6:42" ht="48.2" customHeight="1">
      <c r="F45" s="65" t="s">
        <v>1256</v>
      </c>
      <c r="G45" s="471" t="s">
        <v>1241</v>
      </c>
      <c r="H45" s="274">
        <f t="shared" si="6"/>
        <v>0</v>
      </c>
      <c r="I45" s="470"/>
      <c r="J45" s="113"/>
      <c r="K45" s="274">
        <f t="shared" si="7"/>
        <v>0</v>
      </c>
      <c r="L45" s="470"/>
      <c r="M45" s="470"/>
      <c r="N45" s="470"/>
      <c r="O45" s="470"/>
      <c r="P45" s="470"/>
      <c r="Q45" s="470"/>
      <c r="R45" s="470"/>
      <c r="S45" s="470"/>
      <c r="T45" s="470"/>
      <c r="U45" s="470"/>
      <c r="V45" s="470"/>
      <c r="W45" s="470"/>
      <c r="X45" s="470"/>
      <c r="Y45" s="470"/>
      <c r="Z45" s="470"/>
      <c r="AA45" s="470"/>
      <c r="AB45" s="470"/>
      <c r="AC45" s="113"/>
      <c r="AD45" s="772"/>
      <c r="AP45" s="539">
        <v>46</v>
      </c>
    </row>
    <row r="46" spans="6:42" ht="11.45" customHeight="1">
      <c r="F46" s="65" t="s">
        <v>1257</v>
      </c>
      <c r="G46" s="471" t="s">
        <v>1242</v>
      </c>
      <c r="H46" s="274">
        <f t="shared" si="6"/>
        <v>0</v>
      </c>
      <c r="I46" s="470"/>
      <c r="J46" s="113"/>
      <c r="K46" s="274">
        <f t="shared" si="7"/>
        <v>0</v>
      </c>
      <c r="L46" s="470"/>
      <c r="M46" s="470"/>
      <c r="N46" s="470"/>
      <c r="O46" s="470"/>
      <c r="P46" s="470"/>
      <c r="Q46" s="470"/>
      <c r="R46" s="470"/>
      <c r="S46" s="470"/>
      <c r="T46" s="470"/>
      <c r="U46" s="470"/>
      <c r="V46" s="470"/>
      <c r="W46" s="470"/>
      <c r="X46" s="470"/>
      <c r="Y46" s="470"/>
      <c r="Z46" s="470"/>
      <c r="AA46" s="470"/>
      <c r="AB46" s="470"/>
      <c r="AC46" s="113"/>
      <c r="AD46" s="772"/>
      <c r="AP46" s="539">
        <v>11</v>
      </c>
    </row>
    <row r="47" spans="6:42" ht="11.45" customHeight="1">
      <c r="F47" s="65" t="s">
        <v>1216</v>
      </c>
      <c r="G47" s="433" t="s">
        <v>1258</v>
      </c>
      <c r="H47" s="274">
        <f t="shared" si="6"/>
        <v>0</v>
      </c>
      <c r="I47" s="470"/>
      <c r="J47" s="113"/>
      <c r="K47" s="274">
        <f t="shared" si="7"/>
        <v>0</v>
      </c>
      <c r="L47" s="470"/>
      <c r="M47" s="470"/>
      <c r="N47" s="470"/>
      <c r="O47" s="470"/>
      <c r="P47" s="470"/>
      <c r="Q47" s="470"/>
      <c r="R47" s="470"/>
      <c r="S47" s="470"/>
      <c r="T47" s="470"/>
      <c r="U47" s="470"/>
      <c r="V47" s="470"/>
      <c r="W47" s="470"/>
      <c r="X47" s="470"/>
      <c r="Y47" s="470"/>
      <c r="Z47" s="470"/>
      <c r="AA47" s="470"/>
      <c r="AB47" s="470"/>
      <c r="AC47" s="113"/>
      <c r="AD47" s="772"/>
      <c r="AP47" s="539">
        <v>11</v>
      </c>
    </row>
    <row r="48" spans="6:42" ht="24" customHeight="1">
      <c r="F48" s="65" t="s">
        <v>102</v>
      </c>
      <c r="G48" s="102" t="s">
        <v>1259</v>
      </c>
      <c r="H48" s="274">
        <f t="shared" si="6"/>
        <v>0</v>
      </c>
      <c r="I48" s="274">
        <f>SUM(I49,I54,I57)</f>
        <v>0</v>
      </c>
      <c r="J48" s="113"/>
      <c r="K48" s="274">
        <f t="shared" si="7"/>
        <v>0</v>
      </c>
      <c r="L48" s="274">
        <f t="shared" ref="L48:AB48" si="11">SUM(L49,L54,L57)</f>
        <v>0</v>
      </c>
      <c r="M48" s="274">
        <f t="shared" si="11"/>
        <v>0</v>
      </c>
      <c r="N48" s="274">
        <f t="shared" si="11"/>
        <v>0</v>
      </c>
      <c r="O48" s="274">
        <f t="shared" si="11"/>
        <v>0</v>
      </c>
      <c r="P48" s="274">
        <f t="shared" si="11"/>
        <v>0</v>
      </c>
      <c r="Q48" s="274">
        <f t="shared" si="11"/>
        <v>0</v>
      </c>
      <c r="R48" s="274">
        <f t="shared" si="11"/>
        <v>0</v>
      </c>
      <c r="S48" s="274">
        <f t="shared" si="11"/>
        <v>0</v>
      </c>
      <c r="T48" s="274">
        <f t="shared" si="11"/>
        <v>0</v>
      </c>
      <c r="U48" s="274">
        <f t="shared" si="11"/>
        <v>0</v>
      </c>
      <c r="V48" s="274">
        <f t="shared" si="11"/>
        <v>0</v>
      </c>
      <c r="W48" s="274">
        <f t="shared" si="11"/>
        <v>0</v>
      </c>
      <c r="X48" s="274">
        <f t="shared" si="11"/>
        <v>0</v>
      </c>
      <c r="Y48" s="274">
        <f t="shared" si="11"/>
        <v>0</v>
      </c>
      <c r="Z48" s="274">
        <f t="shared" si="11"/>
        <v>0</v>
      </c>
      <c r="AA48" s="274">
        <f t="shared" si="11"/>
        <v>0</v>
      </c>
      <c r="AB48" s="274">
        <f t="shared" si="11"/>
        <v>0</v>
      </c>
      <c r="AC48" s="113"/>
      <c r="AD48" s="772"/>
      <c r="AP48" s="539">
        <v>23</v>
      </c>
    </row>
    <row r="49" spans="1:42" ht="11.45" customHeight="1">
      <c r="F49" s="65" t="s">
        <v>725</v>
      </c>
      <c r="G49" s="433" t="s">
        <v>1211</v>
      </c>
      <c r="H49" s="274">
        <f t="shared" si="6"/>
        <v>0</v>
      </c>
      <c r="I49" s="274">
        <f>SUM(I50:I53)</f>
        <v>0</v>
      </c>
      <c r="J49" s="113"/>
      <c r="K49" s="274">
        <f t="shared" si="7"/>
        <v>0</v>
      </c>
      <c r="L49" s="274">
        <f t="shared" ref="L49:AB49" si="12">SUM(L50:L53)</f>
        <v>0</v>
      </c>
      <c r="M49" s="274">
        <f t="shared" si="12"/>
        <v>0</v>
      </c>
      <c r="N49" s="274">
        <f t="shared" si="12"/>
        <v>0</v>
      </c>
      <c r="O49" s="274">
        <f t="shared" si="12"/>
        <v>0</v>
      </c>
      <c r="P49" s="274">
        <f t="shared" si="12"/>
        <v>0</v>
      </c>
      <c r="Q49" s="274">
        <f t="shared" si="12"/>
        <v>0</v>
      </c>
      <c r="R49" s="274">
        <f t="shared" si="12"/>
        <v>0</v>
      </c>
      <c r="S49" s="274">
        <f t="shared" si="12"/>
        <v>0</v>
      </c>
      <c r="T49" s="274">
        <f t="shared" si="12"/>
        <v>0</v>
      </c>
      <c r="U49" s="274">
        <f t="shared" si="12"/>
        <v>0</v>
      </c>
      <c r="V49" s="274">
        <f t="shared" si="12"/>
        <v>0</v>
      </c>
      <c r="W49" s="274">
        <f t="shared" si="12"/>
        <v>0</v>
      </c>
      <c r="X49" s="274">
        <f t="shared" si="12"/>
        <v>0</v>
      </c>
      <c r="Y49" s="274">
        <f t="shared" si="12"/>
        <v>0</v>
      </c>
      <c r="Z49" s="274">
        <f t="shared" si="12"/>
        <v>0</v>
      </c>
      <c r="AA49" s="274">
        <f t="shared" si="12"/>
        <v>0</v>
      </c>
      <c r="AB49" s="274">
        <f t="shared" si="12"/>
        <v>0</v>
      </c>
      <c r="AC49" s="113"/>
      <c r="AD49" s="772"/>
      <c r="AP49" s="539">
        <v>11</v>
      </c>
    </row>
    <row r="50" spans="1:42" ht="24" customHeight="1">
      <c r="F50" s="65" t="s">
        <v>728</v>
      </c>
      <c r="G50" s="471" t="s">
        <v>1249</v>
      </c>
      <c r="H50" s="274">
        <f t="shared" si="6"/>
        <v>0</v>
      </c>
      <c r="I50" s="470"/>
      <c r="J50" s="113"/>
      <c r="K50" s="274">
        <f t="shared" si="7"/>
        <v>0</v>
      </c>
      <c r="L50" s="470"/>
      <c r="M50" s="470"/>
      <c r="N50" s="470"/>
      <c r="O50" s="470"/>
      <c r="P50" s="470"/>
      <c r="Q50" s="470"/>
      <c r="R50" s="470"/>
      <c r="S50" s="470"/>
      <c r="T50" s="470"/>
      <c r="U50" s="470"/>
      <c r="V50" s="470"/>
      <c r="W50" s="470"/>
      <c r="X50" s="470"/>
      <c r="Y50" s="470"/>
      <c r="Z50" s="470"/>
      <c r="AA50" s="470"/>
      <c r="AB50" s="470"/>
      <c r="AC50" s="113"/>
      <c r="AD50" s="772"/>
      <c r="AP50" s="539">
        <v>23</v>
      </c>
    </row>
    <row r="51" spans="1:42" ht="11.45" customHeight="1">
      <c r="F51" s="65" t="s">
        <v>731</v>
      </c>
      <c r="G51" s="471" t="s">
        <v>1251</v>
      </c>
      <c r="H51" s="274">
        <f t="shared" si="6"/>
        <v>0</v>
      </c>
      <c r="I51" s="470"/>
      <c r="J51" s="113"/>
      <c r="K51" s="274">
        <f t="shared" si="7"/>
        <v>0</v>
      </c>
      <c r="L51" s="470"/>
      <c r="M51" s="470"/>
      <c r="N51" s="470"/>
      <c r="O51" s="470"/>
      <c r="P51" s="470"/>
      <c r="Q51" s="470"/>
      <c r="R51" s="470"/>
      <c r="S51" s="470"/>
      <c r="T51" s="470"/>
      <c r="U51" s="470"/>
      <c r="V51" s="470"/>
      <c r="W51" s="470"/>
      <c r="X51" s="470"/>
      <c r="Y51" s="470"/>
      <c r="Z51" s="470"/>
      <c r="AA51" s="470"/>
      <c r="AB51" s="470"/>
      <c r="AC51" s="113"/>
      <c r="AD51" s="772"/>
      <c r="AP51" s="539">
        <v>11</v>
      </c>
    </row>
    <row r="52" spans="1:42" ht="11.45" customHeight="1">
      <c r="F52" s="65" t="s">
        <v>1260</v>
      </c>
      <c r="G52" s="471" t="s">
        <v>1253</v>
      </c>
      <c r="H52" s="274">
        <f t="shared" si="6"/>
        <v>0</v>
      </c>
      <c r="I52" s="470"/>
      <c r="J52" s="113"/>
      <c r="K52" s="274">
        <f t="shared" si="7"/>
        <v>0</v>
      </c>
      <c r="L52" s="470"/>
      <c r="M52" s="470"/>
      <c r="N52" s="470"/>
      <c r="O52" s="470"/>
      <c r="P52" s="470"/>
      <c r="Q52" s="470"/>
      <c r="R52" s="470"/>
      <c r="S52" s="470"/>
      <c r="T52" s="470"/>
      <c r="U52" s="470"/>
      <c r="V52" s="470"/>
      <c r="W52" s="470"/>
      <c r="X52" s="470"/>
      <c r="Y52" s="470"/>
      <c r="Z52" s="470"/>
      <c r="AA52" s="470"/>
      <c r="AB52" s="470"/>
      <c r="AC52" s="113"/>
      <c r="AD52" s="772"/>
      <c r="AP52" s="539">
        <v>11</v>
      </c>
    </row>
    <row r="53" spans="1:42" ht="35.65" customHeight="1">
      <c r="F53" s="65" t="s">
        <v>1261</v>
      </c>
      <c r="G53" s="471" t="s">
        <v>1255</v>
      </c>
      <c r="H53" s="274">
        <f t="shared" si="6"/>
        <v>0</v>
      </c>
      <c r="I53" s="470"/>
      <c r="J53" s="113"/>
      <c r="K53" s="274">
        <f t="shared" si="7"/>
        <v>0</v>
      </c>
      <c r="L53" s="470"/>
      <c r="M53" s="470"/>
      <c r="N53" s="470"/>
      <c r="O53" s="470"/>
      <c r="P53" s="470"/>
      <c r="Q53" s="470"/>
      <c r="R53" s="470"/>
      <c r="S53" s="470"/>
      <c r="T53" s="470"/>
      <c r="U53" s="470"/>
      <c r="V53" s="470"/>
      <c r="W53" s="470"/>
      <c r="X53" s="470"/>
      <c r="Y53" s="470"/>
      <c r="Z53" s="470"/>
      <c r="AA53" s="470"/>
      <c r="AB53" s="470"/>
      <c r="AC53" s="113"/>
      <c r="AD53" s="772"/>
      <c r="AP53" s="539">
        <v>34</v>
      </c>
    </row>
    <row r="54" spans="1:42" ht="11.45" customHeight="1">
      <c r="F54" s="65" t="s">
        <v>315</v>
      </c>
      <c r="G54" s="433" t="s">
        <v>1240</v>
      </c>
      <c r="H54" s="274">
        <f t="shared" si="6"/>
        <v>0</v>
      </c>
      <c r="I54" s="274">
        <f>SUM(I55:I56)</f>
        <v>0</v>
      </c>
      <c r="J54" s="113"/>
      <c r="K54" s="274">
        <f t="shared" si="7"/>
        <v>0</v>
      </c>
      <c r="L54" s="274">
        <f t="shared" ref="L54:AB54" si="13">SUM(L55:L56)</f>
        <v>0</v>
      </c>
      <c r="M54" s="274">
        <f t="shared" si="13"/>
        <v>0</v>
      </c>
      <c r="N54" s="274">
        <f t="shared" si="13"/>
        <v>0</v>
      </c>
      <c r="O54" s="274">
        <f t="shared" si="13"/>
        <v>0</v>
      </c>
      <c r="P54" s="274">
        <f t="shared" si="13"/>
        <v>0</v>
      </c>
      <c r="Q54" s="274">
        <f t="shared" si="13"/>
        <v>0</v>
      </c>
      <c r="R54" s="274">
        <f t="shared" si="13"/>
        <v>0</v>
      </c>
      <c r="S54" s="274">
        <f t="shared" si="13"/>
        <v>0</v>
      </c>
      <c r="T54" s="274">
        <f t="shared" si="13"/>
        <v>0</v>
      </c>
      <c r="U54" s="274">
        <f t="shared" si="13"/>
        <v>0</v>
      </c>
      <c r="V54" s="274">
        <f t="shared" si="13"/>
        <v>0</v>
      </c>
      <c r="W54" s="274">
        <f t="shared" si="13"/>
        <v>0</v>
      </c>
      <c r="X54" s="274">
        <f t="shared" si="13"/>
        <v>0</v>
      </c>
      <c r="Y54" s="274">
        <f t="shared" si="13"/>
        <v>0</v>
      </c>
      <c r="Z54" s="274">
        <f t="shared" si="13"/>
        <v>0</v>
      </c>
      <c r="AA54" s="274">
        <f t="shared" si="13"/>
        <v>0</v>
      </c>
      <c r="AB54" s="274">
        <f t="shared" si="13"/>
        <v>0</v>
      </c>
      <c r="AC54" s="113"/>
      <c r="AD54" s="772"/>
      <c r="AP54" s="539">
        <v>11</v>
      </c>
    </row>
    <row r="55" spans="1:42" ht="48.2" customHeight="1">
      <c r="F55" s="65" t="s">
        <v>735</v>
      </c>
      <c r="G55" s="471" t="s">
        <v>1241</v>
      </c>
      <c r="H55" s="274">
        <f t="shared" si="6"/>
        <v>0</v>
      </c>
      <c r="I55" s="470"/>
      <c r="J55" s="113"/>
      <c r="K55" s="274">
        <f t="shared" si="7"/>
        <v>0</v>
      </c>
      <c r="L55" s="470"/>
      <c r="M55" s="470"/>
      <c r="N55" s="470"/>
      <c r="O55" s="470"/>
      <c r="P55" s="470"/>
      <c r="Q55" s="470"/>
      <c r="R55" s="470"/>
      <c r="S55" s="470"/>
      <c r="T55" s="470"/>
      <c r="U55" s="470"/>
      <c r="V55" s="470"/>
      <c r="W55" s="470"/>
      <c r="X55" s="470"/>
      <c r="Y55" s="470"/>
      <c r="Z55" s="470"/>
      <c r="AA55" s="470"/>
      <c r="AB55" s="470"/>
      <c r="AC55" s="113"/>
      <c r="AD55" s="772"/>
      <c r="AP55" s="539">
        <v>46</v>
      </c>
    </row>
    <row r="56" spans="1:42" ht="11.45" customHeight="1">
      <c r="F56" s="65" t="s">
        <v>737</v>
      </c>
      <c r="G56" s="471" t="s">
        <v>1242</v>
      </c>
      <c r="H56" s="274">
        <f t="shared" si="6"/>
        <v>0</v>
      </c>
      <c r="I56" s="470"/>
      <c r="J56" s="113"/>
      <c r="K56" s="274">
        <f t="shared" si="7"/>
        <v>0</v>
      </c>
      <c r="L56" s="470"/>
      <c r="M56" s="470"/>
      <c r="N56" s="470"/>
      <c r="O56" s="470"/>
      <c r="P56" s="470"/>
      <c r="Q56" s="470"/>
      <c r="R56" s="470"/>
      <c r="S56" s="470"/>
      <c r="T56" s="470"/>
      <c r="U56" s="470"/>
      <c r="V56" s="470"/>
      <c r="W56" s="470"/>
      <c r="X56" s="470"/>
      <c r="Y56" s="470"/>
      <c r="Z56" s="470"/>
      <c r="AA56" s="470"/>
      <c r="AB56" s="470"/>
      <c r="AC56" s="113"/>
      <c r="AD56" s="772"/>
      <c r="AP56" s="539">
        <v>11</v>
      </c>
    </row>
    <row r="57" spans="1:42" ht="11.45" customHeight="1">
      <c r="F57" s="65" t="s">
        <v>318</v>
      </c>
      <c r="G57" s="433" t="s">
        <v>1258</v>
      </c>
      <c r="H57" s="274">
        <f t="shared" si="6"/>
        <v>0</v>
      </c>
      <c r="I57" s="470"/>
      <c r="J57" s="113"/>
      <c r="K57" s="274">
        <f t="shared" si="7"/>
        <v>0</v>
      </c>
      <c r="L57" s="470"/>
      <c r="M57" s="470"/>
      <c r="N57" s="470"/>
      <c r="O57" s="470"/>
      <c r="P57" s="470"/>
      <c r="Q57" s="470"/>
      <c r="R57" s="470"/>
      <c r="S57" s="470"/>
      <c r="T57" s="470"/>
      <c r="U57" s="470"/>
      <c r="V57" s="470"/>
      <c r="W57" s="470"/>
      <c r="X57" s="470"/>
      <c r="Y57" s="470"/>
      <c r="Z57" s="470"/>
      <c r="AA57" s="470"/>
      <c r="AB57" s="470"/>
      <c r="AC57" s="113"/>
      <c r="AD57" s="772"/>
      <c r="AP57" s="539">
        <v>11</v>
      </c>
    </row>
    <row r="58" spans="1:42" ht="11.45" customHeight="1">
      <c r="F58" s="65"/>
      <c r="G58" s="97" t="s">
        <v>1244</v>
      </c>
      <c r="H58" s="274">
        <f t="shared" si="6"/>
        <v>0</v>
      </c>
      <c r="I58" s="274">
        <f>SUM(I38,I48)</f>
        <v>0</v>
      </c>
      <c r="J58" s="113"/>
      <c r="K58" s="274">
        <f t="shared" si="7"/>
        <v>0</v>
      </c>
      <c r="L58" s="274">
        <f t="shared" ref="L58:AB58" si="14">SUM(L38,L48)</f>
        <v>0</v>
      </c>
      <c r="M58" s="274">
        <f t="shared" si="14"/>
        <v>0</v>
      </c>
      <c r="N58" s="274">
        <f t="shared" si="14"/>
        <v>0</v>
      </c>
      <c r="O58" s="274">
        <f t="shared" si="14"/>
        <v>0</v>
      </c>
      <c r="P58" s="274">
        <f t="shared" si="14"/>
        <v>0</v>
      </c>
      <c r="Q58" s="274">
        <f t="shared" si="14"/>
        <v>0</v>
      </c>
      <c r="R58" s="274">
        <f t="shared" si="14"/>
        <v>0</v>
      </c>
      <c r="S58" s="274">
        <f t="shared" si="14"/>
        <v>0</v>
      </c>
      <c r="T58" s="274">
        <f t="shared" si="14"/>
        <v>0</v>
      </c>
      <c r="U58" s="274">
        <f t="shared" si="14"/>
        <v>0</v>
      </c>
      <c r="V58" s="274">
        <f t="shared" si="14"/>
        <v>0</v>
      </c>
      <c r="W58" s="274">
        <f t="shared" si="14"/>
        <v>0</v>
      </c>
      <c r="X58" s="274">
        <f t="shared" si="14"/>
        <v>0</v>
      </c>
      <c r="Y58" s="274">
        <f t="shared" si="14"/>
        <v>0</v>
      </c>
      <c r="Z58" s="274">
        <f t="shared" si="14"/>
        <v>0</v>
      </c>
      <c r="AA58" s="274">
        <f t="shared" si="14"/>
        <v>0</v>
      </c>
      <c r="AB58" s="274">
        <f t="shared" si="14"/>
        <v>0</v>
      </c>
      <c r="AC58" s="113"/>
      <c r="AD58" s="772"/>
      <c r="AP58" s="539">
        <v>11</v>
      </c>
    </row>
    <row r="59" spans="1:42" ht="10.5" hidden="1" customHeight="1">
      <c r="A59" s="457" t="s">
        <v>81</v>
      </c>
      <c r="B59" s="457">
        <v>0</v>
      </c>
      <c r="C59" s="457">
        <v>0</v>
      </c>
      <c r="D59" s="556">
        <v>0</v>
      </c>
      <c r="E59" s="539">
        <v>3</v>
      </c>
      <c r="F59" s="539">
        <v>6</v>
      </c>
      <c r="G59" s="539">
        <v>60</v>
      </c>
      <c r="H59" s="539">
        <v>0</v>
      </c>
      <c r="I59" s="539">
        <v>0</v>
      </c>
      <c r="J59" s="539">
        <v>0</v>
      </c>
      <c r="K59" s="3">
        <v>0</v>
      </c>
      <c r="L59" s="3">
        <v>0</v>
      </c>
      <c r="M59" s="3">
        <v>0</v>
      </c>
      <c r="N59" s="3">
        <v>0</v>
      </c>
      <c r="O59" s="3">
        <v>0</v>
      </c>
      <c r="P59" s="3">
        <v>0</v>
      </c>
      <c r="Q59" s="3">
        <v>0</v>
      </c>
      <c r="R59" s="3">
        <v>0</v>
      </c>
      <c r="S59" s="3">
        <v>0</v>
      </c>
      <c r="T59" s="3">
        <v>0</v>
      </c>
      <c r="U59" s="3">
        <v>0</v>
      </c>
      <c r="V59" s="3">
        <v>0</v>
      </c>
      <c r="W59" s="3">
        <v>0</v>
      </c>
      <c r="X59" s="3">
        <v>0</v>
      </c>
      <c r="Y59" s="3">
        <v>0</v>
      </c>
      <c r="Z59" s="3">
        <v>0</v>
      </c>
      <c r="AA59" s="3">
        <v>0</v>
      </c>
      <c r="AB59" s="3">
        <v>0</v>
      </c>
      <c r="AC59" s="3">
        <v>0</v>
      </c>
      <c r="AD59" s="539">
        <v>1</v>
      </c>
      <c r="AE59" s="539">
        <v>8</v>
      </c>
      <c r="AF59" s="539">
        <v>8</v>
      </c>
      <c r="AG59" s="539">
        <v>8</v>
      </c>
      <c r="AH59" s="539">
        <v>8</v>
      </c>
      <c r="AI59" s="539">
        <v>8</v>
      </c>
      <c r="AJ59" s="539">
        <v>8</v>
      </c>
      <c r="AK59" s="539">
        <v>8</v>
      </c>
      <c r="AL59" s="539">
        <v>8</v>
      </c>
      <c r="AM59" s="539">
        <v>8</v>
      </c>
      <c r="AN59" s="539">
        <v>8</v>
      </c>
      <c r="AO59" s="539">
        <v>8</v>
      </c>
      <c r="AP59" s="539">
        <v>10</v>
      </c>
    </row>
  </sheetData>
  <sheetProtection formatColumns="0" formatRows="0" insertRows="0" deleteColumns="0" deleteRows="0" sort="0" autoFilter="0"/>
  <mergeCells count="11">
    <mergeCell ref="K10:AC10"/>
    <mergeCell ref="K11:AC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AB16 L17:AB17 L18:AB18 L19:AB19 L20:AB20 L21:AB21 L22:AB22 L23:AB23 L24:AB24 L25:AB25 L26:AB26 L27:AB27 L29:AB29 L30:AB30 L31:AB31 L33:AB33 L34:AB34 L35:AB35 L40:AB40 L41:AB41 L42:AB42 L43:AB43 L45:AB45 L46:AB46 L47:AB47 L50:AB50 L51:AB51 L52:AB52 L53:AB53 L55:AB55 L56:AB56 L57:AB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zoomScale="90" workbookViewId="0">
      <pane xSplit="14" ySplit="17" topLeftCell="DA21" activePane="bottomRight" state="frozen"/>
      <selection pane="topRight" activeCell="O1" sqref="O1"/>
      <selection pane="bottomLeft" activeCell="A18" sqref="A18"/>
      <selection pane="bottomRight" activeCell="DJ23" sqref="DJ23"/>
    </sheetView>
  </sheetViews>
  <sheetFormatPr defaultColWidth="9.140625" defaultRowHeight="12" customHeight="1"/>
  <cols>
    <col min="1" max="4" width="4.7109375" style="1030" hidden="1" customWidth="1"/>
    <col min="5" max="5" width="3" style="1030" customWidth="1"/>
    <col min="6" max="6" width="6" style="1030" customWidth="1"/>
    <col min="7" max="7" width="18" style="1030" customWidth="1"/>
    <col min="8" max="8" width="27" style="1030" customWidth="1"/>
    <col min="9" max="9" width="18" style="1030" customWidth="1"/>
    <col min="10" max="14" width="0.85546875" style="1030" hidden="1" customWidth="1"/>
    <col min="15" max="28" width="21.7109375" style="1030" hidden="1" customWidth="1"/>
    <col min="29" max="71" width="0.85546875" style="1030" hidden="1" customWidth="1"/>
    <col min="72" max="79" width="21.7109375" style="1030" hidden="1" customWidth="1"/>
    <col min="80" max="81" width="29.140625" style="1030" hidden="1" customWidth="1"/>
    <col min="82" max="89" width="21.7109375" style="1030" hidden="1" customWidth="1"/>
    <col min="90" max="102" width="0.7109375" style="1030" hidden="1" customWidth="1"/>
    <col min="103" max="114" width="21.7109375" style="1030" customWidth="1"/>
    <col min="115" max="128" width="0.7109375" style="1030" customWidth="1"/>
    <col min="129" max="178" width="0.7109375" style="1030" hidden="1" customWidth="1"/>
    <col min="179" max="179" width="0.140625" style="1030" customWidth="1"/>
    <col min="180" max="184" width="8" style="1030" customWidth="1"/>
    <col min="185" max="185" width="9.140625" style="1030" hidden="1"/>
  </cols>
  <sheetData>
    <row r="1" spans="5:185" ht="12" hidden="1" customHeight="1">
      <c r="GC1" s="472" t="s">
        <v>14</v>
      </c>
    </row>
    <row r="2" spans="5:185" ht="12" hidden="1" customHeight="1">
      <c r="GC2" s="472">
        <v>0</v>
      </c>
    </row>
    <row r="3" spans="5:185" ht="12" hidden="1" customHeight="1">
      <c r="GC3" s="472">
        <v>0</v>
      </c>
    </row>
    <row r="4" spans="5:185" ht="10.5" customHeight="1">
      <c r="GC4" s="473">
        <v>10</v>
      </c>
    </row>
    <row r="5" spans="5:185" ht="27.4" customHeight="1">
      <c r="E5" s="474"/>
      <c r="F5" s="139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113"/>
      <c r="H5" s="1113"/>
      <c r="I5" s="1113"/>
      <c r="J5" s="1113"/>
      <c r="K5" s="1113"/>
      <c r="L5" s="1113"/>
      <c r="M5" s="1113"/>
      <c r="N5" s="1113"/>
      <c r="O5" s="1113"/>
      <c r="P5" s="1113"/>
      <c r="Q5" s="1113"/>
      <c r="R5" s="1113"/>
      <c r="S5" s="1113"/>
      <c r="T5" s="1113"/>
      <c r="U5" s="1113"/>
      <c r="V5" s="1113"/>
      <c r="W5" s="1113"/>
      <c r="X5" s="1113"/>
      <c r="Y5" s="1113"/>
      <c r="Z5" s="1113"/>
      <c r="AA5" s="1113"/>
      <c r="AB5" s="1113"/>
      <c r="AC5" s="1113"/>
      <c r="AD5" s="1113"/>
      <c r="AE5" s="1113"/>
      <c r="AF5" s="1113"/>
      <c r="AG5" s="1113"/>
      <c r="AH5" s="1113"/>
      <c r="AI5" s="1113"/>
      <c r="AJ5" s="1113"/>
      <c r="AK5" s="1113"/>
      <c r="AL5" s="1113"/>
      <c r="AM5" s="1113"/>
      <c r="AN5" s="1113"/>
      <c r="AO5" s="1113"/>
      <c r="AP5" s="1113"/>
      <c r="AQ5" s="1113"/>
      <c r="AR5" s="1113"/>
      <c r="AS5" s="1113"/>
      <c r="AT5" s="1113"/>
      <c r="AU5" s="1113"/>
      <c r="AV5" s="1113"/>
      <c r="AW5" s="1113"/>
      <c r="AX5" s="1113"/>
      <c r="AY5" s="1113"/>
      <c r="AZ5" s="1113"/>
      <c r="BA5" s="1113"/>
      <c r="BB5" s="1113"/>
      <c r="BC5" s="1113"/>
      <c r="BD5" s="1113"/>
      <c r="BE5" s="1113"/>
      <c r="BF5" s="1113"/>
      <c r="BG5" s="1113"/>
      <c r="BH5" s="1113"/>
      <c r="BI5" s="1113"/>
      <c r="BJ5" s="1113"/>
      <c r="BK5" s="1113"/>
      <c r="BL5" s="1113"/>
      <c r="BM5" s="1113"/>
      <c r="BN5" s="1113"/>
      <c r="BO5" s="1113"/>
      <c r="BP5" s="1113"/>
      <c r="BQ5" s="1113"/>
      <c r="BR5" s="1113"/>
      <c r="BS5" s="1113"/>
      <c r="GC5" s="475">
        <v>26</v>
      </c>
    </row>
    <row r="6" spans="5:185" ht="18.75" customHeight="1">
      <c r="E6" s="96"/>
      <c r="F6" s="1169" t="str">
        <f>IF(org=0,"Не определено",org)</f>
        <v>АО "НИЖЕГОРОДСКИЙ ВОДОКАНАЛ"</v>
      </c>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c r="AE6" s="1170"/>
      <c r="AF6" s="1170"/>
      <c r="AG6" s="1170"/>
      <c r="AH6" s="1170"/>
      <c r="AI6" s="1170"/>
      <c r="AJ6" s="1170"/>
      <c r="AK6" s="1170"/>
      <c r="AL6" s="1170"/>
      <c r="AM6" s="1170"/>
      <c r="AN6" s="1170"/>
      <c r="AO6" s="1170"/>
      <c r="AP6" s="1170"/>
      <c r="AQ6" s="1170"/>
      <c r="AR6" s="1170"/>
      <c r="AS6" s="1170"/>
      <c r="AT6" s="1170"/>
      <c r="AU6" s="1170"/>
      <c r="AV6" s="1170"/>
      <c r="AW6" s="1170"/>
      <c r="AX6" s="1170"/>
      <c r="AY6" s="1170"/>
      <c r="AZ6" s="1170"/>
      <c r="BA6" s="1170"/>
      <c r="BB6" s="1170"/>
      <c r="BC6" s="1170"/>
      <c r="BD6" s="1170"/>
      <c r="BE6" s="1170"/>
      <c r="BF6" s="1170"/>
      <c r="BG6" s="1170"/>
      <c r="BH6" s="1170"/>
      <c r="BI6" s="1170"/>
      <c r="BJ6" s="1170"/>
      <c r="BK6" s="1170"/>
      <c r="BL6" s="1170"/>
      <c r="BM6" s="1170"/>
      <c r="BN6" s="1170"/>
      <c r="BO6" s="1170"/>
      <c r="BP6" s="1170"/>
      <c r="BQ6" s="1170"/>
      <c r="BR6" s="1170"/>
      <c r="BS6" s="1170"/>
      <c r="GC6" s="476">
        <v>18</v>
      </c>
    </row>
    <row r="7" spans="5:185" ht="10.5" customHeight="1">
      <c r="GC7" s="477">
        <v>10</v>
      </c>
    </row>
    <row r="8" spans="5:185" ht="11.25" hidden="1" customHeight="1">
      <c r="O8" s="1384" t="s">
        <v>1262</v>
      </c>
      <c r="P8" s="1385"/>
      <c r="Q8" s="1385"/>
      <c r="R8" s="1385"/>
      <c r="S8" s="1385"/>
      <c r="T8" s="1385"/>
      <c r="U8" s="1385"/>
      <c r="V8" s="1385"/>
      <c r="W8" s="1385"/>
      <c r="X8" s="1385"/>
      <c r="Y8" s="1385"/>
      <c r="Z8" s="1385"/>
      <c r="AA8" s="1385"/>
      <c r="AB8" s="1385"/>
      <c r="AC8" s="1385"/>
      <c r="AD8" s="1385"/>
      <c r="AE8" s="1385"/>
      <c r="AF8" s="1385"/>
      <c r="AG8" s="1385"/>
      <c r="AH8" s="1385"/>
      <c r="AI8" s="1385"/>
      <c r="AJ8" s="1385"/>
      <c r="AK8" s="1385"/>
      <c r="AL8" s="1385"/>
      <c r="AM8" s="1385"/>
      <c r="AN8" s="1385"/>
      <c r="AO8" s="1385"/>
      <c r="AP8" s="1385"/>
      <c r="AQ8" s="1385"/>
      <c r="AR8" s="1385"/>
      <c r="AS8" s="1385"/>
      <c r="AT8" s="1385"/>
      <c r="AU8" s="1385"/>
      <c r="AV8" s="1385"/>
      <c r="AW8" s="1385"/>
      <c r="AX8" s="1385"/>
      <c r="AY8" s="1385"/>
      <c r="AZ8" s="1385"/>
      <c r="BA8" s="1385"/>
      <c r="BB8" s="1385"/>
      <c r="BC8" s="1385"/>
      <c r="BD8" s="1385"/>
      <c r="BE8" s="1385"/>
      <c r="BF8" s="1385"/>
      <c r="BG8" s="1385"/>
      <c r="BH8" s="1385"/>
      <c r="BI8" s="1385"/>
      <c r="BJ8" s="1385"/>
      <c r="BK8" s="1385"/>
      <c r="BL8" s="1385"/>
      <c r="BM8" s="1385"/>
      <c r="BN8" s="1385"/>
      <c r="BO8" s="1385"/>
      <c r="BP8" s="1385"/>
      <c r="BQ8" s="1385"/>
      <c r="BR8" s="1385"/>
      <c r="BS8" s="1386"/>
      <c r="BT8" s="1387"/>
      <c r="BU8" s="1388"/>
      <c r="BV8" s="1388"/>
      <c r="BW8" s="1388"/>
      <c r="BX8" s="1388"/>
      <c r="BY8" s="1388"/>
      <c r="BZ8" s="1388"/>
      <c r="CA8" s="1388"/>
      <c r="CB8" s="1388"/>
      <c r="CC8" s="1388"/>
      <c r="CD8" s="1388"/>
      <c r="CE8" s="1388"/>
      <c r="CF8" s="1388"/>
      <c r="CG8" s="1388"/>
      <c r="CH8" s="1388"/>
      <c r="CI8" s="1388"/>
      <c r="CJ8" s="1388"/>
      <c r="CK8" s="1388"/>
      <c r="CL8" s="1388"/>
      <c r="CM8" s="1388"/>
      <c r="CN8" s="1388"/>
      <c r="CO8" s="1388"/>
      <c r="CP8" s="1388"/>
      <c r="CQ8" s="1388"/>
      <c r="CR8" s="1388"/>
      <c r="CS8" s="1388"/>
      <c r="CT8" s="1388"/>
      <c r="CU8" s="1388"/>
      <c r="CV8" s="1388"/>
      <c r="CW8" s="1388"/>
      <c r="CX8" s="1389"/>
      <c r="CY8" s="1390"/>
      <c r="CZ8" s="1391"/>
      <c r="DA8" s="1391"/>
      <c r="DB8" s="1391"/>
      <c r="DC8" s="1391"/>
      <c r="DD8" s="1391"/>
      <c r="DE8" s="1391"/>
      <c r="DF8" s="1391"/>
      <c r="DG8" s="1391"/>
      <c r="DH8" s="1391"/>
      <c r="DI8" s="1391"/>
      <c r="DJ8" s="1391"/>
      <c r="DK8" s="1391"/>
      <c r="DL8" s="1391"/>
      <c r="DM8" s="1391"/>
      <c r="DN8" s="1391"/>
      <c r="DO8" s="1391"/>
      <c r="DP8" s="1391"/>
      <c r="DQ8" s="1391"/>
      <c r="DR8" s="1391"/>
      <c r="DS8" s="1391"/>
      <c r="DT8" s="1391"/>
      <c r="DU8" s="1391"/>
      <c r="DV8" s="1391"/>
      <c r="DW8" s="1391"/>
      <c r="DX8" s="1392"/>
      <c r="DY8" s="1378" t="s">
        <v>1263</v>
      </c>
      <c r="DZ8" s="1379"/>
      <c r="EA8" s="1379"/>
      <c r="EB8" s="1379"/>
      <c r="EC8" s="1379"/>
      <c r="ED8" s="1379"/>
      <c r="EE8" s="1379"/>
      <c r="EF8" s="1379"/>
      <c r="EG8" s="1379"/>
      <c r="EH8" s="1379"/>
      <c r="EI8" s="1379"/>
      <c r="EJ8" s="1379"/>
      <c r="EK8" s="1379"/>
      <c r="EL8" s="1379"/>
      <c r="EM8" s="1379"/>
      <c r="EN8" s="1379"/>
      <c r="EO8" s="1379"/>
      <c r="EP8" s="1379"/>
      <c r="EQ8" s="1379"/>
      <c r="ER8" s="1379"/>
      <c r="ES8" s="1379"/>
      <c r="ET8" s="1379"/>
      <c r="EU8" s="1379"/>
      <c r="EV8" s="1379"/>
      <c r="EW8" s="1379"/>
      <c r="EX8" s="1379"/>
      <c r="EY8" s="1379"/>
      <c r="EZ8" s="1379"/>
      <c r="FA8" s="1379"/>
      <c r="FB8" s="1379"/>
      <c r="FC8" s="1379"/>
      <c r="FD8" s="1379"/>
      <c r="FE8" s="1379"/>
      <c r="FF8" s="1379"/>
      <c r="FG8" s="1379"/>
      <c r="FH8" s="1379"/>
      <c r="FI8" s="1379"/>
      <c r="FJ8" s="1379"/>
      <c r="FK8" s="1379"/>
      <c r="FL8" s="1379"/>
      <c r="FM8" s="1379"/>
      <c r="FN8" s="1379"/>
      <c r="FO8" s="1379"/>
      <c r="FP8" s="1379"/>
      <c r="FQ8" s="1379"/>
      <c r="FR8" s="1379"/>
      <c r="FS8" s="1379"/>
      <c r="FT8" s="1379"/>
      <c r="FU8" s="1379"/>
      <c r="FV8" s="1379"/>
      <c r="FW8" s="1380"/>
      <c r="GC8" s="477">
        <v>0</v>
      </c>
    </row>
    <row r="9" spans="5:185" ht="11.25" hidden="1" customHeight="1">
      <c r="FW9" s="1381"/>
      <c r="GC9" s="477">
        <v>0</v>
      </c>
    </row>
    <row r="10" spans="5:185" ht="11.45" customHeight="1">
      <c r="F10" s="1306" t="s">
        <v>308</v>
      </c>
      <c r="G10" s="1394"/>
      <c r="H10" s="1394"/>
      <c r="I10" s="1394"/>
      <c r="J10" s="1394"/>
      <c r="K10" s="1394"/>
      <c r="L10" s="1394"/>
      <c r="M10" s="1394"/>
      <c r="N10" s="1394"/>
      <c r="O10" s="1394"/>
      <c r="P10" s="1394"/>
      <c r="Q10" s="1394"/>
      <c r="R10" s="1394"/>
      <c r="S10" s="1394"/>
      <c r="T10" s="1394"/>
      <c r="U10" s="1394"/>
      <c r="V10" s="1394"/>
      <c r="W10" s="1394"/>
      <c r="X10" s="1394"/>
      <c r="Y10" s="1394"/>
      <c r="Z10" s="1394"/>
      <c r="AA10" s="1394"/>
      <c r="AB10" s="1394"/>
      <c r="AC10" s="1394"/>
      <c r="AD10" s="1394"/>
      <c r="AE10" s="1394"/>
      <c r="AF10" s="1394"/>
      <c r="AG10" s="1394"/>
      <c r="AH10" s="1394"/>
      <c r="AI10" s="1394"/>
      <c r="AJ10" s="1394"/>
      <c r="AK10" s="1394"/>
      <c r="AL10" s="1394"/>
      <c r="AM10" s="1394"/>
      <c r="AN10" s="1394"/>
      <c r="AO10" s="1394"/>
      <c r="AP10" s="1394"/>
      <c r="AQ10" s="1394"/>
      <c r="AR10" s="1394"/>
      <c r="AS10" s="1394"/>
      <c r="AT10" s="1394"/>
      <c r="AU10" s="1394"/>
      <c r="AV10" s="1394"/>
      <c r="AW10" s="1394"/>
      <c r="AX10" s="1394"/>
      <c r="AY10" s="1394"/>
      <c r="AZ10" s="1394"/>
      <c r="BA10" s="1394"/>
      <c r="BB10" s="1394"/>
      <c r="BC10" s="1394"/>
      <c r="BD10" s="1394"/>
      <c r="BE10" s="1394"/>
      <c r="BF10" s="1394"/>
      <c r="BG10" s="1394"/>
      <c r="BH10" s="1394"/>
      <c r="BI10" s="1394"/>
      <c r="BJ10" s="1394"/>
      <c r="BK10" s="1394"/>
      <c r="BL10" s="1394"/>
      <c r="BM10" s="1394"/>
      <c r="BN10" s="1394"/>
      <c r="BO10" s="1394"/>
      <c r="BP10" s="1394"/>
      <c r="BQ10" s="1394"/>
      <c r="BR10" s="1394"/>
      <c r="BS10" s="1394"/>
      <c r="BT10" s="1394"/>
      <c r="BU10" s="1394"/>
      <c r="BV10" s="1394"/>
      <c r="BW10" s="1394"/>
      <c r="BX10" s="1394"/>
      <c r="BY10" s="1394"/>
      <c r="BZ10" s="1394"/>
      <c r="CA10" s="1394"/>
      <c r="CB10" s="1394"/>
      <c r="CC10" s="1394"/>
      <c r="CD10" s="1394"/>
      <c r="CE10" s="1394"/>
      <c r="CF10" s="1394"/>
      <c r="CG10" s="1394"/>
      <c r="CH10" s="1394"/>
      <c r="CI10" s="1394"/>
      <c r="CJ10" s="1394"/>
      <c r="CK10" s="1394"/>
      <c r="CL10" s="1394"/>
      <c r="CM10" s="1394"/>
      <c r="CN10" s="1394"/>
      <c r="CO10" s="1394"/>
      <c r="CP10" s="1394"/>
      <c r="CQ10" s="1394"/>
      <c r="CR10" s="1394"/>
      <c r="CS10" s="1394"/>
      <c r="CT10" s="1394"/>
      <c r="CU10" s="1394"/>
      <c r="CV10" s="1394"/>
      <c r="CW10" s="1394"/>
      <c r="CX10" s="1394"/>
      <c r="CY10" s="1394"/>
      <c r="CZ10" s="1394"/>
      <c r="DA10" s="1394"/>
      <c r="DB10" s="1394"/>
      <c r="DC10" s="1394"/>
      <c r="DD10" s="1394"/>
      <c r="DE10" s="1394"/>
      <c r="DF10" s="1394"/>
      <c r="DG10" s="1394"/>
      <c r="DH10" s="1394"/>
      <c r="DI10" s="1394"/>
      <c r="DJ10" s="1394"/>
      <c r="DK10" s="1394"/>
      <c r="DL10" s="1394"/>
      <c r="DM10" s="1394"/>
      <c r="DN10" s="1394"/>
      <c r="DO10" s="1394"/>
      <c r="DP10" s="1394"/>
      <c r="DQ10" s="1394"/>
      <c r="DR10" s="1394"/>
      <c r="DS10" s="1394"/>
      <c r="DT10" s="1394"/>
      <c r="DU10" s="1394"/>
      <c r="DV10" s="1394"/>
      <c r="DW10" s="1394"/>
      <c r="DX10" s="1394"/>
      <c r="DY10" s="1394"/>
      <c r="DZ10" s="1394"/>
      <c r="EA10" s="1394"/>
      <c r="EB10" s="1394"/>
      <c r="EC10" s="1394"/>
      <c r="ED10" s="1394"/>
      <c r="EE10" s="1394"/>
      <c r="EF10" s="1394"/>
      <c r="EG10" s="1394"/>
      <c r="EH10" s="1394"/>
      <c r="EI10" s="1394"/>
      <c r="EJ10" s="1394"/>
      <c r="EK10" s="1394"/>
      <c r="EL10" s="1394"/>
      <c r="EM10" s="1394"/>
      <c r="EN10" s="1394"/>
      <c r="EO10" s="1394"/>
      <c r="EP10" s="1394"/>
      <c r="EQ10" s="1394"/>
      <c r="ER10" s="1394"/>
      <c r="ES10" s="1394"/>
      <c r="ET10" s="1394"/>
      <c r="EU10" s="1394"/>
      <c r="EV10" s="1394"/>
      <c r="EW10" s="1394"/>
      <c r="EX10" s="1394"/>
      <c r="EY10" s="1394"/>
      <c r="EZ10" s="1394"/>
      <c r="FA10" s="1394"/>
      <c r="FB10" s="1394"/>
      <c r="FC10" s="1394"/>
      <c r="FD10" s="1394"/>
      <c r="FE10" s="1394"/>
      <c r="FF10" s="1394"/>
      <c r="FG10" s="1394"/>
      <c r="FH10" s="1394"/>
      <c r="FI10" s="1394"/>
      <c r="FJ10" s="1394"/>
      <c r="FK10" s="1394"/>
      <c r="FL10" s="1394"/>
      <c r="FM10" s="1394"/>
      <c r="FN10" s="1394"/>
      <c r="FO10" s="1394"/>
      <c r="FP10" s="1394"/>
      <c r="FQ10" s="1394"/>
      <c r="FR10" s="1394"/>
      <c r="FS10" s="1394"/>
      <c r="FT10" s="1394"/>
      <c r="FU10" s="1394"/>
      <c r="FV10" s="1335"/>
      <c r="FW10" s="1381"/>
      <c r="GC10" s="477">
        <v>11</v>
      </c>
    </row>
    <row r="11" spans="5:185" ht="12.75" customHeight="1">
      <c r="E11" s="478"/>
      <c r="F11" s="1151" t="s">
        <v>87</v>
      </c>
      <c r="G11" s="1151" t="s">
        <v>1264</v>
      </c>
      <c r="H11" s="1151" t="s">
        <v>1265</v>
      </c>
      <c r="I11" s="1151" t="s">
        <v>1266</v>
      </c>
      <c r="J11" s="1393"/>
      <c r="K11" s="1393"/>
      <c r="L11" s="1393"/>
      <c r="M11" s="1393"/>
      <c r="N11" s="1393"/>
      <c r="O11" s="1155" t="s">
        <v>1267</v>
      </c>
      <c r="P11" s="1155"/>
      <c r="Q11" s="1155"/>
      <c r="R11" s="1155"/>
      <c r="S11" s="1155"/>
      <c r="T11" s="1155"/>
      <c r="U11" s="1155"/>
      <c r="V11" s="1155"/>
      <c r="W11" s="1155"/>
      <c r="X11" s="1155"/>
      <c r="Y11" s="1155"/>
      <c r="Z11" s="1155"/>
      <c r="AA11" s="1155"/>
      <c r="AB11" s="1155"/>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7"/>
      <c r="BT11" s="1293" t="s">
        <v>1267</v>
      </c>
      <c r="BU11" s="1294"/>
      <c r="BV11" s="1294"/>
      <c r="BW11" s="1294"/>
      <c r="BX11" s="1294"/>
      <c r="BY11" s="1294"/>
      <c r="BZ11" s="1294"/>
      <c r="CA11" s="1294"/>
      <c r="CB11" s="1294"/>
      <c r="CC11" s="1294"/>
      <c r="CD11" s="1294"/>
      <c r="CE11" s="1294"/>
      <c r="CF11" s="1294"/>
      <c r="CG11" s="1294"/>
      <c r="CH11" s="1294"/>
      <c r="CI11" s="1294"/>
      <c r="CJ11" s="1294"/>
      <c r="CK11" s="1375"/>
      <c r="CL11" s="1383"/>
      <c r="CM11" s="1376"/>
      <c r="CN11" s="1376"/>
      <c r="CO11" s="1376"/>
      <c r="CP11" s="1376"/>
      <c r="CQ11" s="1376"/>
      <c r="CR11" s="1376"/>
      <c r="CS11" s="1376"/>
      <c r="CT11" s="1376"/>
      <c r="CU11" s="1376"/>
      <c r="CV11" s="1376"/>
      <c r="CW11" s="1376"/>
      <c r="CX11" s="1377"/>
      <c r="CY11" s="1293" t="s">
        <v>1267</v>
      </c>
      <c r="CZ11" s="1294"/>
      <c r="DA11" s="1294"/>
      <c r="DB11" s="1294"/>
      <c r="DC11" s="1294"/>
      <c r="DD11" s="1294"/>
      <c r="DE11" s="1294"/>
      <c r="DF11" s="1294"/>
      <c r="DG11" s="1294"/>
      <c r="DH11" s="1294"/>
      <c r="DI11" s="1294"/>
      <c r="DJ11" s="1375"/>
      <c r="DK11" s="1383"/>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81"/>
      <c r="GC11" s="473">
        <v>12</v>
      </c>
    </row>
    <row r="12" spans="5:185" ht="12.75" customHeight="1">
      <c r="E12" s="478"/>
      <c r="F12" s="1151"/>
      <c r="G12" s="1151"/>
      <c r="H12" s="1151"/>
      <c r="I12" s="1151"/>
      <c r="J12" s="1393"/>
      <c r="K12" s="1393"/>
      <c r="L12" s="1393"/>
      <c r="M12" s="1393"/>
      <c r="N12" s="1393"/>
      <c r="O12" s="1155" t="s">
        <v>1268</v>
      </c>
      <c r="P12" s="1155"/>
      <c r="Q12" s="1155"/>
      <c r="R12" s="1155"/>
      <c r="S12" s="1155" t="s">
        <v>1269</v>
      </c>
      <c r="T12" s="1155"/>
      <c r="U12" s="1155"/>
      <c r="V12" s="1155"/>
      <c r="W12" s="1155"/>
      <c r="X12" s="1155"/>
      <c r="Y12" s="1155"/>
      <c r="Z12" s="1155"/>
      <c r="AA12" s="1155"/>
      <c r="AB12" s="1155"/>
      <c r="AC12" s="1376"/>
      <c r="AD12" s="1376"/>
      <c r="AE12" s="1376"/>
      <c r="AF12" s="1376"/>
      <c r="AG12" s="1376"/>
      <c r="AH12" s="1376"/>
      <c r="AI12" s="1376"/>
      <c r="AJ12" s="1376"/>
      <c r="AK12" s="1376"/>
      <c r="AL12" s="1376"/>
      <c r="AM12" s="1376"/>
      <c r="AN12" s="1376"/>
      <c r="AO12" s="1376"/>
      <c r="AP12" s="1376"/>
      <c r="AQ12" s="1376"/>
      <c r="AR12" s="1376"/>
      <c r="AS12" s="1376"/>
      <c r="AT12" s="1376"/>
      <c r="AU12" s="1376"/>
      <c r="AV12" s="1376"/>
      <c r="AW12" s="1376"/>
      <c r="AX12" s="1376"/>
      <c r="AY12" s="1376"/>
      <c r="AZ12" s="1376"/>
      <c r="BA12" s="1376"/>
      <c r="BB12" s="1376"/>
      <c r="BC12" s="1376"/>
      <c r="BD12" s="1376"/>
      <c r="BE12" s="1376"/>
      <c r="BF12" s="1376"/>
      <c r="BG12" s="1376"/>
      <c r="BH12" s="1376"/>
      <c r="BI12" s="1376"/>
      <c r="BJ12" s="1376"/>
      <c r="BK12" s="1376"/>
      <c r="BL12" s="1376"/>
      <c r="BM12" s="1376"/>
      <c r="BN12" s="1376"/>
      <c r="BO12" s="1376"/>
      <c r="BP12" s="1376"/>
      <c r="BQ12" s="1376"/>
      <c r="BR12" s="1376"/>
      <c r="BS12" s="1377"/>
      <c r="BT12" s="1293" t="s">
        <v>1270</v>
      </c>
      <c r="BU12" s="1294"/>
      <c r="BV12" s="1294"/>
      <c r="BW12" s="1375"/>
      <c r="BX12" s="1293" t="s">
        <v>1271</v>
      </c>
      <c r="BY12" s="1294"/>
      <c r="BZ12" s="1294"/>
      <c r="CA12" s="1375"/>
      <c r="CB12" s="1293" t="s">
        <v>1272</v>
      </c>
      <c r="CC12" s="1375"/>
      <c r="CD12" s="1293" t="s">
        <v>1273</v>
      </c>
      <c r="CE12" s="1294"/>
      <c r="CF12" s="1294"/>
      <c r="CG12" s="1294"/>
      <c r="CH12" s="1294"/>
      <c r="CI12" s="1294"/>
      <c r="CJ12" s="1294"/>
      <c r="CK12" s="1375"/>
      <c r="CL12" s="1383"/>
      <c r="CM12" s="1376"/>
      <c r="CN12" s="1376"/>
      <c r="CO12" s="1376"/>
      <c r="CP12" s="1376"/>
      <c r="CQ12" s="1376"/>
      <c r="CR12" s="1376"/>
      <c r="CS12" s="1376"/>
      <c r="CT12" s="1376"/>
      <c r="CU12" s="1376"/>
      <c r="CV12" s="1376"/>
      <c r="CW12" s="1376"/>
      <c r="CX12" s="1377"/>
      <c r="CY12" s="1293" t="s">
        <v>1274</v>
      </c>
      <c r="CZ12" s="1294"/>
      <c r="DA12" s="1294"/>
      <c r="DB12" s="1294"/>
      <c r="DC12" s="1294"/>
      <c r="DD12" s="1375"/>
      <c r="DE12" s="1293" t="s">
        <v>1275</v>
      </c>
      <c r="DF12" s="1375"/>
      <c r="DG12" s="1293" t="s">
        <v>1273</v>
      </c>
      <c r="DH12" s="1294"/>
      <c r="DI12" s="1294"/>
      <c r="DJ12" s="1375"/>
      <c r="DK12" s="1383"/>
      <c r="DL12" s="1376"/>
      <c r="DM12" s="1376"/>
      <c r="DN12" s="1376"/>
      <c r="DO12" s="1376"/>
      <c r="DP12" s="1376"/>
      <c r="DQ12" s="1376"/>
      <c r="DR12" s="1376"/>
      <c r="DS12" s="1376"/>
      <c r="DT12" s="1376"/>
      <c r="DU12" s="1376"/>
      <c r="DV12" s="1376"/>
      <c r="DW12" s="1376"/>
      <c r="DX12" s="1376"/>
      <c r="DY12" s="1376"/>
      <c r="DZ12" s="1376"/>
      <c r="EA12" s="1376"/>
      <c r="EB12" s="1376"/>
      <c r="EC12" s="1376"/>
      <c r="ED12" s="1376"/>
      <c r="EE12" s="1376"/>
      <c r="EF12" s="1376"/>
      <c r="EG12" s="1376"/>
      <c r="EH12" s="1376"/>
      <c r="EI12" s="1376"/>
      <c r="EJ12" s="1376"/>
      <c r="EK12" s="1376"/>
      <c r="EL12" s="1376"/>
      <c r="EM12" s="1376"/>
      <c r="EN12" s="1376"/>
      <c r="EO12" s="1376"/>
      <c r="EP12" s="1376"/>
      <c r="EQ12" s="1376"/>
      <c r="ER12" s="1376"/>
      <c r="ES12" s="1376"/>
      <c r="ET12" s="1376"/>
      <c r="EU12" s="1376"/>
      <c r="EV12" s="1376"/>
      <c r="EW12" s="1376"/>
      <c r="EX12" s="1376"/>
      <c r="EY12" s="1376"/>
      <c r="EZ12" s="1376"/>
      <c r="FA12" s="1376"/>
      <c r="FB12" s="1376"/>
      <c r="FC12" s="1376"/>
      <c r="FD12" s="1376"/>
      <c r="FE12" s="1376"/>
      <c r="FF12" s="1376"/>
      <c r="FG12" s="1376"/>
      <c r="FH12" s="1376"/>
      <c r="FI12" s="1376"/>
      <c r="FJ12" s="1376"/>
      <c r="FK12" s="1376"/>
      <c r="FL12" s="1376"/>
      <c r="FM12" s="1376"/>
      <c r="FN12" s="1376"/>
      <c r="FO12" s="1376"/>
      <c r="FP12" s="1376"/>
      <c r="FQ12" s="1376"/>
      <c r="FR12" s="1376"/>
      <c r="FS12" s="1376"/>
      <c r="FT12" s="1376"/>
      <c r="FU12" s="1376"/>
      <c r="FV12" s="1376"/>
      <c r="FW12" s="1381"/>
      <c r="GC12" s="473">
        <v>12</v>
      </c>
    </row>
    <row r="13" spans="5:185" ht="37.9" customHeight="1">
      <c r="E13" s="478"/>
      <c r="F13" s="1151"/>
      <c r="G13" s="1151"/>
      <c r="H13" s="1151"/>
      <c r="I13" s="1151"/>
      <c r="J13" s="1393"/>
      <c r="K13" s="1393"/>
      <c r="L13" s="1393"/>
      <c r="M13" s="1393"/>
      <c r="N13" s="1393"/>
      <c r="O13" s="1155" t="s">
        <v>1276</v>
      </c>
      <c r="P13" s="1155"/>
      <c r="Q13" s="1155"/>
      <c r="R13" s="1155"/>
      <c r="S13" s="1254" t="s">
        <v>1277</v>
      </c>
      <c r="T13" s="1295"/>
      <c r="U13" s="1070" t="s">
        <v>1278</v>
      </c>
      <c r="V13" s="1070"/>
      <c r="W13" s="1070"/>
      <c r="X13" s="1070"/>
      <c r="Y13" s="1070" t="s">
        <v>1279</v>
      </c>
      <c r="Z13" s="1070"/>
      <c r="AA13" s="1070"/>
      <c r="AB13" s="1070"/>
      <c r="AC13" s="1376"/>
      <c r="AD13" s="1376"/>
      <c r="AE13" s="1376"/>
      <c r="AF13" s="1376"/>
      <c r="AG13" s="1376"/>
      <c r="AH13" s="1376"/>
      <c r="AI13" s="1376"/>
      <c r="AJ13" s="1376"/>
      <c r="AK13" s="1376"/>
      <c r="AL13" s="1376"/>
      <c r="AM13" s="1376"/>
      <c r="AN13" s="1376"/>
      <c r="AO13" s="1376"/>
      <c r="AP13" s="1376"/>
      <c r="AQ13" s="1376"/>
      <c r="AR13" s="1376"/>
      <c r="AS13" s="1376"/>
      <c r="AT13" s="1376"/>
      <c r="AU13" s="1376"/>
      <c r="AV13" s="1376"/>
      <c r="AW13" s="1376"/>
      <c r="AX13" s="1376"/>
      <c r="AY13" s="1376"/>
      <c r="AZ13" s="1376"/>
      <c r="BA13" s="1376"/>
      <c r="BB13" s="1376"/>
      <c r="BC13" s="1376"/>
      <c r="BD13" s="1376"/>
      <c r="BE13" s="1376"/>
      <c r="BF13" s="1376"/>
      <c r="BG13" s="1376"/>
      <c r="BH13" s="1376"/>
      <c r="BI13" s="1376"/>
      <c r="BJ13" s="1376"/>
      <c r="BK13" s="1376"/>
      <c r="BL13" s="1376"/>
      <c r="BM13" s="1376"/>
      <c r="BN13" s="1376"/>
      <c r="BO13" s="1376"/>
      <c r="BP13" s="1376"/>
      <c r="BQ13" s="1376"/>
      <c r="BR13" s="1376"/>
      <c r="BS13" s="1377"/>
      <c r="BT13" s="1254" t="s">
        <v>1280</v>
      </c>
      <c r="BU13" s="1295"/>
      <c r="BV13" s="1254" t="s">
        <v>1281</v>
      </c>
      <c r="BW13" s="1295"/>
      <c r="BX13" s="1254" t="s">
        <v>1282</v>
      </c>
      <c r="BY13" s="1295"/>
      <c r="BZ13" s="1254" t="s">
        <v>1283</v>
      </c>
      <c r="CA13" s="1295"/>
      <c r="CB13" s="1254" t="s">
        <v>1284</v>
      </c>
      <c r="CC13" s="1295"/>
      <c r="CD13" s="1254" t="s">
        <v>1285</v>
      </c>
      <c r="CE13" s="1295"/>
      <c r="CF13" s="1254" t="s">
        <v>1286</v>
      </c>
      <c r="CG13" s="1295"/>
      <c r="CH13" s="1293" t="s">
        <v>1287</v>
      </c>
      <c r="CI13" s="1294"/>
      <c r="CJ13" s="1294"/>
      <c r="CK13" s="1375"/>
      <c r="CL13" s="1383"/>
      <c r="CM13" s="1376"/>
      <c r="CN13" s="1376"/>
      <c r="CO13" s="1376"/>
      <c r="CP13" s="1376"/>
      <c r="CQ13" s="1376"/>
      <c r="CR13" s="1376"/>
      <c r="CS13" s="1376"/>
      <c r="CT13" s="1376"/>
      <c r="CU13" s="1376"/>
      <c r="CV13" s="1376"/>
      <c r="CW13" s="1376"/>
      <c r="CX13" s="1377"/>
      <c r="CY13" s="1254" t="s">
        <v>1288</v>
      </c>
      <c r="CZ13" s="1295"/>
      <c r="DA13" s="1254" t="s">
        <v>1289</v>
      </c>
      <c r="DB13" s="1295"/>
      <c r="DC13" s="1254" t="s">
        <v>1290</v>
      </c>
      <c r="DD13" s="1295"/>
      <c r="DE13" s="1254" t="s">
        <v>1291</v>
      </c>
      <c r="DF13" s="1295"/>
      <c r="DG13" s="1293" t="s">
        <v>1292</v>
      </c>
      <c r="DH13" s="1294"/>
      <c r="DI13" s="1294"/>
      <c r="DJ13" s="1375"/>
      <c r="DK13" s="1383"/>
      <c r="DL13" s="1376"/>
      <c r="DM13" s="1376"/>
      <c r="DN13" s="1376"/>
      <c r="DO13" s="1376"/>
      <c r="DP13" s="1376"/>
      <c r="DQ13" s="1376"/>
      <c r="DR13" s="1376"/>
      <c r="DS13" s="1376"/>
      <c r="DT13" s="1376"/>
      <c r="DU13" s="1376"/>
      <c r="DV13" s="1376"/>
      <c r="DW13" s="1376"/>
      <c r="DX13" s="1376"/>
      <c r="DY13" s="1376"/>
      <c r="DZ13" s="1376"/>
      <c r="EA13" s="1376"/>
      <c r="EB13" s="1376"/>
      <c r="EC13" s="1376"/>
      <c r="ED13" s="1376"/>
      <c r="EE13" s="1376"/>
      <c r="EF13" s="1376"/>
      <c r="EG13" s="1376"/>
      <c r="EH13" s="1376"/>
      <c r="EI13" s="1376"/>
      <c r="EJ13" s="1376"/>
      <c r="EK13" s="1376"/>
      <c r="EL13" s="1376"/>
      <c r="EM13" s="1376"/>
      <c r="EN13" s="1376"/>
      <c r="EO13" s="1376"/>
      <c r="EP13" s="1376"/>
      <c r="EQ13" s="1376"/>
      <c r="ER13" s="1376"/>
      <c r="ES13" s="1376"/>
      <c r="ET13" s="1376"/>
      <c r="EU13" s="1376"/>
      <c r="EV13" s="1376"/>
      <c r="EW13" s="1376"/>
      <c r="EX13" s="1376"/>
      <c r="EY13" s="1376"/>
      <c r="EZ13" s="1376"/>
      <c r="FA13" s="1376"/>
      <c r="FB13" s="1376"/>
      <c r="FC13" s="1376"/>
      <c r="FD13" s="1376"/>
      <c r="FE13" s="1376"/>
      <c r="FF13" s="1376"/>
      <c r="FG13" s="1376"/>
      <c r="FH13" s="1376"/>
      <c r="FI13" s="1376"/>
      <c r="FJ13" s="1376"/>
      <c r="FK13" s="1376"/>
      <c r="FL13" s="1376"/>
      <c r="FM13" s="1376"/>
      <c r="FN13" s="1376"/>
      <c r="FO13" s="1376"/>
      <c r="FP13" s="1376"/>
      <c r="FQ13" s="1376"/>
      <c r="FR13" s="1376"/>
      <c r="FS13" s="1376"/>
      <c r="FT13" s="1376"/>
      <c r="FU13" s="1376"/>
      <c r="FV13" s="1376"/>
      <c r="FW13" s="1381"/>
      <c r="GC13" s="473">
        <v>36</v>
      </c>
    </row>
    <row r="14" spans="5:185" ht="37.9" customHeight="1">
      <c r="E14" s="478"/>
      <c r="F14" s="1151"/>
      <c r="G14" s="1151"/>
      <c r="H14" s="1151"/>
      <c r="I14" s="1151"/>
      <c r="J14" s="1393"/>
      <c r="K14" s="1393"/>
      <c r="L14" s="1393"/>
      <c r="M14" s="1393"/>
      <c r="N14" s="1393"/>
      <c r="O14" s="1254" t="s">
        <v>1293</v>
      </c>
      <c r="P14" s="1295"/>
      <c r="Q14" s="1254" t="s">
        <v>1294</v>
      </c>
      <c r="R14" s="1295"/>
      <c r="S14" s="1255"/>
      <c r="T14" s="1159"/>
      <c r="U14" s="1254" t="s">
        <v>852</v>
      </c>
      <c r="V14" s="1295"/>
      <c r="W14" s="1254" t="s">
        <v>855</v>
      </c>
      <c r="X14" s="1295"/>
      <c r="Y14" s="1254" t="s">
        <v>852</v>
      </c>
      <c r="Z14" s="1295"/>
      <c r="AA14" s="1254" t="s">
        <v>862</v>
      </c>
      <c r="AB14" s="1295"/>
      <c r="AC14" s="1376"/>
      <c r="AD14" s="1376"/>
      <c r="AE14" s="1376"/>
      <c r="AF14" s="1376"/>
      <c r="AG14" s="1376"/>
      <c r="AH14" s="1376"/>
      <c r="AI14" s="1376"/>
      <c r="AJ14" s="1376"/>
      <c r="AK14" s="1376"/>
      <c r="AL14" s="1376"/>
      <c r="AM14" s="1376"/>
      <c r="AN14" s="1376"/>
      <c r="AO14" s="1376"/>
      <c r="AP14" s="1376"/>
      <c r="AQ14" s="1376"/>
      <c r="AR14" s="1376"/>
      <c r="AS14" s="1376"/>
      <c r="AT14" s="1376"/>
      <c r="AU14" s="1376"/>
      <c r="AV14" s="1376"/>
      <c r="AW14" s="1376"/>
      <c r="AX14" s="1376"/>
      <c r="AY14" s="1376"/>
      <c r="AZ14" s="1376"/>
      <c r="BA14" s="1376"/>
      <c r="BB14" s="1376"/>
      <c r="BC14" s="1376"/>
      <c r="BD14" s="1376"/>
      <c r="BE14" s="1376"/>
      <c r="BF14" s="1376"/>
      <c r="BG14" s="1376"/>
      <c r="BH14" s="1376"/>
      <c r="BI14" s="1376"/>
      <c r="BJ14" s="1376"/>
      <c r="BK14" s="1376"/>
      <c r="BL14" s="1376"/>
      <c r="BM14" s="1376"/>
      <c r="BN14" s="1376"/>
      <c r="BO14" s="1376"/>
      <c r="BP14" s="1376"/>
      <c r="BQ14" s="1376"/>
      <c r="BR14" s="1376"/>
      <c r="BS14" s="1377"/>
      <c r="BT14" s="1255"/>
      <c r="BU14" s="1159"/>
      <c r="BV14" s="1255"/>
      <c r="BW14" s="1159"/>
      <c r="BX14" s="1255"/>
      <c r="BY14" s="1159"/>
      <c r="BZ14" s="1255"/>
      <c r="CA14" s="1159"/>
      <c r="CB14" s="1255"/>
      <c r="CC14" s="1159"/>
      <c r="CD14" s="1255"/>
      <c r="CE14" s="1159"/>
      <c r="CF14" s="1255"/>
      <c r="CG14" s="1159"/>
      <c r="CH14" s="1254" t="s">
        <v>1295</v>
      </c>
      <c r="CI14" s="1295"/>
      <c r="CJ14" s="1254" t="s">
        <v>1296</v>
      </c>
      <c r="CK14" s="1295"/>
      <c r="CL14" s="1383"/>
      <c r="CM14" s="1376"/>
      <c r="CN14" s="1376"/>
      <c r="CO14" s="1376"/>
      <c r="CP14" s="1376"/>
      <c r="CQ14" s="1376"/>
      <c r="CR14" s="1376"/>
      <c r="CS14" s="1376"/>
      <c r="CT14" s="1376"/>
      <c r="CU14" s="1376"/>
      <c r="CV14" s="1376"/>
      <c r="CW14" s="1376"/>
      <c r="CX14" s="1377"/>
      <c r="CY14" s="1255"/>
      <c r="CZ14" s="1159"/>
      <c r="DA14" s="1255"/>
      <c r="DB14" s="1159"/>
      <c r="DC14" s="1255"/>
      <c r="DD14" s="1159"/>
      <c r="DE14" s="1255"/>
      <c r="DF14" s="1159"/>
      <c r="DG14" s="1254" t="s">
        <v>1297</v>
      </c>
      <c r="DH14" s="1295"/>
      <c r="DI14" s="1254" t="s">
        <v>1298</v>
      </c>
      <c r="DJ14" s="1295"/>
      <c r="DK14" s="1383"/>
      <c r="DL14" s="1376"/>
      <c r="DM14" s="1376"/>
      <c r="DN14" s="1376"/>
      <c r="DO14" s="1376"/>
      <c r="DP14" s="1376"/>
      <c r="DQ14" s="1376"/>
      <c r="DR14" s="1376"/>
      <c r="DS14" s="1376"/>
      <c r="DT14" s="1376"/>
      <c r="DU14" s="1376"/>
      <c r="DV14" s="1376"/>
      <c r="DW14" s="1376"/>
      <c r="DX14" s="1376"/>
      <c r="DY14" s="1376"/>
      <c r="DZ14" s="1376"/>
      <c r="EA14" s="1376"/>
      <c r="EB14" s="1376"/>
      <c r="EC14" s="1376"/>
      <c r="ED14" s="1376"/>
      <c r="EE14" s="1376"/>
      <c r="EF14" s="1376"/>
      <c r="EG14" s="1376"/>
      <c r="EH14" s="1376"/>
      <c r="EI14" s="1376"/>
      <c r="EJ14" s="1376"/>
      <c r="EK14" s="1376"/>
      <c r="EL14" s="1376"/>
      <c r="EM14" s="1376"/>
      <c r="EN14" s="1376"/>
      <c r="EO14" s="1376"/>
      <c r="EP14" s="1376"/>
      <c r="EQ14" s="1376"/>
      <c r="ER14" s="1376"/>
      <c r="ES14" s="1376"/>
      <c r="ET14" s="1376"/>
      <c r="EU14" s="1376"/>
      <c r="EV14" s="1376"/>
      <c r="EW14" s="1376"/>
      <c r="EX14" s="1376"/>
      <c r="EY14" s="1376"/>
      <c r="EZ14" s="1376"/>
      <c r="FA14" s="1376"/>
      <c r="FB14" s="1376"/>
      <c r="FC14" s="1376"/>
      <c r="FD14" s="1376"/>
      <c r="FE14" s="1376"/>
      <c r="FF14" s="1376"/>
      <c r="FG14" s="1376"/>
      <c r="FH14" s="1376"/>
      <c r="FI14" s="1376"/>
      <c r="FJ14" s="1376"/>
      <c r="FK14" s="1376"/>
      <c r="FL14" s="1376"/>
      <c r="FM14" s="1376"/>
      <c r="FN14" s="1376"/>
      <c r="FO14" s="1376"/>
      <c r="FP14" s="1376"/>
      <c r="FQ14" s="1376"/>
      <c r="FR14" s="1376"/>
      <c r="FS14" s="1376"/>
      <c r="FT14" s="1376"/>
      <c r="FU14" s="1376"/>
      <c r="FV14" s="1376"/>
      <c r="FW14" s="1381"/>
      <c r="GC14" s="473">
        <v>36</v>
      </c>
    </row>
    <row r="15" spans="5:185" ht="37.9" customHeight="1">
      <c r="E15" s="478"/>
      <c r="F15" s="1151"/>
      <c r="G15" s="1151"/>
      <c r="H15" s="1151"/>
      <c r="I15" s="1151"/>
      <c r="J15" s="1393"/>
      <c r="K15" s="1393"/>
      <c r="L15" s="1393"/>
      <c r="M15" s="1393"/>
      <c r="N15" s="1393"/>
      <c r="O15" s="1256"/>
      <c r="P15" s="1327"/>
      <c r="Q15" s="1256"/>
      <c r="R15" s="1327"/>
      <c r="S15" s="1256"/>
      <c r="T15" s="1327"/>
      <c r="U15" s="1256"/>
      <c r="V15" s="1327"/>
      <c r="W15" s="1256"/>
      <c r="X15" s="1327"/>
      <c r="Y15" s="1256"/>
      <c r="Z15" s="1327"/>
      <c r="AA15" s="1256"/>
      <c r="AB15" s="1327"/>
      <c r="AC15" s="1376"/>
      <c r="AD15" s="1376"/>
      <c r="AE15" s="1376"/>
      <c r="AF15" s="1376"/>
      <c r="AG15" s="1376"/>
      <c r="AH15" s="1376"/>
      <c r="AI15" s="1376"/>
      <c r="AJ15" s="1376"/>
      <c r="AK15" s="1376"/>
      <c r="AL15" s="1376"/>
      <c r="AM15" s="1376"/>
      <c r="AN15" s="1376"/>
      <c r="AO15" s="1376"/>
      <c r="AP15" s="1376"/>
      <c r="AQ15" s="1376"/>
      <c r="AR15" s="1376"/>
      <c r="AS15" s="1376"/>
      <c r="AT15" s="1376"/>
      <c r="AU15" s="1376"/>
      <c r="AV15" s="1376"/>
      <c r="AW15" s="1376"/>
      <c r="AX15" s="1376"/>
      <c r="AY15" s="1376"/>
      <c r="AZ15" s="1376"/>
      <c r="BA15" s="1376"/>
      <c r="BB15" s="1376"/>
      <c r="BC15" s="1376"/>
      <c r="BD15" s="1376"/>
      <c r="BE15" s="1376"/>
      <c r="BF15" s="1376"/>
      <c r="BG15" s="1376"/>
      <c r="BH15" s="1376"/>
      <c r="BI15" s="1376"/>
      <c r="BJ15" s="1376"/>
      <c r="BK15" s="1376"/>
      <c r="BL15" s="1376"/>
      <c r="BM15" s="1376"/>
      <c r="BN15" s="1376"/>
      <c r="BO15" s="1376"/>
      <c r="BP15" s="1376"/>
      <c r="BQ15" s="1376"/>
      <c r="BR15" s="1376"/>
      <c r="BS15" s="1377"/>
      <c r="BT15" s="1256"/>
      <c r="BU15" s="1327"/>
      <c r="BV15" s="1256"/>
      <c r="BW15" s="1327"/>
      <c r="BX15" s="1256"/>
      <c r="BY15" s="1327"/>
      <c r="BZ15" s="1256"/>
      <c r="CA15" s="1327"/>
      <c r="CB15" s="1256"/>
      <c r="CC15" s="1327"/>
      <c r="CD15" s="1256"/>
      <c r="CE15" s="1327"/>
      <c r="CF15" s="1256"/>
      <c r="CG15" s="1327"/>
      <c r="CH15" s="1256"/>
      <c r="CI15" s="1327"/>
      <c r="CJ15" s="1256"/>
      <c r="CK15" s="1327"/>
      <c r="CL15" s="1383"/>
      <c r="CM15" s="1376"/>
      <c r="CN15" s="1376"/>
      <c r="CO15" s="1376"/>
      <c r="CP15" s="1376"/>
      <c r="CQ15" s="1376"/>
      <c r="CR15" s="1376"/>
      <c r="CS15" s="1376"/>
      <c r="CT15" s="1376"/>
      <c r="CU15" s="1376"/>
      <c r="CV15" s="1376"/>
      <c r="CW15" s="1376"/>
      <c r="CX15" s="1377"/>
      <c r="CY15" s="1256"/>
      <c r="CZ15" s="1327"/>
      <c r="DA15" s="1256"/>
      <c r="DB15" s="1327"/>
      <c r="DC15" s="1256"/>
      <c r="DD15" s="1327"/>
      <c r="DE15" s="1256"/>
      <c r="DF15" s="1327"/>
      <c r="DG15" s="1256"/>
      <c r="DH15" s="1327"/>
      <c r="DI15" s="1256"/>
      <c r="DJ15" s="1327"/>
      <c r="DK15" s="1383"/>
      <c r="DL15" s="1376"/>
      <c r="DM15" s="1376"/>
      <c r="DN15" s="1376"/>
      <c r="DO15" s="1376"/>
      <c r="DP15" s="1376"/>
      <c r="DQ15" s="1376"/>
      <c r="DR15" s="1376"/>
      <c r="DS15" s="1376"/>
      <c r="DT15" s="1376"/>
      <c r="DU15" s="1376"/>
      <c r="DV15" s="1376"/>
      <c r="DW15" s="1376"/>
      <c r="DX15" s="1376"/>
      <c r="DY15" s="1376"/>
      <c r="DZ15" s="1376"/>
      <c r="EA15" s="1376"/>
      <c r="EB15" s="1376"/>
      <c r="EC15" s="1376"/>
      <c r="ED15" s="1376"/>
      <c r="EE15" s="1376"/>
      <c r="EF15" s="1376"/>
      <c r="EG15" s="1376"/>
      <c r="EH15" s="1376"/>
      <c r="EI15" s="1376"/>
      <c r="EJ15" s="1376"/>
      <c r="EK15" s="1376"/>
      <c r="EL15" s="1376"/>
      <c r="EM15" s="1376"/>
      <c r="EN15" s="1376"/>
      <c r="EO15" s="1376"/>
      <c r="EP15" s="1376"/>
      <c r="EQ15" s="1376"/>
      <c r="ER15" s="1376"/>
      <c r="ES15" s="1376"/>
      <c r="ET15" s="1376"/>
      <c r="EU15" s="1376"/>
      <c r="EV15" s="1376"/>
      <c r="EW15" s="1376"/>
      <c r="EX15" s="1376"/>
      <c r="EY15" s="1376"/>
      <c r="EZ15" s="1376"/>
      <c r="FA15" s="1376"/>
      <c r="FB15" s="1376"/>
      <c r="FC15" s="1376"/>
      <c r="FD15" s="1376"/>
      <c r="FE15" s="1376"/>
      <c r="FF15" s="1376"/>
      <c r="FG15" s="1376"/>
      <c r="FH15" s="1376"/>
      <c r="FI15" s="1376"/>
      <c r="FJ15" s="1376"/>
      <c r="FK15" s="1376"/>
      <c r="FL15" s="1376"/>
      <c r="FM15" s="1376"/>
      <c r="FN15" s="1376"/>
      <c r="FO15" s="1376"/>
      <c r="FP15" s="1376"/>
      <c r="FQ15" s="1376"/>
      <c r="FR15" s="1376"/>
      <c r="FS15" s="1376"/>
      <c r="FT15" s="1376"/>
      <c r="FU15" s="1376"/>
      <c r="FV15" s="1376"/>
      <c r="FW15" s="1381"/>
      <c r="GC15" s="473">
        <v>36</v>
      </c>
    </row>
    <row r="16" spans="5:185" ht="12.75" customHeight="1">
      <c r="E16" s="478"/>
      <c r="F16" s="1151"/>
      <c r="G16" s="1151"/>
      <c r="H16" s="1151"/>
      <c r="I16" s="1151"/>
      <c r="J16" s="1393"/>
      <c r="K16" s="1393"/>
      <c r="L16" s="1393"/>
      <c r="M16" s="1393"/>
      <c r="N16" s="1393"/>
      <c r="O16" s="1293" t="s">
        <v>842</v>
      </c>
      <c r="P16" s="1375"/>
      <c r="Q16" s="1293" t="s">
        <v>844</v>
      </c>
      <c r="R16" s="1375"/>
      <c r="S16" s="1293" t="s">
        <v>848</v>
      </c>
      <c r="T16" s="1375"/>
      <c r="U16" s="1293" t="s">
        <v>853</v>
      </c>
      <c r="V16" s="1375"/>
      <c r="W16" s="1293" t="s">
        <v>856</v>
      </c>
      <c r="X16" s="1375"/>
      <c r="Y16" s="1293" t="s">
        <v>860</v>
      </c>
      <c r="Z16" s="1375"/>
      <c r="AA16" s="1293" t="s">
        <v>863</v>
      </c>
      <c r="AB16" s="1375"/>
      <c r="AC16" s="1376"/>
      <c r="AD16" s="1376"/>
      <c r="AE16" s="1376"/>
      <c r="AF16" s="1376"/>
      <c r="AG16" s="1376"/>
      <c r="AH16" s="1376"/>
      <c r="AI16" s="1376"/>
      <c r="AJ16" s="1376"/>
      <c r="AK16" s="1376"/>
      <c r="AL16" s="1376"/>
      <c r="AM16" s="1376"/>
      <c r="AN16" s="1376"/>
      <c r="AO16" s="1376"/>
      <c r="AP16" s="1376"/>
      <c r="AQ16" s="1376"/>
      <c r="AR16" s="1376"/>
      <c r="AS16" s="1376"/>
      <c r="AT16" s="1376"/>
      <c r="AU16" s="1376"/>
      <c r="AV16" s="1376"/>
      <c r="AW16" s="1376"/>
      <c r="AX16" s="1376"/>
      <c r="AY16" s="1376"/>
      <c r="AZ16" s="1376"/>
      <c r="BA16" s="1376"/>
      <c r="BB16" s="1376"/>
      <c r="BC16" s="1376"/>
      <c r="BD16" s="1376"/>
      <c r="BE16" s="1376"/>
      <c r="BF16" s="1376"/>
      <c r="BG16" s="1376"/>
      <c r="BH16" s="1376"/>
      <c r="BI16" s="1376"/>
      <c r="BJ16" s="1376"/>
      <c r="BK16" s="1376"/>
      <c r="BL16" s="1376"/>
      <c r="BM16" s="1376"/>
      <c r="BN16" s="1376"/>
      <c r="BO16" s="1376"/>
      <c r="BP16" s="1376"/>
      <c r="BQ16" s="1376"/>
      <c r="BR16" s="1376"/>
      <c r="BS16" s="1377"/>
      <c r="BT16" s="1293" t="s">
        <v>566</v>
      </c>
      <c r="BU16" s="1375"/>
      <c r="BV16" s="1293" t="s">
        <v>566</v>
      </c>
      <c r="BW16" s="1375"/>
      <c r="BX16" s="1293" t="s">
        <v>566</v>
      </c>
      <c r="BY16" s="1375"/>
      <c r="BZ16" s="1293" t="s">
        <v>566</v>
      </c>
      <c r="CA16" s="1375"/>
      <c r="CB16" s="1293" t="s">
        <v>1299</v>
      </c>
      <c r="CC16" s="1375"/>
      <c r="CD16" s="1293" t="s">
        <v>566</v>
      </c>
      <c r="CE16" s="1375"/>
      <c r="CF16" s="1293" t="s">
        <v>1300</v>
      </c>
      <c r="CG16" s="1375"/>
      <c r="CH16" s="1293" t="s">
        <v>1301</v>
      </c>
      <c r="CI16" s="1375"/>
      <c r="CJ16" s="1293" t="s">
        <v>1301</v>
      </c>
      <c r="CK16" s="1375"/>
      <c r="CL16" s="1383"/>
      <c r="CM16" s="1376"/>
      <c r="CN16" s="1376"/>
      <c r="CO16" s="1376"/>
      <c r="CP16" s="1376"/>
      <c r="CQ16" s="1376"/>
      <c r="CR16" s="1376"/>
      <c r="CS16" s="1376"/>
      <c r="CT16" s="1376"/>
      <c r="CU16" s="1376"/>
      <c r="CV16" s="1376"/>
      <c r="CW16" s="1376"/>
      <c r="CX16" s="1377"/>
      <c r="CY16" s="1254" t="s">
        <v>566</v>
      </c>
      <c r="CZ16" s="1295"/>
      <c r="DA16" s="1254" t="s">
        <v>566</v>
      </c>
      <c r="DB16" s="1295"/>
      <c r="DC16" s="1254" t="s">
        <v>566</v>
      </c>
      <c r="DD16" s="1295"/>
      <c r="DE16" s="1293" t="s">
        <v>1299</v>
      </c>
      <c r="DF16" s="1375"/>
      <c r="DG16" s="1293" t="s">
        <v>1302</v>
      </c>
      <c r="DH16" s="1375"/>
      <c r="DI16" s="1293" t="s">
        <v>1302</v>
      </c>
      <c r="DJ16" s="1375"/>
      <c r="DK16" s="1383"/>
      <c r="DL16" s="1376"/>
      <c r="DM16" s="1376"/>
      <c r="DN16" s="1376"/>
      <c r="DO16" s="1376"/>
      <c r="DP16" s="1376"/>
      <c r="DQ16" s="1376"/>
      <c r="DR16" s="1376"/>
      <c r="DS16" s="1376"/>
      <c r="DT16" s="1376"/>
      <c r="DU16" s="1376"/>
      <c r="DV16" s="1376"/>
      <c r="DW16" s="1376"/>
      <c r="DX16" s="1376"/>
      <c r="DY16" s="1376"/>
      <c r="DZ16" s="1376"/>
      <c r="EA16" s="1376"/>
      <c r="EB16" s="1376"/>
      <c r="EC16" s="1376"/>
      <c r="ED16" s="1376"/>
      <c r="EE16" s="1376"/>
      <c r="EF16" s="1376"/>
      <c r="EG16" s="1376"/>
      <c r="EH16" s="1376"/>
      <c r="EI16" s="1376"/>
      <c r="EJ16" s="1376"/>
      <c r="EK16" s="1376"/>
      <c r="EL16" s="1376"/>
      <c r="EM16" s="1376"/>
      <c r="EN16" s="1376"/>
      <c r="EO16" s="1376"/>
      <c r="EP16" s="1376"/>
      <c r="EQ16" s="1376"/>
      <c r="ER16" s="1376"/>
      <c r="ES16" s="1376"/>
      <c r="ET16" s="1376"/>
      <c r="EU16" s="1376"/>
      <c r="EV16" s="1376"/>
      <c r="EW16" s="1376"/>
      <c r="EX16" s="1376"/>
      <c r="EY16" s="1376"/>
      <c r="EZ16" s="1376"/>
      <c r="FA16" s="1376"/>
      <c r="FB16" s="1376"/>
      <c r="FC16" s="1376"/>
      <c r="FD16" s="1376"/>
      <c r="FE16" s="1376"/>
      <c r="FF16" s="1376"/>
      <c r="FG16" s="1376"/>
      <c r="FH16" s="1376"/>
      <c r="FI16" s="1376"/>
      <c r="FJ16" s="1376"/>
      <c r="FK16" s="1376"/>
      <c r="FL16" s="1376"/>
      <c r="FM16" s="1376"/>
      <c r="FN16" s="1376"/>
      <c r="FO16" s="1376"/>
      <c r="FP16" s="1376"/>
      <c r="FQ16" s="1376"/>
      <c r="FR16" s="1376"/>
      <c r="FS16" s="1376"/>
      <c r="FT16" s="1376"/>
      <c r="FU16" s="1376"/>
      <c r="FV16" s="1376"/>
      <c r="FW16" s="1381"/>
      <c r="GC16" s="473">
        <v>12</v>
      </c>
    </row>
    <row r="17" spans="1:185" ht="15.75" customHeight="1">
      <c r="E17" s="478"/>
      <c r="F17" s="1151"/>
      <c r="G17" s="1151"/>
      <c r="H17" s="1151"/>
      <c r="I17" s="1151"/>
      <c r="J17" s="1393"/>
      <c r="K17" s="1393"/>
      <c r="L17" s="1393"/>
      <c r="M17" s="1393"/>
      <c r="N17" s="1393"/>
      <c r="O17" s="633" t="s">
        <v>1303</v>
      </c>
      <c r="P17" s="633" t="s">
        <v>1304</v>
      </c>
      <c r="Q17" s="633" t="s">
        <v>1303</v>
      </c>
      <c r="R17" s="633" t="s">
        <v>1304</v>
      </c>
      <c r="S17" s="633" t="s">
        <v>1303</v>
      </c>
      <c r="T17" s="633" t="s">
        <v>1304</v>
      </c>
      <c r="U17" s="633" t="s">
        <v>1303</v>
      </c>
      <c r="V17" s="633" t="s">
        <v>1304</v>
      </c>
      <c r="W17" s="633" t="s">
        <v>1303</v>
      </c>
      <c r="X17" s="633" t="s">
        <v>1304</v>
      </c>
      <c r="Y17" s="633" t="s">
        <v>1303</v>
      </c>
      <c r="Z17" s="633" t="s">
        <v>1304</v>
      </c>
      <c r="AA17" s="633" t="s">
        <v>1303</v>
      </c>
      <c r="AB17" s="633" t="s">
        <v>1304</v>
      </c>
      <c r="AC17" s="1376"/>
      <c r="AD17" s="1376"/>
      <c r="AE17" s="1376"/>
      <c r="AF17" s="1376"/>
      <c r="AG17" s="1376"/>
      <c r="AH17" s="1376"/>
      <c r="AI17" s="1376"/>
      <c r="AJ17" s="1376"/>
      <c r="AK17" s="1376"/>
      <c r="AL17" s="1376"/>
      <c r="AM17" s="1376"/>
      <c r="AN17" s="1376"/>
      <c r="AO17" s="1376"/>
      <c r="AP17" s="1376"/>
      <c r="AQ17" s="1376"/>
      <c r="AR17" s="1376"/>
      <c r="AS17" s="1376"/>
      <c r="AT17" s="1376"/>
      <c r="AU17" s="1376"/>
      <c r="AV17" s="1376"/>
      <c r="AW17" s="1376"/>
      <c r="AX17" s="1376"/>
      <c r="AY17" s="1376"/>
      <c r="AZ17" s="1376"/>
      <c r="BA17" s="1376"/>
      <c r="BB17" s="1376"/>
      <c r="BC17" s="1376"/>
      <c r="BD17" s="1376"/>
      <c r="BE17" s="1376"/>
      <c r="BF17" s="1376"/>
      <c r="BG17" s="1376"/>
      <c r="BH17" s="1376"/>
      <c r="BI17" s="1376"/>
      <c r="BJ17" s="1376"/>
      <c r="BK17" s="1376"/>
      <c r="BL17" s="1376"/>
      <c r="BM17" s="1376"/>
      <c r="BN17" s="1376"/>
      <c r="BO17" s="1376"/>
      <c r="BP17" s="1376"/>
      <c r="BQ17" s="1376"/>
      <c r="BR17" s="1376"/>
      <c r="BS17" s="1377"/>
      <c r="BT17" s="633" t="s">
        <v>1303</v>
      </c>
      <c r="BU17" s="633" t="s">
        <v>1304</v>
      </c>
      <c r="BV17" s="633" t="s">
        <v>1303</v>
      </c>
      <c r="BW17" s="633" t="s">
        <v>1304</v>
      </c>
      <c r="BX17" s="633" t="s">
        <v>1303</v>
      </c>
      <c r="BY17" s="633" t="s">
        <v>1304</v>
      </c>
      <c r="BZ17" s="633" t="s">
        <v>1303</v>
      </c>
      <c r="CA17" s="633" t="s">
        <v>1304</v>
      </c>
      <c r="CB17" s="633" t="s">
        <v>1303</v>
      </c>
      <c r="CC17" s="633" t="s">
        <v>1304</v>
      </c>
      <c r="CD17" s="633" t="s">
        <v>1303</v>
      </c>
      <c r="CE17" s="633" t="s">
        <v>1304</v>
      </c>
      <c r="CF17" s="633" t="s">
        <v>1303</v>
      </c>
      <c r="CG17" s="633" t="s">
        <v>1304</v>
      </c>
      <c r="CH17" s="633" t="s">
        <v>1303</v>
      </c>
      <c r="CI17" s="633" t="s">
        <v>1304</v>
      </c>
      <c r="CJ17" s="633" t="s">
        <v>1303</v>
      </c>
      <c r="CK17" s="633" t="s">
        <v>1304</v>
      </c>
      <c r="CL17" s="1383"/>
      <c r="CM17" s="1376"/>
      <c r="CN17" s="1376"/>
      <c r="CO17" s="1376"/>
      <c r="CP17" s="1376"/>
      <c r="CQ17" s="1376"/>
      <c r="CR17" s="1376"/>
      <c r="CS17" s="1376"/>
      <c r="CT17" s="1376"/>
      <c r="CU17" s="1376"/>
      <c r="CV17" s="1376"/>
      <c r="CW17" s="1376"/>
      <c r="CX17" s="1377"/>
      <c r="CY17" s="633" t="s">
        <v>1303</v>
      </c>
      <c r="CZ17" s="633" t="s">
        <v>1304</v>
      </c>
      <c r="DA17" s="633" t="s">
        <v>1303</v>
      </c>
      <c r="DB17" s="633" t="s">
        <v>1304</v>
      </c>
      <c r="DC17" s="633" t="s">
        <v>1303</v>
      </c>
      <c r="DD17" s="633" t="s">
        <v>1304</v>
      </c>
      <c r="DE17" s="633" t="s">
        <v>1303</v>
      </c>
      <c r="DF17" s="633" t="s">
        <v>1304</v>
      </c>
      <c r="DG17" s="633" t="s">
        <v>1303</v>
      </c>
      <c r="DH17" s="633" t="s">
        <v>1304</v>
      </c>
      <c r="DI17" s="633" t="s">
        <v>1303</v>
      </c>
      <c r="DJ17" s="633" t="s">
        <v>1304</v>
      </c>
      <c r="DK17" s="1383"/>
      <c r="DL17" s="1376"/>
      <c r="DM17" s="1376"/>
      <c r="DN17" s="1376"/>
      <c r="DO17" s="1376"/>
      <c r="DP17" s="1376"/>
      <c r="DQ17" s="1376"/>
      <c r="DR17" s="1376"/>
      <c r="DS17" s="1376"/>
      <c r="DT17" s="1376"/>
      <c r="DU17" s="1376"/>
      <c r="DV17" s="1376"/>
      <c r="DW17" s="1376"/>
      <c r="DX17" s="1376"/>
      <c r="DY17" s="1376"/>
      <c r="DZ17" s="1376"/>
      <c r="EA17" s="1376"/>
      <c r="EB17" s="1376"/>
      <c r="EC17" s="1376"/>
      <c r="ED17" s="1376"/>
      <c r="EE17" s="1376"/>
      <c r="EF17" s="1376"/>
      <c r="EG17" s="1376"/>
      <c r="EH17" s="1376"/>
      <c r="EI17" s="1376"/>
      <c r="EJ17" s="1376"/>
      <c r="EK17" s="1376"/>
      <c r="EL17" s="1376"/>
      <c r="EM17" s="1376"/>
      <c r="EN17" s="1376"/>
      <c r="EO17" s="1376"/>
      <c r="EP17" s="1376"/>
      <c r="EQ17" s="1376"/>
      <c r="ER17" s="1376"/>
      <c r="ES17" s="1376"/>
      <c r="ET17" s="1376"/>
      <c r="EU17" s="1376"/>
      <c r="EV17" s="1376"/>
      <c r="EW17" s="1376"/>
      <c r="EX17" s="1376"/>
      <c r="EY17" s="1376"/>
      <c r="EZ17" s="1376"/>
      <c r="FA17" s="1376"/>
      <c r="FB17" s="1376"/>
      <c r="FC17" s="1376"/>
      <c r="FD17" s="1376"/>
      <c r="FE17" s="1376"/>
      <c r="FF17" s="1376"/>
      <c r="FG17" s="1376"/>
      <c r="FH17" s="1376"/>
      <c r="FI17" s="1376"/>
      <c r="FJ17" s="1376"/>
      <c r="FK17" s="1376"/>
      <c r="FL17" s="1376"/>
      <c r="FM17" s="1376"/>
      <c r="FN17" s="1376"/>
      <c r="FO17" s="1376"/>
      <c r="FP17" s="1376"/>
      <c r="FQ17" s="1376"/>
      <c r="FR17" s="1376"/>
      <c r="FS17" s="1376"/>
      <c r="FT17" s="1376"/>
      <c r="FU17" s="1376"/>
      <c r="FV17" s="1376"/>
      <c r="FW17" s="1382"/>
      <c r="GC17" s="473">
        <v>15</v>
      </c>
    </row>
    <row r="18" spans="1:185" ht="12" hidden="1" customHeight="1">
      <c r="E18" s="248"/>
      <c r="F18" s="479"/>
      <c r="G18" s="479"/>
      <c r="H18" s="479"/>
      <c r="I18" s="479"/>
      <c r="J18" s="480"/>
      <c r="K18" s="480"/>
      <c r="L18" s="480"/>
      <c r="M18" s="480"/>
      <c r="N18" s="480"/>
      <c r="O18" s="479"/>
      <c r="P18" s="479"/>
      <c r="Q18" s="479"/>
      <c r="R18" s="479"/>
      <c r="S18" s="479"/>
      <c r="T18" s="479"/>
      <c r="U18" s="964"/>
      <c r="V18" s="964"/>
      <c r="W18" s="964"/>
      <c r="X18" s="964"/>
      <c r="Y18" s="964"/>
      <c r="Z18" s="964"/>
      <c r="AA18" s="964"/>
      <c r="AB18" s="479"/>
      <c r="AC18" s="480"/>
      <c r="AD18" s="480"/>
      <c r="AE18" s="480"/>
      <c r="AF18" s="480"/>
      <c r="AG18" s="480"/>
      <c r="AH18" s="480"/>
      <c r="AI18" s="480"/>
      <c r="AJ18" s="480"/>
      <c r="AK18" s="480"/>
      <c r="AL18" s="480"/>
      <c r="AM18" s="480"/>
      <c r="AN18" s="480"/>
      <c r="AO18" s="480"/>
      <c r="AP18" s="480"/>
      <c r="AQ18" s="480"/>
      <c r="AR18" s="480"/>
      <c r="AS18" s="480"/>
      <c r="AT18" s="480"/>
      <c r="AU18" s="480"/>
      <c r="AV18" s="480"/>
      <c r="AW18" s="480"/>
      <c r="AX18" s="480"/>
      <c r="AY18" s="480"/>
      <c r="AZ18" s="480"/>
      <c r="BA18" s="480"/>
      <c r="BB18" s="480"/>
      <c r="BC18" s="480"/>
      <c r="BD18" s="480"/>
      <c r="BE18" s="480"/>
      <c r="BF18" s="480"/>
      <c r="BG18" s="480"/>
      <c r="BH18" s="480"/>
      <c r="BI18" s="480"/>
      <c r="BJ18" s="480"/>
      <c r="BK18" s="480"/>
      <c r="BL18" s="480"/>
      <c r="BM18" s="480"/>
      <c r="BN18" s="480"/>
      <c r="BO18" s="480"/>
      <c r="BP18" s="480"/>
      <c r="BQ18" s="480"/>
      <c r="BR18" s="480"/>
      <c r="BS18" s="480"/>
      <c r="BT18" s="481"/>
      <c r="BU18" s="481"/>
      <c r="BV18" s="481"/>
      <c r="BW18" s="481"/>
      <c r="BX18" s="481"/>
      <c r="BY18" s="481"/>
      <c r="BZ18" s="481"/>
      <c r="CA18" s="481"/>
      <c r="CB18" s="481"/>
      <c r="CC18" s="481"/>
      <c r="CD18" s="481"/>
      <c r="CE18" s="481"/>
      <c r="CF18" s="481"/>
      <c r="CG18" s="481"/>
      <c r="CH18" s="481"/>
      <c r="CI18" s="481"/>
      <c r="CJ18" s="481"/>
      <c r="CK18" s="481"/>
      <c r="CL18" s="480"/>
      <c r="CM18" s="480"/>
      <c r="CN18" s="480"/>
      <c r="CO18" s="480"/>
      <c r="CP18" s="480"/>
      <c r="CQ18" s="480"/>
      <c r="CR18" s="480"/>
      <c r="CS18" s="480"/>
      <c r="CT18" s="480"/>
      <c r="CU18" s="480"/>
      <c r="CV18" s="480"/>
      <c r="CW18" s="480"/>
      <c r="CX18" s="480"/>
      <c r="CY18" s="481"/>
      <c r="CZ18" s="481"/>
      <c r="DA18" s="481"/>
      <c r="DB18" s="481"/>
      <c r="DC18" s="481"/>
      <c r="DD18" s="481"/>
      <c r="DE18" s="481"/>
      <c r="DF18" s="481"/>
      <c r="DG18" s="481"/>
      <c r="DH18" s="481"/>
      <c r="DI18" s="481"/>
      <c r="DJ18" s="481"/>
      <c r="DK18" s="480"/>
      <c r="DL18" s="480"/>
      <c r="DM18" s="480"/>
      <c r="DN18" s="480"/>
      <c r="DO18" s="480"/>
      <c r="DP18" s="480"/>
      <c r="DQ18" s="480"/>
      <c r="DR18" s="480"/>
      <c r="DS18" s="480"/>
      <c r="DT18" s="480"/>
      <c r="DU18" s="480"/>
      <c r="DV18" s="480"/>
      <c r="DW18" s="480"/>
      <c r="DX18" s="480"/>
      <c r="DY18" s="480"/>
      <c r="DZ18" s="480"/>
      <c r="EA18" s="480"/>
      <c r="EB18" s="480"/>
      <c r="EC18" s="480"/>
      <c r="ED18" s="480"/>
      <c r="EE18" s="480"/>
      <c r="EF18" s="480"/>
      <c r="EG18" s="480"/>
      <c r="EH18" s="480"/>
      <c r="EI18" s="480"/>
      <c r="EJ18" s="480"/>
      <c r="EK18" s="480"/>
      <c r="EL18" s="480"/>
      <c r="EM18" s="480"/>
      <c r="EN18" s="480"/>
      <c r="EO18" s="480"/>
      <c r="EP18" s="480"/>
      <c r="EQ18" s="480"/>
      <c r="ER18" s="480"/>
      <c r="ES18" s="480"/>
      <c r="ET18" s="480"/>
      <c r="EU18" s="480"/>
      <c r="EV18" s="480"/>
      <c r="EW18" s="480"/>
      <c r="EX18" s="480"/>
      <c r="EY18" s="480"/>
      <c r="EZ18" s="480"/>
      <c r="FA18" s="480"/>
      <c r="FB18" s="480"/>
      <c r="FC18" s="480"/>
      <c r="FD18" s="480"/>
      <c r="FE18" s="480"/>
      <c r="FF18" s="480"/>
      <c r="FG18" s="480"/>
      <c r="FH18" s="480"/>
      <c r="FI18" s="480"/>
      <c r="FJ18" s="480"/>
      <c r="FK18" s="480"/>
      <c r="FL18" s="480"/>
      <c r="FM18" s="480"/>
      <c r="FN18" s="480"/>
      <c r="FO18" s="480"/>
      <c r="FP18" s="480"/>
      <c r="FQ18" s="480"/>
      <c r="FR18" s="480"/>
      <c r="FS18" s="480"/>
      <c r="FT18" s="480"/>
      <c r="FU18" s="480"/>
      <c r="FV18" s="480"/>
      <c r="FW18" s="479"/>
      <c r="GC18" s="472">
        <v>0</v>
      </c>
    </row>
    <row r="19" spans="1:185" ht="11.25" hidden="1" customHeight="1">
      <c r="E19" s="248"/>
      <c r="F19" s="479"/>
      <c r="G19" s="479"/>
      <c r="H19" s="479"/>
      <c r="I19" s="479"/>
      <c r="J19" s="479"/>
      <c r="K19" s="479"/>
      <c r="L19" s="479"/>
      <c r="M19" s="479"/>
      <c r="N19" s="479"/>
      <c r="O19" s="479"/>
      <c r="P19" s="479"/>
      <c r="Q19" s="479"/>
      <c r="R19" s="479"/>
      <c r="S19" s="479"/>
      <c r="T19" s="479"/>
      <c r="U19" s="964"/>
      <c r="V19" s="964"/>
      <c r="W19" s="964"/>
      <c r="X19" s="964"/>
      <c r="Y19" s="964"/>
      <c r="Z19" s="964"/>
      <c r="AA19" s="964"/>
      <c r="AB19" s="479"/>
      <c r="AC19" s="479"/>
      <c r="AD19" s="479"/>
      <c r="AE19" s="479"/>
      <c r="AF19" s="479"/>
      <c r="AG19" s="479"/>
      <c r="AH19" s="479"/>
      <c r="AI19" s="479"/>
      <c r="AJ19" s="479"/>
      <c r="AK19" s="479"/>
      <c r="AL19" s="479"/>
      <c r="AM19" s="479"/>
      <c r="AN19" s="479"/>
      <c r="AO19" s="479"/>
      <c r="AP19" s="479"/>
      <c r="AQ19" s="479"/>
      <c r="AR19" s="479"/>
      <c r="AS19" s="479"/>
      <c r="AT19" s="479"/>
      <c r="AU19" s="479"/>
      <c r="AV19" s="479"/>
      <c r="AW19" s="479"/>
      <c r="AX19" s="479"/>
      <c r="AY19" s="479"/>
      <c r="AZ19" s="479"/>
      <c r="BA19" s="479"/>
      <c r="BB19" s="479"/>
      <c r="BC19" s="479"/>
      <c r="BD19" s="479"/>
      <c r="BE19" s="479"/>
      <c r="BF19" s="479"/>
      <c r="BG19" s="479"/>
      <c r="BH19" s="479"/>
      <c r="BI19" s="479"/>
      <c r="BJ19" s="479"/>
      <c r="BK19" s="479"/>
      <c r="BL19" s="479"/>
      <c r="BM19" s="479"/>
      <c r="BN19" s="479"/>
      <c r="BO19" s="479"/>
      <c r="BP19" s="479"/>
      <c r="BQ19" s="479"/>
      <c r="BR19" s="479"/>
      <c r="BS19" s="479"/>
      <c r="BT19" s="479"/>
      <c r="BU19" s="479"/>
      <c r="BV19" s="479"/>
      <c r="BW19" s="479"/>
      <c r="BX19" s="479"/>
      <c r="BY19" s="479"/>
      <c r="BZ19" s="479"/>
      <c r="CA19" s="479"/>
      <c r="CB19" s="479"/>
      <c r="CC19" s="479"/>
      <c r="CD19" s="479"/>
      <c r="CE19" s="479"/>
      <c r="CF19" s="479"/>
      <c r="CG19" s="479"/>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79"/>
      <c r="DI19" s="479"/>
      <c r="DJ19" s="479"/>
      <c r="DK19" s="479"/>
      <c r="DL19" s="479"/>
      <c r="DM19" s="479"/>
      <c r="DN19" s="479"/>
      <c r="DO19" s="479"/>
      <c r="DP19" s="479"/>
      <c r="DQ19" s="479"/>
      <c r="DR19" s="479"/>
      <c r="DS19" s="479"/>
      <c r="DT19" s="479"/>
      <c r="DU19" s="479"/>
      <c r="DV19" s="479"/>
      <c r="DW19" s="479"/>
      <c r="DX19" s="479"/>
      <c r="DY19" s="479"/>
      <c r="DZ19" s="479"/>
      <c r="EA19" s="479"/>
      <c r="EB19" s="479"/>
      <c r="EC19" s="479"/>
      <c r="ED19" s="479"/>
      <c r="EE19" s="479"/>
      <c r="EF19" s="479"/>
      <c r="EG19" s="479"/>
      <c r="EH19" s="479"/>
      <c r="EI19" s="479"/>
      <c r="EJ19" s="479"/>
      <c r="EK19" s="479"/>
      <c r="EL19" s="479"/>
      <c r="EM19" s="479"/>
      <c r="EN19" s="479"/>
      <c r="EO19" s="479"/>
      <c r="EP19" s="479"/>
      <c r="EQ19" s="479"/>
      <c r="ER19" s="479"/>
      <c r="ES19" s="479"/>
      <c r="ET19" s="479"/>
      <c r="EU19" s="479"/>
      <c r="EV19" s="479"/>
      <c r="EW19" s="479"/>
      <c r="EX19" s="479"/>
      <c r="EY19" s="479"/>
      <c r="EZ19" s="479"/>
      <c r="FA19" s="479"/>
      <c r="FB19" s="479"/>
      <c r="FC19" s="479"/>
      <c r="FD19" s="479"/>
      <c r="FE19" s="479"/>
      <c r="FF19" s="479"/>
      <c r="FG19" s="479"/>
      <c r="FH19" s="479"/>
      <c r="FI19" s="479"/>
      <c r="FJ19" s="479"/>
      <c r="FK19" s="479"/>
      <c r="FL19" s="479"/>
      <c r="FM19" s="479"/>
      <c r="FN19" s="479"/>
      <c r="FO19" s="479"/>
      <c r="FP19" s="479"/>
      <c r="FQ19" s="479"/>
      <c r="FR19" s="479"/>
      <c r="FS19" s="479"/>
      <c r="FT19" s="479"/>
      <c r="FU19" s="479"/>
      <c r="FV19" s="479"/>
      <c r="FW19" s="479"/>
      <c r="GC19" s="472">
        <v>0</v>
      </c>
    </row>
    <row r="20" spans="1:185" ht="11.25" hidden="1" customHeight="1">
      <c r="E20" s="248"/>
      <c r="F20" s="482" t="s">
        <v>384</v>
      </c>
      <c r="G20" s="86"/>
      <c r="H20" s="965"/>
      <c r="I20" s="965"/>
      <c r="J20" s="965"/>
      <c r="K20" s="965"/>
      <c r="L20" s="965"/>
      <c r="M20" s="965"/>
      <c r="N20" s="965"/>
      <c r="O20" s="86"/>
      <c r="P20" s="86"/>
      <c r="Q20" s="86"/>
      <c r="R20" s="86"/>
      <c r="S20" s="86"/>
      <c r="T20" s="86"/>
      <c r="U20" s="966"/>
      <c r="V20" s="966"/>
      <c r="W20" s="966"/>
      <c r="X20" s="966"/>
      <c r="Y20" s="966"/>
      <c r="Z20" s="966"/>
      <c r="AA20" s="966"/>
      <c r="AB20" s="86"/>
      <c r="AC20" s="965"/>
      <c r="AD20" s="965"/>
      <c r="AE20" s="965"/>
      <c r="AF20" s="965"/>
      <c r="AG20" s="965"/>
      <c r="AH20" s="965"/>
      <c r="AI20" s="965"/>
      <c r="AJ20" s="965"/>
      <c r="AK20" s="965"/>
      <c r="AL20" s="965"/>
      <c r="AM20" s="965"/>
      <c r="AN20" s="965"/>
      <c r="AO20" s="965"/>
      <c r="AP20" s="965"/>
      <c r="AQ20" s="965"/>
      <c r="AR20" s="965"/>
      <c r="AS20" s="965"/>
      <c r="AT20" s="965"/>
      <c r="AU20" s="965"/>
      <c r="AV20" s="965"/>
      <c r="AW20" s="965"/>
      <c r="AX20" s="965"/>
      <c r="AY20" s="965"/>
      <c r="AZ20" s="965"/>
      <c r="BA20" s="965"/>
      <c r="BB20" s="965"/>
      <c r="BC20" s="965"/>
      <c r="BD20" s="965"/>
      <c r="BE20" s="965"/>
      <c r="BF20" s="965"/>
      <c r="BG20" s="965"/>
      <c r="BH20" s="965"/>
      <c r="BI20" s="965"/>
      <c r="BJ20" s="965"/>
      <c r="BK20" s="965"/>
      <c r="BL20" s="965"/>
      <c r="BM20" s="965"/>
      <c r="BN20" s="965"/>
      <c r="BO20" s="965"/>
      <c r="BP20" s="965"/>
      <c r="BQ20" s="965"/>
      <c r="BR20" s="965"/>
      <c r="BS20" s="965"/>
      <c r="BT20" s="965"/>
      <c r="BU20" s="965"/>
      <c r="BV20" s="965"/>
      <c r="BW20" s="965"/>
      <c r="BX20" s="965"/>
      <c r="BY20" s="965"/>
      <c r="BZ20" s="965"/>
      <c r="CA20" s="965"/>
      <c r="CB20" s="965"/>
      <c r="CC20" s="965"/>
      <c r="CD20" s="965"/>
      <c r="CE20" s="965"/>
      <c r="CF20" s="965"/>
      <c r="CG20" s="965"/>
      <c r="CH20" s="965"/>
      <c r="CI20" s="965"/>
      <c r="CJ20" s="965"/>
      <c r="CK20" s="965"/>
      <c r="CL20" s="786"/>
      <c r="CM20" s="786"/>
      <c r="CN20" s="786"/>
      <c r="CO20" s="786"/>
      <c r="CP20" s="786"/>
      <c r="CQ20" s="786"/>
      <c r="CR20" s="786"/>
      <c r="CS20" s="786"/>
      <c r="CT20" s="786"/>
      <c r="CU20" s="786"/>
      <c r="CV20" s="786"/>
      <c r="CW20" s="786"/>
      <c r="CX20" s="786"/>
      <c r="CY20" s="786"/>
      <c r="CZ20" s="786"/>
      <c r="DA20" s="786"/>
      <c r="DB20" s="786"/>
      <c r="DC20" s="786"/>
      <c r="DD20" s="786"/>
      <c r="DE20" s="786"/>
      <c r="DF20" s="786"/>
      <c r="DG20" s="786"/>
      <c r="DH20" s="786"/>
      <c r="DI20" s="786"/>
      <c r="DJ20" s="786"/>
      <c r="DK20" s="786"/>
      <c r="DL20" s="786"/>
      <c r="DM20" s="786"/>
      <c r="DN20" s="786"/>
      <c r="DO20" s="786"/>
      <c r="DP20" s="786"/>
      <c r="DQ20" s="786"/>
      <c r="DR20" s="786"/>
      <c r="DS20" s="786"/>
      <c r="DT20" s="786"/>
      <c r="DU20" s="786"/>
      <c r="DV20" s="786"/>
      <c r="DW20" s="786"/>
      <c r="DX20" s="786"/>
      <c r="DY20" s="786"/>
      <c r="DZ20" s="786"/>
      <c r="EA20" s="786"/>
      <c r="EB20" s="786"/>
      <c r="EC20" s="786"/>
      <c r="ED20" s="786"/>
      <c r="EE20" s="786"/>
      <c r="EF20" s="786"/>
      <c r="EG20" s="786"/>
      <c r="EH20" s="786"/>
      <c r="EI20" s="786"/>
      <c r="EJ20" s="786"/>
      <c r="EK20" s="786"/>
      <c r="EL20" s="786"/>
      <c r="EM20" s="786"/>
      <c r="EN20" s="786"/>
      <c r="EO20" s="786"/>
      <c r="EP20" s="786"/>
      <c r="EQ20" s="786"/>
      <c r="ER20" s="786"/>
      <c r="ES20" s="786"/>
      <c r="ET20" s="786"/>
      <c r="EU20" s="786"/>
      <c r="EV20" s="786"/>
      <c r="EW20" s="786"/>
      <c r="EX20" s="786"/>
      <c r="EY20" s="786"/>
      <c r="EZ20" s="786"/>
      <c r="FA20" s="786"/>
      <c r="FB20" s="786"/>
      <c r="FC20" s="786"/>
      <c r="FD20" s="786"/>
      <c r="FE20" s="786"/>
      <c r="FF20" s="786"/>
      <c r="FG20" s="786"/>
      <c r="FH20" s="786"/>
      <c r="FI20" s="786"/>
      <c r="FJ20" s="786"/>
      <c r="FK20" s="786"/>
      <c r="FL20" s="786"/>
      <c r="FM20" s="786"/>
      <c r="FN20" s="786"/>
      <c r="FO20" s="786"/>
      <c r="FP20" s="786"/>
      <c r="FQ20" s="786"/>
      <c r="FR20" s="786"/>
      <c r="FS20" s="786"/>
      <c r="FT20" s="786"/>
      <c r="FU20" s="786"/>
      <c r="FV20" s="786"/>
      <c r="FW20" s="786"/>
      <c r="GC20" s="472">
        <v>0</v>
      </c>
    </row>
    <row r="21" spans="1:185" s="1030" customFormat="1" ht="21" customHeight="1">
      <c r="A21" t="s">
        <v>1019</v>
      </c>
      <c r="B21"/>
      <c r="C21"/>
      <c r="D21"/>
      <c r="E21" s="248" t="s">
        <v>22</v>
      </c>
      <c r="F21" s="249" t="str">
        <f>INDEX(IP_MAIN_LIST_NAME_IP,MATCH(A21,IP_MAIN_LIST_IP_ID,0))&amp;" ("&amp;INDEX(IP_MAIN_START_DATE,MATCH(A21,IP_MAIN_LIST_IP_ID,0))&amp;"-"&amp;INDEX(IP_MAIN_END_DATE,MATCH(A21,IP_MAIN_LIST_IP_ID,0))&amp;")"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G21" s="250"/>
      <c r="H21" s="251"/>
      <c r="I21" s="251"/>
      <c r="J21" s="251"/>
      <c r="K21" s="251"/>
      <c r="L21" s="251"/>
      <c r="M21" s="251"/>
      <c r="N21" s="251"/>
      <c r="O21" s="250"/>
      <c r="P21" s="250"/>
      <c r="Q21" s="250"/>
      <c r="R21" s="250"/>
      <c r="S21" s="250"/>
      <c r="T21" s="250"/>
      <c r="U21" s="252"/>
      <c r="V21" s="252"/>
      <c r="W21" s="252"/>
      <c r="X21" s="252"/>
      <c r="Y21" s="252"/>
      <c r="Z21" s="252"/>
      <c r="AA21" s="252"/>
      <c r="AB21" s="250"/>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1"/>
      <c r="CI21" s="251"/>
      <c r="CJ21" s="251"/>
      <c r="CK21" s="251"/>
      <c r="CL21" s="253"/>
      <c r="CM21" s="253"/>
      <c r="CN21" s="253"/>
      <c r="CO21" s="253"/>
      <c r="CP21" s="253"/>
      <c r="CQ21" s="253"/>
      <c r="CR21" s="253"/>
      <c r="CS21" s="253"/>
      <c r="CT21" s="253"/>
      <c r="CU21" s="253"/>
      <c r="CV21" s="253"/>
      <c r="CW21" s="253"/>
      <c r="CX21" s="253"/>
      <c r="CY21" s="253"/>
      <c r="CZ21" s="253"/>
      <c r="DA21" s="253"/>
      <c r="DB21" s="253"/>
      <c r="DC21" s="253"/>
      <c r="DD21" s="253"/>
      <c r="DE21" s="253"/>
      <c r="DF21" s="253"/>
      <c r="DG21" s="253"/>
      <c r="DH21" s="253"/>
      <c r="DI21" s="253"/>
      <c r="DJ21" s="253"/>
      <c r="DK21" s="253"/>
      <c r="DL21" s="253"/>
      <c r="DM21" s="253"/>
      <c r="DN21" s="253"/>
      <c r="DO21" s="253"/>
      <c r="DP21" s="253"/>
      <c r="DQ21" s="253"/>
      <c r="DR21" s="253"/>
      <c r="DS21" s="253"/>
      <c r="DT21" s="253"/>
      <c r="DU21" s="253"/>
      <c r="DV21" s="253"/>
      <c r="DW21" s="253"/>
      <c r="DX21" s="253"/>
      <c r="DY21" s="253"/>
      <c r="DZ21" s="253"/>
      <c r="EA21" s="253"/>
      <c r="EB21" s="253"/>
      <c r="EC21" s="253"/>
      <c r="ED21" s="253"/>
      <c r="EE21" s="253"/>
      <c r="EF21" s="253"/>
      <c r="EG21" s="253"/>
      <c r="EH21" s="253"/>
      <c r="EI21" s="253"/>
      <c r="EJ21" s="253"/>
      <c r="EK21" s="253"/>
      <c r="EL21" s="253"/>
      <c r="EM21" s="253"/>
      <c r="EN21" s="253"/>
      <c r="EO21" s="253"/>
      <c r="EP21" s="253"/>
      <c r="EQ21" s="253"/>
      <c r="ER21" s="253"/>
      <c r="ES21" s="253"/>
      <c r="ET21" s="253"/>
      <c r="EU21" s="253"/>
      <c r="EV21" s="253"/>
      <c r="EW21" s="253"/>
      <c r="EX21" s="253"/>
      <c r="EY21" s="253"/>
      <c r="EZ21" s="253"/>
      <c r="FA21" s="253"/>
      <c r="FB21" s="253"/>
      <c r="FC21" s="253"/>
      <c r="FD21" s="253"/>
      <c r="FE21" s="253"/>
      <c r="FF21" s="253"/>
      <c r="FG21" s="253"/>
      <c r="FH21" s="253"/>
      <c r="FI21" s="253"/>
      <c r="FJ21" s="253"/>
      <c r="FK21" s="253"/>
      <c r="FL21" s="253"/>
      <c r="FM21" s="253"/>
      <c r="FN21" s="253"/>
      <c r="FO21" s="253"/>
      <c r="FP21" s="253"/>
      <c r="FQ21" s="253"/>
      <c r="FR21" s="253"/>
      <c r="FS21" s="253"/>
      <c r="FT21" s="253"/>
      <c r="FU21" s="253"/>
      <c r="FV21" s="254"/>
      <c r="FW21" s="255"/>
      <c r="FX21"/>
      <c r="FY21"/>
      <c r="FZ21"/>
      <c r="GA21"/>
      <c r="GB21"/>
    </row>
    <row r="22" spans="1:185" s="1030" customFormat="1" ht="24.75" customHeight="1">
      <c r="A22" t="s">
        <v>1019</v>
      </c>
      <c r="B22"/>
      <c r="C22"/>
      <c r="D22"/>
      <c r="E22"/>
      <c r="F22" s="194">
        <v>1</v>
      </c>
      <c r="G22" s="22" t="s">
        <v>1006</v>
      </c>
      <c r="H22" s="20" t="s">
        <v>1305</v>
      </c>
      <c r="I22" s="256" t="s">
        <v>1306</v>
      </c>
      <c r="J22" s="257"/>
      <c r="K22" s="257"/>
      <c r="L22" s="257"/>
      <c r="M22" s="257"/>
      <c r="N22" s="257"/>
      <c r="O22" s="258"/>
      <c r="P22" s="258"/>
      <c r="Q22" s="258"/>
      <c r="R22" s="258"/>
      <c r="S22" s="258"/>
      <c r="T22" s="258"/>
      <c r="U22" s="258"/>
      <c r="V22" s="258"/>
      <c r="W22" s="258"/>
      <c r="X22" s="258"/>
      <c r="Y22" s="258"/>
      <c r="Z22" s="258"/>
      <c r="AA22" s="258"/>
      <c r="AB22" s="258"/>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8"/>
      <c r="BU22" s="258"/>
      <c r="BV22" s="258"/>
      <c r="BW22" s="258"/>
      <c r="BX22" s="258"/>
      <c r="BY22" s="258"/>
      <c r="BZ22" s="258"/>
      <c r="CA22" s="258"/>
      <c r="CB22" s="258"/>
      <c r="CC22" s="258"/>
      <c r="CD22" s="258"/>
      <c r="CE22" s="258"/>
      <c r="CF22" s="258"/>
      <c r="CG22" s="258"/>
      <c r="CH22" s="258"/>
      <c r="CI22" s="258"/>
      <c r="CJ22" s="258"/>
      <c r="CK22" s="258"/>
      <c r="CL22" s="257"/>
      <c r="CM22" s="257"/>
      <c r="CN22" s="257"/>
      <c r="CO22" s="257"/>
      <c r="CP22" s="257"/>
      <c r="CQ22" s="257"/>
      <c r="CR22" s="257"/>
      <c r="CS22" s="257"/>
      <c r="CT22" s="257"/>
      <c r="CU22" s="257"/>
      <c r="CV22" s="257"/>
      <c r="CW22" s="257"/>
      <c r="CX22" s="257"/>
      <c r="CY22" s="258">
        <v>0</v>
      </c>
      <c r="CZ22" s="258">
        <v>0</v>
      </c>
      <c r="DA22" s="258">
        <v>0</v>
      </c>
      <c r="DB22" s="258">
        <v>0</v>
      </c>
      <c r="DC22" s="258">
        <v>18.5</v>
      </c>
      <c r="DD22" s="258">
        <v>7</v>
      </c>
      <c r="DE22" s="258">
        <v>3.52</v>
      </c>
      <c r="DF22" s="258">
        <v>3.46</v>
      </c>
      <c r="DG22" s="258">
        <v>0.20799999999999999</v>
      </c>
      <c r="DH22" s="258">
        <v>0.12</v>
      </c>
      <c r="DI22" s="258">
        <v>9.1999999999999998E-2</v>
      </c>
      <c r="DJ22" s="258">
        <v>0.11</v>
      </c>
      <c r="DK22" s="257"/>
      <c r="DL22" s="257"/>
      <c r="DM22" s="257"/>
      <c r="DN22" s="257"/>
      <c r="DO22" s="257"/>
      <c r="DP22" s="257"/>
      <c r="DQ22" s="257"/>
      <c r="DR22" s="257"/>
      <c r="DS22" s="257"/>
      <c r="DT22" s="257"/>
      <c r="DU22" s="257"/>
      <c r="DV22" s="257"/>
      <c r="DW22" s="257"/>
      <c r="DX22" s="257"/>
      <c r="DY22" s="257"/>
      <c r="DZ22" s="257"/>
      <c r="EA22" s="257"/>
      <c r="EB22" s="257"/>
      <c r="EC22" s="257"/>
      <c r="ED22" s="257"/>
      <c r="EE22" s="257"/>
      <c r="EF22" s="257"/>
      <c r="EG22" s="257"/>
      <c r="EH22" s="257"/>
      <c r="EI22" s="257"/>
      <c r="EJ22" s="257"/>
      <c r="EK22" s="257"/>
      <c r="EL22" s="257"/>
      <c r="EM22" s="257"/>
      <c r="EN22" s="257"/>
      <c r="EO22" s="257"/>
      <c r="EP22" s="257"/>
      <c r="EQ22" s="257"/>
      <c r="ER22" s="257"/>
      <c r="ES22" s="257"/>
      <c r="ET22" s="257"/>
      <c r="EU22" s="257"/>
      <c r="EV22" s="257"/>
      <c r="EW22" s="257"/>
      <c r="EX22" s="257"/>
      <c r="EY22" s="257"/>
      <c r="EZ22" s="257"/>
      <c r="FA22" s="257"/>
      <c r="FB22" s="257"/>
      <c r="FC22" s="257"/>
      <c r="FD22" s="257"/>
      <c r="FE22" s="257"/>
      <c r="FF22" s="257"/>
      <c r="FG22" s="257"/>
      <c r="FH22" s="257"/>
      <c r="FI22" s="257"/>
      <c r="FJ22" s="257"/>
      <c r="FK22" s="257"/>
      <c r="FL22" s="257"/>
      <c r="FM22" s="257"/>
      <c r="FN22" s="257"/>
      <c r="FO22" s="257"/>
      <c r="FP22" s="257"/>
      <c r="FQ22" s="257"/>
      <c r="FR22" s="257"/>
      <c r="FS22" s="257"/>
      <c r="FT22" s="257"/>
      <c r="FU22" s="257"/>
      <c r="FV22" s="257"/>
      <c r="FW22" s="257"/>
      <c r="FX22"/>
      <c r="FY22"/>
      <c r="FZ22"/>
      <c r="GA22"/>
      <c r="GB22"/>
    </row>
    <row r="23" spans="1:185" s="1030" customFormat="1" ht="12" customHeight="1">
      <c r="A23" t="s">
        <v>1019</v>
      </c>
      <c r="B23"/>
      <c r="C23"/>
      <c r="D23"/>
      <c r="E23"/>
      <c r="F23" s="259"/>
      <c r="G23" s="224" t="s">
        <v>1307</v>
      </c>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60"/>
      <c r="FX23"/>
      <c r="FY23"/>
      <c r="FZ23"/>
      <c r="GA23"/>
      <c r="GB23"/>
    </row>
    <row r="24" spans="1:185" ht="12.75" customHeight="1">
      <c r="F24" s="248"/>
      <c r="G24" s="248"/>
      <c r="H24" s="248"/>
      <c r="I24" s="248"/>
      <c r="J24" s="248"/>
      <c r="K24" s="248"/>
      <c r="L24" s="248"/>
      <c r="M24" s="248"/>
      <c r="N24" s="248"/>
      <c r="O24" s="248"/>
      <c r="P24" s="248"/>
      <c r="Q24" s="248"/>
      <c r="R24" s="248"/>
      <c r="S24" s="483"/>
      <c r="T24" s="483"/>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GC24" s="472">
        <v>12</v>
      </c>
    </row>
    <row r="25" spans="1:185" ht="12.75" customHeight="1">
      <c r="GC25" s="472">
        <v>12</v>
      </c>
    </row>
    <row r="26" spans="1:185" ht="12.75" customHeight="1">
      <c r="GC26" s="473">
        <v>12</v>
      </c>
    </row>
    <row r="27" spans="1:185" ht="12.75" customHeight="1">
      <c r="GC27" s="473">
        <v>12</v>
      </c>
    </row>
    <row r="28" spans="1:185" ht="12" hidden="1" customHeight="1">
      <c r="A28" s="473" t="s">
        <v>81</v>
      </c>
      <c r="B28" s="484">
        <v>0</v>
      </c>
      <c r="C28" s="473">
        <v>0</v>
      </c>
      <c r="D28" s="473">
        <v>0</v>
      </c>
      <c r="E28" s="473">
        <v>3</v>
      </c>
      <c r="F28" s="473">
        <v>6</v>
      </c>
      <c r="G28" s="473">
        <v>18</v>
      </c>
      <c r="H28" s="473">
        <v>27</v>
      </c>
      <c r="I28" s="473">
        <v>18</v>
      </c>
      <c r="J28" s="473">
        <v>0</v>
      </c>
      <c r="K28" s="473">
        <v>0</v>
      </c>
      <c r="L28" s="473">
        <v>0</v>
      </c>
      <c r="M28" s="473">
        <v>0</v>
      </c>
      <c r="N28" s="473">
        <v>0</v>
      </c>
      <c r="O28" s="473">
        <v>0</v>
      </c>
      <c r="P28" s="473">
        <v>0</v>
      </c>
      <c r="Q28" s="473">
        <v>0</v>
      </c>
      <c r="R28" s="473">
        <v>0</v>
      </c>
      <c r="S28" s="473">
        <v>0</v>
      </c>
      <c r="T28" s="473">
        <v>0</v>
      </c>
      <c r="U28" s="473">
        <v>0</v>
      </c>
      <c r="V28" s="473">
        <v>0</v>
      </c>
      <c r="W28" s="473">
        <v>0</v>
      </c>
      <c r="X28" s="473">
        <v>0</v>
      </c>
      <c r="Y28" s="473">
        <v>0</v>
      </c>
      <c r="Z28" s="473">
        <v>0</v>
      </c>
      <c r="AA28" s="473">
        <v>0</v>
      </c>
      <c r="AB28" s="473">
        <v>0</v>
      </c>
      <c r="AC28" s="473">
        <v>0</v>
      </c>
      <c r="AD28" s="473">
        <v>0</v>
      </c>
      <c r="AE28" s="473">
        <v>0</v>
      </c>
      <c r="AF28" s="473">
        <v>0</v>
      </c>
      <c r="AG28" s="473">
        <v>0</v>
      </c>
      <c r="AH28" s="473">
        <v>0</v>
      </c>
      <c r="AI28" s="473">
        <v>0</v>
      </c>
      <c r="AJ28" s="473">
        <v>0</v>
      </c>
      <c r="AK28" s="473">
        <v>0</v>
      </c>
      <c r="AL28" s="473">
        <v>0</v>
      </c>
      <c r="AM28" s="473">
        <v>0</v>
      </c>
      <c r="AN28" s="473">
        <v>0</v>
      </c>
      <c r="AO28" s="473">
        <v>0</v>
      </c>
      <c r="AP28" s="473">
        <v>0</v>
      </c>
      <c r="AQ28" s="473">
        <v>0</v>
      </c>
      <c r="AR28" s="473">
        <v>0</v>
      </c>
      <c r="AS28" s="473">
        <v>0</v>
      </c>
      <c r="AT28" s="473">
        <v>0</v>
      </c>
      <c r="AU28" s="473">
        <v>0</v>
      </c>
      <c r="AV28" s="473">
        <v>0</v>
      </c>
      <c r="AW28" s="473">
        <v>0</v>
      </c>
      <c r="AX28" s="473">
        <v>0</v>
      </c>
      <c r="AY28" s="473">
        <v>0</v>
      </c>
      <c r="AZ28" s="473">
        <v>0</v>
      </c>
      <c r="BA28" s="473">
        <v>0</v>
      </c>
      <c r="BB28" s="473">
        <v>0</v>
      </c>
      <c r="BC28" s="473">
        <v>0</v>
      </c>
      <c r="BD28" s="473">
        <v>0</v>
      </c>
      <c r="BE28" s="473">
        <v>0</v>
      </c>
      <c r="BF28" s="473">
        <v>0</v>
      </c>
      <c r="BG28" s="473">
        <v>0</v>
      </c>
      <c r="BH28" s="473">
        <v>0</v>
      </c>
      <c r="BI28" s="473">
        <v>0</v>
      </c>
      <c r="BJ28" s="473">
        <v>0</v>
      </c>
      <c r="BK28" s="473">
        <v>0</v>
      </c>
      <c r="BL28" s="473">
        <v>0</v>
      </c>
      <c r="BM28" s="473">
        <v>0</v>
      </c>
      <c r="BN28" s="473">
        <v>0</v>
      </c>
      <c r="BO28" s="473">
        <v>0</v>
      </c>
      <c r="BP28" s="473">
        <v>0</v>
      </c>
      <c r="BQ28" s="473">
        <v>0</v>
      </c>
      <c r="BR28" s="473">
        <v>0</v>
      </c>
      <c r="BS28" s="473">
        <v>0</v>
      </c>
      <c r="BT28" s="473">
        <v>0</v>
      </c>
      <c r="BU28" s="473">
        <v>0</v>
      </c>
      <c r="BV28" s="473">
        <v>0</v>
      </c>
      <c r="BW28" s="473">
        <v>0</v>
      </c>
      <c r="BX28" s="473">
        <v>0</v>
      </c>
      <c r="BY28" s="473">
        <v>0</v>
      </c>
      <c r="BZ28" s="473">
        <v>0</v>
      </c>
      <c r="CA28" s="473">
        <v>0</v>
      </c>
      <c r="CB28" s="473">
        <v>0</v>
      </c>
      <c r="CC28" s="473">
        <v>0</v>
      </c>
      <c r="CD28" s="473">
        <v>0</v>
      </c>
      <c r="CE28" s="473">
        <v>0</v>
      </c>
      <c r="CF28" s="473">
        <v>0</v>
      </c>
      <c r="CG28" s="473">
        <v>0</v>
      </c>
      <c r="CH28" s="473">
        <v>0</v>
      </c>
      <c r="CI28" s="473">
        <v>0</v>
      </c>
      <c r="CJ28" s="473">
        <v>0</v>
      </c>
      <c r="CK28" s="473">
        <v>0</v>
      </c>
      <c r="CL28" s="473">
        <v>0</v>
      </c>
      <c r="CM28" s="473">
        <v>0</v>
      </c>
      <c r="CN28" s="473">
        <v>0</v>
      </c>
      <c r="CO28" s="473">
        <v>0</v>
      </c>
      <c r="CP28" s="473">
        <v>0</v>
      </c>
      <c r="CQ28" s="473">
        <v>0</v>
      </c>
      <c r="CR28" s="473">
        <v>0</v>
      </c>
      <c r="CS28" s="473">
        <v>0</v>
      </c>
      <c r="CT28" s="473">
        <v>0</v>
      </c>
      <c r="CU28" s="473">
        <v>0</v>
      </c>
      <c r="CV28" s="473">
        <v>0</v>
      </c>
      <c r="CW28" s="473">
        <v>0</v>
      </c>
      <c r="CX28" s="473">
        <v>0</v>
      </c>
      <c r="CY28" s="473">
        <v>0</v>
      </c>
      <c r="CZ28" s="473">
        <v>0</v>
      </c>
      <c r="DA28" s="473">
        <v>0</v>
      </c>
      <c r="DB28" s="473">
        <v>0</v>
      </c>
      <c r="DC28" s="473">
        <v>0</v>
      </c>
      <c r="DD28" s="473">
        <v>0</v>
      </c>
      <c r="DE28" s="473">
        <v>0</v>
      </c>
      <c r="DF28" s="473">
        <v>0</v>
      </c>
      <c r="DG28" s="473">
        <v>0</v>
      </c>
      <c r="DH28" s="473">
        <v>0</v>
      </c>
      <c r="DI28" s="473">
        <v>0</v>
      </c>
      <c r="DJ28" s="473">
        <v>0</v>
      </c>
      <c r="DK28" s="473">
        <v>0</v>
      </c>
      <c r="DL28" s="473">
        <v>0</v>
      </c>
      <c r="DM28" s="473">
        <v>0</v>
      </c>
      <c r="DN28" s="473">
        <v>0</v>
      </c>
      <c r="DO28" s="473">
        <v>0</v>
      </c>
      <c r="DP28" s="473">
        <v>0</v>
      </c>
      <c r="DQ28" s="473">
        <v>0</v>
      </c>
      <c r="DR28" s="473">
        <v>0</v>
      </c>
      <c r="DS28" s="473">
        <v>0</v>
      </c>
      <c r="DT28" s="473">
        <v>0</v>
      </c>
      <c r="DU28" s="473">
        <v>0</v>
      </c>
      <c r="DV28" s="473">
        <v>0</v>
      </c>
      <c r="DW28" s="473">
        <v>0</v>
      </c>
      <c r="DX28" s="473">
        <v>0</v>
      </c>
      <c r="DY28" s="473">
        <v>0</v>
      </c>
      <c r="DZ28" s="473">
        <v>0</v>
      </c>
      <c r="EA28" s="473">
        <v>0</v>
      </c>
      <c r="EB28" s="473">
        <v>0</v>
      </c>
      <c r="EC28" s="473">
        <v>0</v>
      </c>
      <c r="ED28" s="473">
        <v>0</v>
      </c>
      <c r="EE28" s="473">
        <v>0</v>
      </c>
      <c r="EF28" s="473">
        <v>0</v>
      </c>
      <c r="EG28" s="473">
        <v>0</v>
      </c>
      <c r="EH28" s="473">
        <v>0</v>
      </c>
      <c r="EI28" s="473">
        <v>0</v>
      </c>
      <c r="EJ28" s="473">
        <v>0</v>
      </c>
      <c r="EK28" s="473">
        <v>0</v>
      </c>
      <c r="EL28" s="473">
        <v>0</v>
      </c>
      <c r="EM28" s="473">
        <v>0</v>
      </c>
      <c r="EN28" s="473">
        <v>0</v>
      </c>
      <c r="EO28" s="473">
        <v>0</v>
      </c>
      <c r="EP28" s="473">
        <v>0</v>
      </c>
      <c r="EQ28" s="473">
        <v>0</v>
      </c>
      <c r="ER28" s="473">
        <v>0</v>
      </c>
      <c r="ES28" s="473">
        <v>0</v>
      </c>
      <c r="ET28" s="473">
        <v>0</v>
      </c>
      <c r="EU28" s="473">
        <v>0</v>
      </c>
      <c r="EV28" s="473">
        <v>0</v>
      </c>
      <c r="EW28" s="473">
        <v>0</v>
      </c>
      <c r="EX28" s="473">
        <v>0</v>
      </c>
      <c r="EY28" s="473">
        <v>0</v>
      </c>
      <c r="EZ28" s="473">
        <v>0</v>
      </c>
      <c r="FA28" s="473">
        <v>0</v>
      </c>
      <c r="FB28" s="473">
        <v>0</v>
      </c>
      <c r="FC28" s="473">
        <v>0</v>
      </c>
      <c r="FD28" s="473">
        <v>0</v>
      </c>
      <c r="FE28" s="473">
        <v>0</v>
      </c>
      <c r="FF28" s="473">
        <v>0</v>
      </c>
      <c r="FG28" s="473">
        <v>0</v>
      </c>
      <c r="FH28" s="473">
        <v>0</v>
      </c>
      <c r="FI28" s="473">
        <v>0</v>
      </c>
      <c r="FJ28" s="473">
        <v>0</v>
      </c>
      <c r="FK28" s="473">
        <v>0</v>
      </c>
      <c r="FL28" s="473">
        <v>0</v>
      </c>
      <c r="FM28" s="473">
        <v>0</v>
      </c>
      <c r="FN28" s="473">
        <v>0</v>
      </c>
      <c r="FO28" s="473">
        <v>0</v>
      </c>
      <c r="FP28" s="473">
        <v>0</v>
      </c>
      <c r="FQ28" s="473">
        <v>0</v>
      </c>
      <c r="FR28" s="473">
        <v>0</v>
      </c>
      <c r="FS28" s="473">
        <v>0</v>
      </c>
      <c r="FT28" s="473">
        <v>0</v>
      </c>
      <c r="FU28" s="473">
        <v>0</v>
      </c>
      <c r="FV28" s="473">
        <v>0</v>
      </c>
      <c r="FW28" s="473">
        <v>0</v>
      </c>
      <c r="FX28" s="473">
        <v>8</v>
      </c>
      <c r="FY28" s="473">
        <v>8</v>
      </c>
      <c r="FZ28" s="473">
        <v>8</v>
      </c>
      <c r="GA28" s="473">
        <v>8</v>
      </c>
      <c r="GB28" s="473">
        <v>8</v>
      </c>
      <c r="GC28" s="473">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zoomScale="90" workbookViewId="0">
      <pane xSplit="7" ySplit="14" topLeftCell="J15" activePane="bottomRight" state="frozen"/>
      <selection pane="topRight" activeCell="H1" sqref="H1"/>
      <selection pane="bottomLeft" activeCell="A15" sqref="A15"/>
      <selection pane="bottomRight" activeCell="J8" sqref="J8"/>
    </sheetView>
  </sheetViews>
  <sheetFormatPr defaultColWidth="10.5703125" defaultRowHeight="15" customHeight="1"/>
  <cols>
    <col min="1" max="2" width="9.140625" style="1030" hidden="1" customWidth="1"/>
    <col min="3" max="3" width="4" style="1030" customWidth="1"/>
    <col min="4" max="4" width="6" style="1030" customWidth="1"/>
    <col min="5" max="5" width="36" style="1030" customWidth="1"/>
    <col min="6" max="6" width="9" style="1030" customWidth="1"/>
    <col min="7" max="7" width="42.42578125" style="1030" hidden="1" customWidth="1"/>
    <col min="8" max="8" width="40.7109375" style="1030" customWidth="1"/>
    <col min="9" max="10" width="42.42578125" style="1030" customWidth="1"/>
    <col min="11" max="11" width="93" style="1030" customWidth="1"/>
    <col min="12" max="20" width="10" style="1030" customWidth="1"/>
    <col min="21" max="21" width="10.5703125" style="1030" hidden="1"/>
  </cols>
  <sheetData>
    <row r="1" spans="3:21" ht="15" hidden="1" customHeight="1">
      <c r="H1" s="556">
        <v>4</v>
      </c>
      <c r="I1"/>
      <c r="J1"/>
      <c r="U1" s="556" t="s">
        <v>14</v>
      </c>
    </row>
    <row r="2" spans="3:21" ht="22.5" hidden="1" customHeight="1">
      <c r="C2" s="732" t="s">
        <v>103</v>
      </c>
      <c r="D2" s="55"/>
      <c r="E2" s="123"/>
      <c r="F2" s="584" t="str">
        <f>IF(TEMPLATE_SPHERE="HEAT","Гкал/час","тыс. куб. м/сутки")</f>
        <v>тыс. куб. м/сутки</v>
      </c>
      <c r="G2" s="386"/>
      <c r="H2" s="386"/>
      <c r="I2" s="386"/>
      <c r="J2" s="386"/>
      <c r="K2" s="796"/>
      <c r="U2" s="539">
        <v>0</v>
      </c>
    </row>
    <row r="3" spans="3:21" ht="15" hidden="1" customHeight="1">
      <c r="I3"/>
      <c r="J3"/>
      <c r="U3" s="556">
        <v>0</v>
      </c>
    </row>
    <row r="4" spans="3:21" ht="15.75" customHeight="1">
      <c r="I4"/>
      <c r="J4"/>
      <c r="U4" s="539">
        <v>15</v>
      </c>
    </row>
    <row r="5" spans="3:21" ht="39.75" customHeight="1">
      <c r="D5" s="11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174"/>
      <c r="F5" s="1174"/>
      <c r="G5" s="1174"/>
      <c r="H5" s="1174"/>
      <c r="I5" s="125"/>
      <c r="J5" s="125"/>
      <c r="U5" s="539">
        <v>38</v>
      </c>
    </row>
    <row r="6" spans="3:21" ht="15.75" customHeight="1">
      <c r="D6" s="1148" t="str">
        <f>IF(org=0,"Не определено",org)</f>
        <v>АО "НИЖЕГОРОДСКИЙ ВОДОКАНАЛ"</v>
      </c>
      <c r="E6" s="1148"/>
      <c r="F6" s="1148"/>
      <c r="G6" s="1148"/>
      <c r="H6" s="1148"/>
      <c r="I6" s="77"/>
      <c r="J6" s="77"/>
      <c r="U6" s="539">
        <v>15</v>
      </c>
    </row>
    <row r="7" spans="3:21" ht="15.75" customHeight="1">
      <c r="H7" s="630"/>
      <c r="I7" t="s">
        <v>22</v>
      </c>
      <c r="J7" t="s">
        <v>22</v>
      </c>
      <c r="U7" s="539">
        <v>15</v>
      </c>
    </row>
    <row r="8" spans="3:21" ht="1.1499999999999999" customHeight="1">
      <c r="H8" s="556" t="s">
        <v>122</v>
      </c>
      <c r="I8" t="s">
        <v>127</v>
      </c>
      <c r="J8" t="s">
        <v>129</v>
      </c>
      <c r="U8" s="539">
        <v>1</v>
      </c>
    </row>
    <row r="9" spans="3:21" ht="15.75" customHeight="1">
      <c r="D9" s="898"/>
      <c r="E9" s="1278" t="s">
        <v>110</v>
      </c>
      <c r="F9" s="1279"/>
      <c r="G9" s="901" t="str">
        <f>IF(G8="","",INDEX(DIFFERENTIATION_UNMERGE_VD,MATCH(G8,DIFFERENTIATION_ID_DIFF,0)))</f>
        <v/>
      </c>
      <c r="H9" s="901" t="str">
        <f>IF(H8="","",INDEX(DIFFERENTIATION_UNMERGE_VD,MATCH(H8,DIFFERENTIATION_ID_DIFF,0)))</f>
        <v>Водоотведение</v>
      </c>
      <c r="I9" s="382" t="str">
        <f>IF(I8="","",INDEX(DIFFERENTIATION_UNMERGE_VD,MATCH(I8,DIFFERENTIATION_ID_DIFF,0)))</f>
        <v>Водоотведение</v>
      </c>
      <c r="J9" s="382" t="str">
        <f>IF(J8="","",INDEX(DIFFERENTIATION_UNMERGE_VD,MATCH(J8,DIFFERENTIATION_ID_DIFF,0)))</f>
        <v>Подключение (технологическое присоединение) к централизованной системе водоотведения</v>
      </c>
      <c r="K9" s="1070" t="s">
        <v>309</v>
      </c>
      <c r="U9" s="539">
        <v>15</v>
      </c>
    </row>
    <row r="10" spans="3:21" ht="15.75" customHeight="1">
      <c r="D10" s="898"/>
      <c r="E10" s="1278" t="s">
        <v>572</v>
      </c>
      <c r="F10" s="1279"/>
      <c r="G10" s="901" t="str">
        <f>IF(G8="","",INDEX(DIFFERENTIATION_UNMERGE_AREA,MATCH(G8,DIFFERENTIATION_ID_DIFF,0)))</f>
        <v/>
      </c>
      <c r="H10" s="901" t="str">
        <f>IF(H8="","",INDEX(DIFFERENTIATION_UNMERGE_AREA,MATCH(H8,DIFFERENTIATION_ID_DIFF,0)))</f>
        <v>Территория 1</v>
      </c>
      <c r="I10" s="382" t="str">
        <f>IF(I8="","",INDEX(DIFFERENTIATION_UNMERGE_AREA,MATCH(I8,DIFFERENTIATION_ID_DIFF,0)))</f>
        <v>Территория 2</v>
      </c>
      <c r="J10" s="382" t="str">
        <f>IF(J8="","",INDEX(DIFFERENTIATION_UNMERGE_AREA,MATCH(J8,DIFFERENTIATION_ID_DIFF,0)))</f>
        <v>без дифференциации</v>
      </c>
      <c r="K10" s="1070"/>
      <c r="U10" s="539">
        <v>15</v>
      </c>
    </row>
    <row r="11" spans="3:21" ht="15.75" customHeight="1">
      <c r="D11" s="898"/>
      <c r="E11" s="1278" t="s">
        <v>573</v>
      </c>
      <c r="F11" s="1279"/>
      <c r="G11" s="901" t="str">
        <f>IF(G8="","",INDEX(DIFFERENTIATION_UNMERGE_SYSTEM,MATCH(G8,DIFFERENTIATION_ID_DIFF,0)))</f>
        <v/>
      </c>
      <c r="H11" s="901" t="str">
        <f>IF(H8="","",INDEX(DIFFERENTIATION_UNMERGE_SYSTEM,MATCH(H8,DIFFERENTIATION_ID_DIFF,0)))</f>
        <v>Централизованная система водоотведения города Нижнего Новгорода</v>
      </c>
      <c r="I11" s="382" t="str">
        <f>IF(I8="","",INDEX(DIFFERENTIATION_UNMERGE_SYSTEM,MATCH(I8,DIFFERENTIATION_ID_DIFF,0)))</f>
        <v>Централизованная система водоотведения Кстовского муниципального района</v>
      </c>
      <c r="J11" s="382" t="str">
        <f>IF(J8="","",INDEX(DIFFERENTIATION_UNMERGE_SYSTEM,MATCH(J8,DIFFERENTIATION_ID_DIFF,0)))</f>
        <v>без дифференциации</v>
      </c>
      <c r="K11" s="1070"/>
      <c r="U11" s="539">
        <v>15</v>
      </c>
    </row>
    <row r="12" spans="3:21" ht="15.75" customHeight="1">
      <c r="D12" s="1280" t="s">
        <v>308</v>
      </c>
      <c r="E12" s="1281"/>
      <c r="F12" s="1281"/>
      <c r="G12" s="899"/>
      <c r="H12" s="899"/>
      <c r="I12" s="381"/>
      <c r="J12" s="381"/>
      <c r="K12" s="1070"/>
      <c r="U12" s="539">
        <v>15</v>
      </c>
    </row>
    <row r="13" spans="3:21" ht="35.65" customHeight="1">
      <c r="D13" s="584" t="s">
        <v>87</v>
      </c>
      <c r="E13" s="584" t="s">
        <v>310</v>
      </c>
      <c r="F13" s="584" t="s">
        <v>574</v>
      </c>
      <c r="G13" s="544" t="s">
        <v>311</v>
      </c>
      <c r="H13" s="544" t="s">
        <v>311</v>
      </c>
      <c r="I13" s="5" t="s">
        <v>311</v>
      </c>
      <c r="J13" s="5" t="s">
        <v>311</v>
      </c>
      <c r="K13" s="1070"/>
      <c r="U13" s="539">
        <v>34</v>
      </c>
    </row>
    <row r="14" spans="3:21" ht="15" hidden="1" customHeight="1">
      <c r="D14" s="383" t="s">
        <v>114</v>
      </c>
      <c r="E14" s="383" t="s">
        <v>102</v>
      </c>
      <c r="F14" s="383" t="s">
        <v>89</v>
      </c>
      <c r="G14" s="732" t="str">
        <f>G1&amp;".1"</f>
        <v>.1</v>
      </c>
      <c r="H14" s="732" t="str">
        <f>H1&amp;".1"</f>
        <v>4.1</v>
      </c>
      <c r="I14" s="181" t="str">
        <f>I1&amp;".1"</f>
        <v>.1</v>
      </c>
      <c r="J14" s="181" t="str">
        <f>J1&amp;".1"</f>
        <v>.1</v>
      </c>
      <c r="K14" s="796"/>
      <c r="U14" s="539">
        <v>0</v>
      </c>
    </row>
    <row r="15" spans="3:21" ht="15.75" customHeight="1">
      <c r="D15" s="584">
        <v>1</v>
      </c>
      <c r="E15" s="606" t="str">
        <f>TP_P_A</f>
        <v xml:space="preserve">Количество поданных заявлений </v>
      </c>
      <c r="F15" s="584" t="s">
        <v>1308</v>
      </c>
      <c r="G15" s="389"/>
      <c r="H15" s="389"/>
      <c r="I15" s="389"/>
      <c r="J15" s="389"/>
      <c r="K15" s="832"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5" s="539">
        <v>15</v>
      </c>
    </row>
    <row r="16" spans="3:21" ht="15.75" customHeight="1">
      <c r="D16" s="584">
        <v>2</v>
      </c>
      <c r="E16" s="606" t="str">
        <f>TP_P_B</f>
        <v xml:space="preserve">Количество исполненных заявлений </v>
      </c>
      <c r="F16" s="584" t="s">
        <v>1308</v>
      </c>
      <c r="G16" s="389"/>
      <c r="H16" s="389"/>
      <c r="I16" s="389"/>
      <c r="J16" s="389"/>
      <c r="K16" s="832"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6" s="539">
        <v>15</v>
      </c>
    </row>
    <row r="17" spans="1:21" ht="77.650000000000006" customHeight="1">
      <c r="D17" s="584">
        <v>3</v>
      </c>
      <c r="E17" s="606"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84" t="s">
        <v>1308</v>
      </c>
      <c r="G17" s="389"/>
      <c r="H17" s="389"/>
      <c r="I17" s="389"/>
      <c r="J17" s="389"/>
      <c r="K17" s="832"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U17" s="539">
        <v>74</v>
      </c>
    </row>
    <row r="18" spans="1:21" ht="54.75" customHeight="1">
      <c r="D18" s="584">
        <v>4</v>
      </c>
      <c r="E18" s="606" t="str">
        <f>TP_P_V_1</f>
        <v>Причины отказа в заключении договора о подключении (технологическом присоединении) к централизованной системе водоотведения</v>
      </c>
      <c r="F18" s="584" t="s">
        <v>314</v>
      </c>
      <c r="G18" s="390"/>
      <c r="H18" s="390"/>
      <c r="I18" s="390"/>
      <c r="J18" s="390"/>
      <c r="K18" s="60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539">
        <v>52</v>
      </c>
    </row>
    <row r="19" spans="1:21" ht="60" customHeight="1">
      <c r="D19" s="584">
        <v>5</v>
      </c>
      <c r="E19" s="606"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584" t="str">
        <f>IF(TEMPLATE_SPHERE="HEAT","Гкал/час","тыс. куб. м/сутки")</f>
        <v>тыс. куб. м/сутки</v>
      </c>
      <c r="G19" s="391">
        <f>SUM(G20:G22)</f>
        <v>0</v>
      </c>
      <c r="H19" s="391">
        <f>SUM(H20:H22)</f>
        <v>0</v>
      </c>
      <c r="I19" s="391">
        <f>SUM(I20:I22)</f>
        <v>0</v>
      </c>
      <c r="J19" s="391">
        <f>SUM(J20:J22)</f>
        <v>0</v>
      </c>
      <c r="K19" s="832"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U19" s="539">
        <v>57</v>
      </c>
    </row>
    <row r="20" spans="1:21" ht="15" hidden="1" customHeight="1">
      <c r="D20" s="539" t="s">
        <v>1309</v>
      </c>
      <c r="I20"/>
      <c r="J20"/>
      <c r="K20" s="904"/>
      <c r="U20" s="539">
        <v>0</v>
      </c>
    </row>
    <row r="21" spans="1:21" ht="29.25" customHeight="1">
      <c r="D21" s="55" t="s">
        <v>321</v>
      </c>
      <c r="E21" s="14"/>
      <c r="F21" s="584" t="str">
        <f>IF(TEMPLATE_SPHERE="HEAT","Гкал/час","тыс. куб. м/сутки")</f>
        <v>тыс. куб. м/сутки</v>
      </c>
      <c r="G21" s="386"/>
      <c r="H21" s="386"/>
      <c r="I21" s="386"/>
      <c r="J21" s="386"/>
      <c r="K21" s="1113"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U21" s="539">
        <v>28</v>
      </c>
    </row>
    <row r="22" spans="1:21" ht="15.75" customHeight="1">
      <c r="D22" s="761"/>
      <c r="E22" s="44" t="s">
        <v>1310</v>
      </c>
      <c r="F22" s="762"/>
      <c r="G22" s="762"/>
      <c r="H22" s="762"/>
      <c r="I22" s="206"/>
      <c r="J22" s="206"/>
      <c r="K22" s="1115"/>
      <c r="U22" s="539">
        <v>15</v>
      </c>
    </row>
    <row r="23" spans="1:21" ht="22.5" hidden="1" customHeight="1">
      <c r="A23" s="537" t="s">
        <v>81</v>
      </c>
      <c r="B23" s="539">
        <v>0</v>
      </c>
      <c r="C23" s="732">
        <v>4</v>
      </c>
      <c r="D23" s="539">
        <v>6</v>
      </c>
      <c r="E23" s="539">
        <v>36</v>
      </c>
      <c r="F23" s="539">
        <v>9</v>
      </c>
      <c r="G23" s="539">
        <v>0</v>
      </c>
      <c r="H23" s="539">
        <v>40</v>
      </c>
      <c r="I23" s="3">
        <v>0</v>
      </c>
      <c r="J23" s="3">
        <v>0</v>
      </c>
      <c r="K23" s="556">
        <v>93</v>
      </c>
      <c r="L23" s="539">
        <v>10</v>
      </c>
      <c r="M23" s="539">
        <v>10</v>
      </c>
      <c r="N23" s="539">
        <v>10</v>
      </c>
      <c r="O23" s="539">
        <v>10</v>
      </c>
      <c r="P23" s="539">
        <v>10</v>
      </c>
      <c r="Q23" s="539">
        <v>10</v>
      </c>
      <c r="R23" s="539">
        <v>10</v>
      </c>
      <c r="S23" s="539">
        <v>10</v>
      </c>
      <c r="T23" s="903">
        <v>10</v>
      </c>
      <c r="U23" s="539">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2" width="9.140625" style="1030" hidden="1" customWidth="1"/>
    <col min="3" max="3" width="3" style="1030" customWidth="1"/>
    <col min="4" max="4" width="6" style="1030" customWidth="1"/>
    <col min="5" max="6" width="64" style="1030" customWidth="1"/>
    <col min="7" max="7" width="140" style="1030" customWidth="1"/>
    <col min="8" max="16" width="10" style="1030" customWidth="1"/>
    <col min="17" max="17" width="10.5703125" style="1030" hidden="1"/>
  </cols>
  <sheetData>
    <row r="1" spans="3:17" ht="22.5" hidden="1" customHeight="1">
      <c r="Q1" s="539" t="s">
        <v>14</v>
      </c>
    </row>
    <row r="2" spans="3:17" ht="14.25" hidden="1" customHeight="1">
      <c r="Q2" s="539">
        <v>0</v>
      </c>
    </row>
    <row r="3" spans="3:17" ht="14.25" hidden="1" customHeight="1">
      <c r="Q3" s="539">
        <v>0</v>
      </c>
    </row>
    <row r="4" spans="3:17" ht="3" customHeight="1">
      <c r="C4" s="757"/>
      <c r="D4" s="557"/>
      <c r="E4" s="557"/>
      <c r="F4" s="814"/>
      <c r="G4" s="814"/>
      <c r="Q4" s="539">
        <v>3</v>
      </c>
    </row>
    <row r="5" spans="3:17" ht="29.25" customHeight="1">
      <c r="C5" s="757"/>
      <c r="D5" s="111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120"/>
      <c r="F5" s="1120"/>
      <c r="G5" s="1121"/>
      <c r="Q5" s="539">
        <v>28</v>
      </c>
    </row>
    <row r="6" spans="3:17" ht="18.75" customHeight="1">
      <c r="C6" s="757"/>
      <c r="D6" s="1169" t="str">
        <f>IF(org=0,"Не определено",org)</f>
        <v>АО "НИЖЕГОРОДСКИЙ ВОДОКАНАЛ"</v>
      </c>
      <c r="E6" s="1170"/>
      <c r="F6" s="1170"/>
      <c r="G6" s="1171"/>
      <c r="Q6" s="539">
        <v>18</v>
      </c>
    </row>
    <row r="7" spans="3:17" ht="14.65" customHeight="1">
      <c r="C7" s="757"/>
      <c r="D7" s="557"/>
      <c r="E7" s="552"/>
      <c r="F7" s="630"/>
      <c r="G7" s="815"/>
      <c r="Q7" s="539">
        <v>14</v>
      </c>
    </row>
    <row r="8" spans="3:17" ht="1.1499999999999999" customHeight="1">
      <c r="C8" s="757"/>
      <c r="D8" s="557"/>
      <c r="E8" s="552"/>
      <c r="F8" s="630"/>
      <c r="G8" s="815"/>
      <c r="Q8" s="539">
        <v>1</v>
      </c>
    </row>
    <row r="9" spans="3:17" ht="14.65" customHeight="1">
      <c r="C9" s="757"/>
      <c r="D9" s="1155" t="s">
        <v>308</v>
      </c>
      <c r="E9" s="1155"/>
      <c r="F9" s="1155"/>
      <c r="G9" s="1296" t="s">
        <v>309</v>
      </c>
      <c r="Q9" s="539">
        <v>14</v>
      </c>
    </row>
    <row r="10" spans="3:17" ht="24" customHeight="1">
      <c r="C10" s="757"/>
      <c r="D10" s="633" t="s">
        <v>87</v>
      </c>
      <c r="E10" s="603" t="s">
        <v>310</v>
      </c>
      <c r="F10" s="603" t="s">
        <v>398</v>
      </c>
      <c r="G10" s="1296"/>
      <c r="Q10" s="539">
        <v>23</v>
      </c>
    </row>
    <row r="11" spans="3:17" ht="12" hidden="1" customHeight="1">
      <c r="C11" s="757"/>
      <c r="D11" s="109"/>
      <c r="E11" s="109"/>
      <c r="F11" s="109"/>
      <c r="G11" s="109"/>
      <c r="Q11" s="539">
        <v>0</v>
      </c>
    </row>
    <row r="12" spans="3:17" ht="65.25" customHeight="1">
      <c r="C12" s="757"/>
      <c r="D12" s="91">
        <v>1</v>
      </c>
      <c r="E12" s="79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603" t="s">
        <v>314</v>
      </c>
      <c r="G12" s="796"/>
      <c r="Q12" s="539">
        <v>62</v>
      </c>
    </row>
    <row r="13" spans="3:17" ht="24" customHeight="1">
      <c r="C13" s="757"/>
      <c r="D13" s="91" t="s">
        <v>1212</v>
      </c>
      <c r="E13" s="81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603" t="s">
        <v>314</v>
      </c>
      <c r="G13" s="796"/>
      <c r="Q13" s="539">
        <v>23</v>
      </c>
    </row>
    <row r="14" spans="3:17" ht="14.65" customHeight="1">
      <c r="C14" s="757"/>
      <c r="D14" s="91" t="s">
        <v>1248</v>
      </c>
      <c r="E14" s="817"/>
      <c r="F14" s="133"/>
      <c r="G14" s="111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39">
        <v>14</v>
      </c>
    </row>
    <row r="15" spans="3:17" ht="15.75" customHeight="1">
      <c r="C15" s="757"/>
      <c r="D15" s="761"/>
      <c r="E15" s="63" t="s">
        <v>1311</v>
      </c>
      <c r="F15" s="296"/>
      <c r="G15" s="1115"/>
      <c r="Q15" s="539">
        <v>15</v>
      </c>
    </row>
    <row r="16" spans="3:17" ht="14.65" customHeight="1">
      <c r="C16" s="757"/>
      <c r="D16" s="91" t="s">
        <v>1214</v>
      </c>
      <c r="E16" s="8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603" t="s">
        <v>314</v>
      </c>
      <c r="G16" s="818"/>
      <c r="Q16" s="539">
        <v>14</v>
      </c>
    </row>
    <row r="17" spans="1:17" ht="14.65" customHeight="1">
      <c r="C17" s="757"/>
      <c r="D17" s="91" t="s">
        <v>1256</v>
      </c>
      <c r="E17" s="817"/>
      <c r="F17" s="297"/>
      <c r="G17" s="111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539">
        <v>14</v>
      </c>
    </row>
    <row r="18" spans="1:17" ht="21.95" customHeight="1">
      <c r="C18" s="757"/>
      <c r="D18" s="761"/>
      <c r="E18" s="63" t="s">
        <v>1312</v>
      </c>
      <c r="F18" s="298"/>
      <c r="G18" s="1115"/>
      <c r="Q18" s="539">
        <v>21</v>
      </c>
    </row>
    <row r="19" spans="1:17" ht="256.5" hidden="1" customHeight="1">
      <c r="C19" s="757"/>
      <c r="D19" s="91" t="s">
        <v>1216</v>
      </c>
      <c r="E19" s="816" t="s">
        <v>1313</v>
      </c>
      <c r="F19" s="297"/>
      <c r="G19" s="818" t="s">
        <v>1314</v>
      </c>
      <c r="Q19" s="539">
        <v>0</v>
      </c>
    </row>
    <row r="20" spans="1:17" ht="14.65" customHeight="1">
      <c r="C20" s="757"/>
      <c r="D20" s="632">
        <v>2</v>
      </c>
      <c r="E20" s="816" t="s">
        <v>1315</v>
      </c>
      <c r="F20" s="603" t="s">
        <v>314</v>
      </c>
      <c r="G20" s="818"/>
      <c r="Q20" s="539">
        <v>14</v>
      </c>
    </row>
    <row r="21" spans="1:17" ht="18.75" hidden="1" customHeight="1">
      <c r="C21" s="757"/>
      <c r="D21" s="299" t="s">
        <v>653</v>
      </c>
      <c r="E21" s="819"/>
      <c r="F21" s="300"/>
      <c r="G21" s="820"/>
      <c r="Q21" s="539">
        <v>0</v>
      </c>
    </row>
    <row r="22" spans="1:17" ht="15.75" customHeight="1">
      <c r="C22" s="757"/>
      <c r="D22" s="761"/>
      <c r="E22" s="44" t="s">
        <v>330</v>
      </c>
      <c r="F22" s="298"/>
      <c r="G22" s="821"/>
      <c r="Q22" s="539">
        <v>15</v>
      </c>
    </row>
    <row r="23" spans="1:17" ht="22.5" hidden="1" customHeight="1">
      <c r="C23" s="757"/>
      <c r="D23" s="91" t="s">
        <v>102</v>
      </c>
      <c r="E23" s="799" t="s">
        <v>1316</v>
      </c>
      <c r="F23" s="603" t="s">
        <v>314</v>
      </c>
      <c r="G23" s="796"/>
      <c r="Q23" s="539">
        <v>0</v>
      </c>
    </row>
    <row r="24" spans="1:17" ht="14.25" hidden="1" customHeight="1">
      <c r="C24" s="757"/>
      <c r="D24" s="91" t="s">
        <v>725</v>
      </c>
      <c r="E24" s="816" t="s">
        <v>1317</v>
      </c>
      <c r="F24" s="603" t="s">
        <v>314</v>
      </c>
      <c r="G24" s="818"/>
      <c r="Q24" s="539">
        <v>0</v>
      </c>
    </row>
    <row r="25" spans="1:17" ht="14.25" hidden="1" customHeight="1">
      <c r="C25" s="757"/>
      <c r="D25" s="91" t="s">
        <v>728</v>
      </c>
      <c r="E25" s="817"/>
      <c r="F25" s="297"/>
      <c r="G25" s="1113" t="s">
        <v>1318</v>
      </c>
      <c r="Q25" s="539">
        <v>0</v>
      </c>
    </row>
    <row r="26" spans="1:17" ht="22.5" hidden="1" customHeight="1">
      <c r="C26" s="757"/>
      <c r="D26" s="761"/>
      <c r="E26" s="63" t="s">
        <v>1319</v>
      </c>
      <c r="F26" s="298"/>
      <c r="G26" s="1115"/>
      <c r="Q26" s="539">
        <v>0</v>
      </c>
    </row>
    <row r="27" spans="1:17" ht="3" customHeight="1">
      <c r="Q27" s="539">
        <v>3</v>
      </c>
    </row>
    <row r="28" spans="1:17" ht="14.65" customHeight="1">
      <c r="Q28" s="539">
        <v>14</v>
      </c>
    </row>
    <row r="29" spans="1:17" ht="14.65" customHeight="1">
      <c r="Q29" s="539">
        <v>14</v>
      </c>
    </row>
    <row r="30" spans="1:17" ht="14.65" customHeight="1">
      <c r="Q30" s="539">
        <v>14</v>
      </c>
    </row>
    <row r="31" spans="1:17" ht="14.65" customHeight="1">
      <c r="Q31" s="539">
        <v>14</v>
      </c>
    </row>
    <row r="32" spans="1:17" ht="22.5" hidden="1" customHeight="1">
      <c r="A32" s="301" t="s">
        <v>81</v>
      </c>
      <c r="B32" s="556">
        <v>0</v>
      </c>
      <c r="C32" s="822">
        <v>3</v>
      </c>
      <c r="D32" s="539">
        <v>6</v>
      </c>
      <c r="E32" s="539">
        <v>64</v>
      </c>
      <c r="F32" s="539">
        <v>64</v>
      </c>
      <c r="G32" s="539">
        <v>140</v>
      </c>
      <c r="H32" s="539">
        <v>10</v>
      </c>
      <c r="I32" s="583">
        <v>10</v>
      </c>
      <c r="J32" s="583">
        <v>10</v>
      </c>
      <c r="K32" s="539">
        <v>10</v>
      </c>
      <c r="L32" s="539">
        <v>10</v>
      </c>
      <c r="M32" s="539">
        <v>10</v>
      </c>
      <c r="N32" s="539">
        <v>10</v>
      </c>
      <c r="O32" s="539">
        <v>10</v>
      </c>
      <c r="P32" s="539">
        <v>10</v>
      </c>
      <c r="Q32" s="539">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2" width="9.140625" style="1030" hidden="1" customWidth="1"/>
    <col min="3" max="3" width="3" style="1030" customWidth="1"/>
    <col min="4" max="4" width="6" style="1030" customWidth="1"/>
    <col min="5" max="5" width="63" style="1030" customWidth="1"/>
    <col min="6" max="6" width="1.7109375" style="1030" hidden="1" customWidth="1"/>
    <col min="7" max="8" width="35" style="1030" customWidth="1"/>
    <col min="9" max="9" width="91" style="1030" customWidth="1"/>
    <col min="10" max="10" width="68" style="1030" customWidth="1"/>
    <col min="11" max="12" width="10" style="1030" customWidth="1"/>
    <col min="13" max="13" width="10.5703125" style="1030" hidden="1"/>
  </cols>
  <sheetData>
    <row r="1" spans="3:13" ht="22.5" hidden="1" customHeight="1">
      <c r="M1" s="539" t="s">
        <v>14</v>
      </c>
    </row>
    <row r="2" spans="3:13" ht="18.75" hidden="1" customHeight="1">
      <c r="C2" s="375" t="s">
        <v>103</v>
      </c>
      <c r="D2" s="91"/>
      <c r="E2" s="558"/>
      <c r="F2" s="603"/>
      <c r="G2" s="603" t="s">
        <v>314</v>
      </c>
      <c r="H2" s="133"/>
      <c r="M2" s="539">
        <v>0</v>
      </c>
    </row>
    <row r="3" spans="3:13" ht="14.25" hidden="1" customHeight="1">
      <c r="M3" s="539">
        <v>0</v>
      </c>
    </row>
    <row r="4" spans="3:13" ht="18.75" hidden="1" customHeight="1">
      <c r="C4" s="375" t="s">
        <v>103</v>
      </c>
      <c r="D4" s="91"/>
      <c r="E4" s="816" t="s">
        <v>1320</v>
      </c>
      <c r="F4" s="603"/>
      <c r="G4" s="798"/>
      <c r="H4" s="603" t="s">
        <v>314</v>
      </c>
      <c r="M4" s="539">
        <v>0</v>
      </c>
    </row>
    <row r="5" spans="3:13" ht="14.25" hidden="1" customHeight="1">
      <c r="M5" s="539">
        <v>0</v>
      </c>
    </row>
    <row r="6" spans="3:13" ht="18.75" hidden="1" customHeight="1">
      <c r="C6" s="375" t="s">
        <v>103</v>
      </c>
      <c r="D6" s="91"/>
      <c r="E6" s="893" t="s">
        <v>1321</v>
      </c>
      <c r="F6" s="603"/>
      <c r="G6" s="798"/>
      <c r="H6" s="603" t="s">
        <v>314</v>
      </c>
      <c r="M6" s="539">
        <v>0</v>
      </c>
    </row>
    <row r="7" spans="3:13" ht="14.25" hidden="1" customHeight="1">
      <c r="M7" s="539">
        <v>0</v>
      </c>
    </row>
    <row r="8" spans="3:13" ht="18.75" hidden="1" customHeight="1">
      <c r="C8" s="375" t="s">
        <v>103</v>
      </c>
      <c r="D8" s="91"/>
      <c r="E8" s="893" t="s">
        <v>1322</v>
      </c>
      <c r="F8" s="603"/>
      <c r="G8" s="798"/>
      <c r="H8" s="603" t="s">
        <v>314</v>
      </c>
      <c r="M8" s="539">
        <v>0</v>
      </c>
    </row>
    <row r="9" spans="3:13" ht="14.25" hidden="1" customHeight="1">
      <c r="M9" s="539">
        <v>0</v>
      </c>
    </row>
    <row r="10" spans="3:13" ht="18.75" hidden="1" customHeight="1">
      <c r="C10" s="375" t="s">
        <v>103</v>
      </c>
      <c r="D10" s="91"/>
      <c r="E10" s="893" t="s">
        <v>1323</v>
      </c>
      <c r="F10" s="603"/>
      <c r="G10" s="107"/>
      <c r="H10" s="603" t="s">
        <v>314</v>
      </c>
      <c r="L10" s="583" t="s">
        <v>1324</v>
      </c>
      <c r="M10" s="539">
        <v>0</v>
      </c>
    </row>
    <row r="11" spans="3:13" ht="14.25" hidden="1" customHeight="1">
      <c r="M11" s="539">
        <v>0</v>
      </c>
    </row>
    <row r="12" spans="3:13" ht="14.25" hidden="1" customHeight="1">
      <c r="M12" s="539">
        <v>0</v>
      </c>
    </row>
    <row r="13" spans="3:13" ht="14.65" customHeight="1">
      <c r="C13" s="757"/>
      <c r="D13" s="557"/>
      <c r="E13" s="557"/>
      <c r="F13" s="557"/>
      <c r="G13" s="557"/>
      <c r="H13" s="814"/>
      <c r="I13" s="814"/>
      <c r="M13" s="539">
        <v>14</v>
      </c>
    </row>
    <row r="14" spans="3:13" ht="29.25" customHeight="1">
      <c r="C14" s="757"/>
      <c r="D14" s="111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120"/>
      <c r="F14" s="1120"/>
      <c r="G14" s="1120"/>
      <c r="H14" s="1121"/>
      <c r="M14" s="539">
        <v>28</v>
      </c>
    </row>
    <row r="15" spans="3:13" ht="14.65" customHeight="1">
      <c r="C15" s="757"/>
      <c r="D15" s="1169" t="str">
        <f>IF(org=0,"Не определено",org)</f>
        <v>АО "НИЖЕГОРОДСКИЙ ВОДОКАНАЛ"</v>
      </c>
      <c r="E15" s="1170"/>
      <c r="F15" s="1170"/>
      <c r="G15" s="1170"/>
      <c r="H15" s="1171"/>
      <c r="M15" s="539">
        <v>14</v>
      </c>
    </row>
    <row r="16" spans="3:13" ht="14.65" customHeight="1">
      <c r="C16" s="757"/>
      <c r="D16" s="557"/>
      <c r="E16" s="552"/>
      <c r="F16" s="552"/>
      <c r="G16" s="552"/>
      <c r="H16" s="630"/>
      <c r="I16" s="815"/>
      <c r="M16" s="539">
        <v>14</v>
      </c>
    </row>
    <row r="17" spans="1:13" ht="14.25" hidden="1" customHeight="1">
      <c r="C17" s="757"/>
      <c r="D17" s="557"/>
      <c r="E17" s="552"/>
      <c r="F17" s="552"/>
      <c r="G17" s="552"/>
      <c r="H17" s="630"/>
      <c r="I17" s="815"/>
      <c r="M17" s="539">
        <v>0</v>
      </c>
    </row>
    <row r="18" spans="1:13" ht="21.95" customHeight="1">
      <c r="C18" s="757"/>
      <c r="D18" s="1155" t="s">
        <v>308</v>
      </c>
      <c r="E18" s="1155"/>
      <c r="F18" s="1155"/>
      <c r="G18" s="1155"/>
      <c r="H18" s="1155"/>
      <c r="I18" s="1296" t="s">
        <v>309</v>
      </c>
      <c r="M18" s="539">
        <v>21</v>
      </c>
    </row>
    <row r="19" spans="1:13" ht="21.95" customHeight="1">
      <c r="C19" s="757"/>
      <c r="D19" s="633" t="s">
        <v>87</v>
      </c>
      <c r="E19" s="603" t="s">
        <v>310</v>
      </c>
      <c r="F19" s="603"/>
      <c r="G19" s="603" t="s">
        <v>311</v>
      </c>
      <c r="H19" s="603" t="s">
        <v>398</v>
      </c>
      <c r="I19" s="1296"/>
      <c r="M19" s="539">
        <v>21</v>
      </c>
    </row>
    <row r="20" spans="1:13" ht="12" hidden="1" customHeight="1">
      <c r="C20" s="757"/>
      <c r="D20" s="109"/>
      <c r="E20" s="109"/>
      <c r="F20" s="109"/>
      <c r="G20" s="109"/>
      <c r="H20" s="109"/>
      <c r="I20" s="109"/>
      <c r="M20" s="539">
        <v>0</v>
      </c>
    </row>
    <row r="21" spans="1:13" ht="14.65" customHeight="1">
      <c r="C21" s="757"/>
      <c r="D21" s="91">
        <v>1</v>
      </c>
      <c r="E21" s="1396" t="s">
        <v>1325</v>
      </c>
      <c r="F21" s="1396"/>
      <c r="G21" s="1396"/>
      <c r="H21" s="1396"/>
      <c r="I21" s="832"/>
      <c r="M21" s="539">
        <v>14</v>
      </c>
    </row>
    <row r="22" spans="1:13" ht="21" customHeight="1">
      <c r="C22" s="757"/>
      <c r="D22" s="91" t="s">
        <v>1212</v>
      </c>
      <c r="E22" s="816" t="s">
        <v>1326</v>
      </c>
      <c r="F22" s="603"/>
      <c r="G22" s="376"/>
      <c r="H22" s="603" t="s">
        <v>314</v>
      </c>
      <c r="I22" s="796" t="s">
        <v>1327</v>
      </c>
      <c r="M22" s="539">
        <v>20</v>
      </c>
    </row>
    <row r="23" spans="1:13" ht="60" customHeight="1">
      <c r="C23" s="757"/>
      <c r="D23" s="91" t="s">
        <v>1214</v>
      </c>
      <c r="E23" s="816" t="s">
        <v>1328</v>
      </c>
      <c r="F23" s="603"/>
      <c r="G23" s="798"/>
      <c r="H23" s="133"/>
      <c r="I23" s="606" t="s">
        <v>1329</v>
      </c>
      <c r="M23" s="539">
        <v>57</v>
      </c>
    </row>
    <row r="24" spans="1:13" ht="14.65" customHeight="1">
      <c r="B24" s="556">
        <v>3</v>
      </c>
      <c r="C24" s="757"/>
      <c r="D24" s="91">
        <v>2</v>
      </c>
      <c r="E24" s="79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603"/>
      <c r="G24" s="603" t="s">
        <v>314</v>
      </c>
      <c r="H24" s="133"/>
      <c r="I24" s="620" t="s">
        <v>648</v>
      </c>
      <c r="M24" s="539">
        <v>14</v>
      </c>
    </row>
    <row r="25" spans="1:13" ht="48.2" customHeight="1">
      <c r="C25" s="757"/>
      <c r="D25" s="91">
        <v>3</v>
      </c>
      <c r="E25" s="139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396"/>
      <c r="G25" s="1396"/>
      <c r="H25" s="1396"/>
      <c r="I25" s="832"/>
      <c r="M25" s="539">
        <v>46</v>
      </c>
    </row>
    <row r="26" spans="1:13" ht="14.65" customHeight="1">
      <c r="C26" s="757"/>
      <c r="D26" s="91" t="s">
        <v>332</v>
      </c>
      <c r="E26" s="558"/>
      <c r="F26" s="603"/>
      <c r="G26" s="603" t="s">
        <v>314</v>
      </c>
      <c r="H26" s="133"/>
      <c r="I26" s="1113" t="s">
        <v>1330</v>
      </c>
      <c r="M26" s="539">
        <v>14</v>
      </c>
    </row>
    <row r="27" spans="1:13" ht="15.75" customHeight="1">
      <c r="A27" s="202" t="s">
        <v>114</v>
      </c>
      <c r="C27" s="757"/>
      <c r="D27" s="761"/>
      <c r="E27" s="44" t="s">
        <v>330</v>
      </c>
      <c r="F27" s="63"/>
      <c r="G27" s="63"/>
      <c r="H27" s="296"/>
      <c r="I27" s="1115"/>
      <c r="M27" s="539">
        <v>15</v>
      </c>
    </row>
    <row r="28" spans="1:13" ht="39.75" customHeight="1">
      <c r="B28" s="556">
        <v>3</v>
      </c>
      <c r="C28" s="757"/>
      <c r="D28" s="91">
        <v>4</v>
      </c>
      <c r="E28" s="139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396"/>
      <c r="G28" s="1396"/>
      <c r="H28" s="1396"/>
      <c r="I28" s="832"/>
      <c r="M28" s="539">
        <v>38</v>
      </c>
    </row>
    <row r="29" spans="1:13" ht="21" customHeight="1">
      <c r="C29" s="757"/>
      <c r="D29" s="91" t="s">
        <v>770</v>
      </c>
      <c r="E29" s="816" t="s">
        <v>1320</v>
      </c>
      <c r="F29" s="603"/>
      <c r="G29" s="798"/>
      <c r="H29" s="603" t="s">
        <v>314</v>
      </c>
      <c r="I29" s="1113" t="s">
        <v>1331</v>
      </c>
      <c r="M29" s="539">
        <v>20</v>
      </c>
    </row>
    <row r="30" spans="1:13" ht="15.75" customHeight="1">
      <c r="A30" s="202" t="s">
        <v>102</v>
      </c>
      <c r="C30" s="757"/>
      <c r="D30" s="761"/>
      <c r="E30" s="44" t="s">
        <v>330</v>
      </c>
      <c r="F30" s="63"/>
      <c r="G30" s="63"/>
      <c r="H30" s="296"/>
      <c r="I30" s="1115"/>
      <c r="M30" s="539">
        <v>15</v>
      </c>
    </row>
    <row r="31" spans="1:13" ht="31.5" customHeight="1">
      <c r="B31" s="556">
        <v>3</v>
      </c>
      <c r="C31" s="757"/>
      <c r="D31" s="91">
        <v>5</v>
      </c>
      <c r="E31" s="139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396"/>
      <c r="G31" s="1396"/>
      <c r="H31" s="1396"/>
      <c r="I31" s="832"/>
      <c r="M31" s="539">
        <v>30</v>
      </c>
    </row>
    <row r="32" spans="1:13" ht="27.4" customHeight="1">
      <c r="C32" s="757"/>
      <c r="D32" s="91" t="s">
        <v>321</v>
      </c>
      <c r="E32" s="13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309"/>
      <c r="G32" s="1309"/>
      <c r="H32" s="1309"/>
      <c r="I32" s="832"/>
      <c r="M32" s="539">
        <v>26</v>
      </c>
    </row>
    <row r="33" spans="1:13" ht="14.65" customHeight="1">
      <c r="C33" s="757"/>
      <c r="D33" s="91" t="s">
        <v>1332</v>
      </c>
      <c r="E33" s="893" t="s">
        <v>1321</v>
      </c>
      <c r="F33" s="603"/>
      <c r="G33" s="798"/>
      <c r="H33" s="603" t="s">
        <v>314</v>
      </c>
      <c r="I33" s="1113" t="s">
        <v>1333</v>
      </c>
      <c r="M33" s="539">
        <v>14</v>
      </c>
    </row>
    <row r="34" spans="1:13" ht="15.75" customHeight="1">
      <c r="A34" s="202" t="s">
        <v>89</v>
      </c>
      <c r="C34" s="757"/>
      <c r="D34" s="761"/>
      <c r="E34" s="63" t="s">
        <v>330</v>
      </c>
      <c r="F34" s="377"/>
      <c r="G34" s="377"/>
      <c r="H34" s="296"/>
      <c r="I34" s="1115"/>
      <c r="M34" s="539">
        <v>15</v>
      </c>
    </row>
    <row r="35" spans="1:13" ht="25.15" customHeight="1">
      <c r="C35" s="757"/>
      <c r="D35" s="91" t="s">
        <v>898</v>
      </c>
      <c r="E35" s="13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309"/>
      <c r="G35" s="1309"/>
      <c r="H35" s="1309"/>
      <c r="I35" s="832"/>
      <c r="M35" s="539">
        <v>24</v>
      </c>
    </row>
    <row r="36" spans="1:13" ht="14.65" customHeight="1">
      <c r="C36" s="757"/>
      <c r="D36" s="91" t="s">
        <v>1334</v>
      </c>
      <c r="E36" s="893" t="s">
        <v>1322</v>
      </c>
      <c r="F36" s="603"/>
      <c r="G36" s="798"/>
      <c r="H36" s="603" t="s">
        <v>314</v>
      </c>
      <c r="I36" s="1097" t="s">
        <v>1335</v>
      </c>
      <c r="M36" s="539">
        <v>14</v>
      </c>
    </row>
    <row r="37" spans="1:13" ht="15.75" customHeight="1">
      <c r="A37" s="202" t="s">
        <v>90</v>
      </c>
      <c r="C37" s="757"/>
      <c r="D37" s="761"/>
      <c r="E37" s="63" t="s">
        <v>330</v>
      </c>
      <c r="F37" s="377"/>
      <c r="G37" s="377"/>
      <c r="H37" s="296"/>
      <c r="I37" s="1097"/>
      <c r="M37" s="539">
        <v>15</v>
      </c>
    </row>
    <row r="38" spans="1:13" ht="27.4" customHeight="1">
      <c r="C38" s="757"/>
      <c r="D38" s="91" t="s">
        <v>899</v>
      </c>
      <c r="E38" s="13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309"/>
      <c r="G38" s="1309"/>
      <c r="H38" s="1309"/>
      <c r="I38" s="832"/>
      <c r="M38" s="539">
        <v>26</v>
      </c>
    </row>
    <row r="39" spans="1:13" ht="14.65" customHeight="1">
      <c r="C39" s="757"/>
      <c r="D39" s="91" t="s">
        <v>900</v>
      </c>
      <c r="E39" s="893" t="s">
        <v>1323</v>
      </c>
      <c r="F39" s="603"/>
      <c r="G39" s="107"/>
      <c r="H39" s="603" t="s">
        <v>314</v>
      </c>
      <c r="I39" s="1113" t="s">
        <v>1336</v>
      </c>
      <c r="L39" s="583" t="s">
        <v>1324</v>
      </c>
      <c r="M39" s="539">
        <v>14</v>
      </c>
    </row>
    <row r="40" spans="1:13" ht="15.75" customHeight="1">
      <c r="A40" s="202" t="s">
        <v>115</v>
      </c>
      <c r="C40" s="757"/>
      <c r="D40" s="761"/>
      <c r="E40" s="63" t="s">
        <v>330</v>
      </c>
      <c r="F40" s="377"/>
      <c r="G40" s="377"/>
      <c r="H40" s="296"/>
      <c r="I40" s="1115"/>
      <c r="M40" s="539">
        <v>15</v>
      </c>
    </row>
    <row r="41" spans="1:13" ht="3" customHeight="1">
      <c r="M41" s="79">
        <v>3</v>
      </c>
    </row>
    <row r="42" spans="1:13" ht="26.25" customHeight="1">
      <c r="D42" s="894" t="s">
        <v>820</v>
      </c>
      <c r="E42" s="12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038"/>
      <c r="G42" s="1038"/>
      <c r="H42" s="1038"/>
      <c r="I42" s="1038"/>
      <c r="M42" s="539">
        <v>25</v>
      </c>
    </row>
    <row r="43" spans="1:13" ht="22.5" hidden="1" customHeight="1">
      <c r="A43" s="12" t="s">
        <v>81</v>
      </c>
      <c r="B43" s="556">
        <v>0</v>
      </c>
      <c r="C43" s="822">
        <v>3</v>
      </c>
      <c r="D43" s="539">
        <v>6</v>
      </c>
      <c r="E43" s="539">
        <v>63</v>
      </c>
      <c r="F43" s="539">
        <v>0</v>
      </c>
      <c r="G43" s="539">
        <v>35</v>
      </c>
      <c r="H43" s="539">
        <v>35</v>
      </c>
      <c r="I43" s="539">
        <v>91</v>
      </c>
      <c r="J43" s="539">
        <v>68</v>
      </c>
      <c r="K43" s="583">
        <v>10</v>
      </c>
      <c r="L43" s="583">
        <v>10</v>
      </c>
      <c r="M43" s="539">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030" hidden="1" customWidth="1"/>
    <col min="3" max="3" width="9.140625" style="1030" hidden="1" customWidth="1"/>
    <col min="4" max="4" width="3" style="1030" customWidth="1"/>
    <col min="5" max="5" width="6" style="1030" customWidth="1"/>
    <col min="6" max="6" width="46.7109375" style="1030" customWidth="1"/>
    <col min="7" max="7" width="35" style="1030" customWidth="1"/>
    <col min="8" max="8" width="3" style="1030" customWidth="1"/>
    <col min="9" max="10" width="11" style="1030" customWidth="1"/>
    <col min="11" max="12" width="35" style="1030" customWidth="1"/>
    <col min="13" max="13" width="84" style="1030" customWidth="1"/>
    <col min="14" max="33" width="10" style="1030" customWidth="1"/>
    <col min="34" max="34" width="10.5703125" style="1030" hidden="1"/>
  </cols>
  <sheetData>
    <row r="1" spans="1:34" ht="22.5" hidden="1" customHeight="1">
      <c r="N1" s="578">
        <f>IFERROR(MATCH("метод экономически обоснованных расходов (затрат)",OFFER_METHOD,0),0)</f>
        <v>0</v>
      </c>
      <c r="AH1" s="539" t="s">
        <v>14</v>
      </c>
    </row>
    <row r="2" spans="1:34" ht="18.75" hidden="1" customHeight="1">
      <c r="A2" s="79" t="s">
        <v>165</v>
      </c>
      <c r="B2" s="79" t="s">
        <v>166</v>
      </c>
      <c r="E2" s="823"/>
      <c r="F2" s="823"/>
      <c r="G2" s="1373" t="str">
        <f>INDEX(PT_DIFFERENTIATION_NTAR,MATCH(B2,PT_DIFFERENTIATION_NTAR_ID,0))</f>
        <v/>
      </c>
      <c r="H2" s="675"/>
      <c r="I2" s="302"/>
      <c r="J2" s="303"/>
      <c r="K2" s="824"/>
      <c r="L2" s="675" t="s">
        <v>314</v>
      </c>
      <c r="M2" s="825"/>
      <c r="AH2" s="539">
        <v>0</v>
      </c>
    </row>
    <row r="3" spans="1:34" ht="18.75" hidden="1" customHeight="1">
      <c r="C3" s="826" t="s">
        <v>1337</v>
      </c>
      <c r="E3" s="823"/>
      <c r="F3" s="823"/>
      <c r="G3" s="1373"/>
      <c r="H3" s="304"/>
      <c r="I3" s="49" t="s">
        <v>1338</v>
      </c>
      <c r="J3" s="63"/>
      <c r="K3" s="304"/>
      <c r="L3" s="296"/>
      <c r="M3" s="825"/>
      <c r="AH3" s="539">
        <v>0</v>
      </c>
    </row>
    <row r="4" spans="1:34" ht="14.25" hidden="1" customHeight="1">
      <c r="N4" s="578">
        <f>IFERROR(MATCH("метод экономически обоснованных расходов (затрат)",OFFER_METHOD,0),0)</f>
        <v>0</v>
      </c>
      <c r="AH4" s="539">
        <v>0</v>
      </c>
    </row>
    <row r="5" spans="1:34" ht="18.75" hidden="1" customHeight="1">
      <c r="A5" s="79" t="s">
        <v>165</v>
      </c>
      <c r="B5" s="79" t="s">
        <v>166</v>
      </c>
      <c r="E5" s="823"/>
      <c r="F5" s="823"/>
      <c r="G5" s="1373" t="str">
        <f>INDEX(PT_DIFFERENTIATION_NTAR,MATCH(B5,PT_DIFFERENTIATION_NTAR_ID,0))</f>
        <v/>
      </c>
      <c r="H5" s="675"/>
      <c r="I5" s="302"/>
      <c r="J5" s="303"/>
      <c r="K5" s="115"/>
      <c r="L5" s="675" t="s">
        <v>314</v>
      </c>
      <c r="M5" s="825"/>
      <c r="AH5" s="539">
        <v>0</v>
      </c>
    </row>
    <row r="6" spans="1:34" ht="18.75" hidden="1" customHeight="1">
      <c r="C6" s="826" t="s">
        <v>1339</v>
      </c>
      <c r="E6" s="823"/>
      <c r="F6" s="823"/>
      <c r="G6" s="1373"/>
      <c r="H6" s="304"/>
      <c r="I6" s="49" t="s">
        <v>1338</v>
      </c>
      <c r="J6" s="63"/>
      <c r="K6" s="304"/>
      <c r="L6" s="296"/>
      <c r="M6" s="825"/>
      <c r="AH6" s="539">
        <v>0</v>
      </c>
    </row>
    <row r="7" spans="1:34" ht="14.25" hidden="1" customHeight="1">
      <c r="N7" s="578">
        <f>IFERROR(MATCH("метод экономически обоснованных расходов (затрат)",OFFER_METHOD,0),0)</f>
        <v>0</v>
      </c>
      <c r="AH7" s="539">
        <v>0</v>
      </c>
    </row>
    <row r="8" spans="1:34" ht="56.25" hidden="1" customHeight="1">
      <c r="E8" s="823"/>
      <c r="F8" s="823"/>
      <c r="G8" s="823"/>
      <c r="H8" s="675"/>
      <c r="I8" s="302"/>
      <c r="J8" s="303"/>
      <c r="K8" s="824"/>
      <c r="L8" s="675" t="s">
        <v>314</v>
      </c>
      <c r="M8" s="825"/>
      <c r="AH8" s="539">
        <v>0</v>
      </c>
    </row>
    <row r="9" spans="1:34" ht="14.25" hidden="1" customHeight="1">
      <c r="AH9" s="539">
        <v>0</v>
      </c>
    </row>
    <row r="10" spans="1:34" ht="56.25" hidden="1" customHeight="1">
      <c r="E10" s="823"/>
      <c r="F10" s="823"/>
      <c r="G10" s="823"/>
      <c r="H10" s="603"/>
      <c r="I10" s="302"/>
      <c r="J10" s="303"/>
      <c r="K10" s="115"/>
      <c r="L10" s="675" t="s">
        <v>314</v>
      </c>
      <c r="M10" s="825"/>
      <c r="AH10" s="539">
        <v>0</v>
      </c>
    </row>
    <row r="11" spans="1:34" ht="14.25" hidden="1" customHeight="1">
      <c r="AH11" s="539">
        <v>0</v>
      </c>
    </row>
    <row r="12" spans="1:34" ht="14.25" hidden="1" customHeight="1">
      <c r="AH12" s="539">
        <v>0</v>
      </c>
    </row>
    <row r="13" spans="1:34" ht="6.4" customHeight="1">
      <c r="D13" s="757"/>
      <c r="E13" s="557"/>
      <c r="F13" s="557"/>
      <c r="G13" s="557"/>
      <c r="H13" s="557"/>
      <c r="I13" s="557"/>
      <c r="J13" s="557"/>
      <c r="K13" s="557"/>
      <c r="L13" s="814"/>
      <c r="M13" s="814"/>
      <c r="AH13" s="539">
        <v>6</v>
      </c>
    </row>
    <row r="14" spans="1:34" ht="14.65" customHeight="1">
      <c r="D14" s="757"/>
      <c r="E14" s="139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398"/>
      <c r="G14" s="1398"/>
      <c r="H14" s="1398"/>
      <c r="I14" s="1398"/>
      <c r="J14" s="1398"/>
      <c r="K14" s="1398"/>
      <c r="L14" s="1398"/>
      <c r="AH14" s="539">
        <v>14</v>
      </c>
    </row>
    <row r="15" spans="1:34" ht="6.4" customHeight="1">
      <c r="D15" s="757"/>
      <c r="E15" s="557"/>
      <c r="F15" s="552"/>
      <c r="G15" s="552"/>
      <c r="H15" s="552"/>
      <c r="I15" s="552"/>
      <c r="J15" s="552"/>
      <c r="K15" s="552"/>
      <c r="L15" s="827"/>
      <c r="M15" s="815"/>
      <c r="AH15" s="539">
        <v>6</v>
      </c>
    </row>
    <row r="16" spans="1:34" ht="24" customHeight="1">
      <c r="D16" s="757"/>
      <c r="E16" s="557"/>
      <c r="F16" s="828" t="str">
        <f>"Дата подачи заявления об "&amp;IF(TITLE_DATE_PR_CHANGE="","утверждении","изменении")&amp;" тарифов"</f>
        <v>Дата подачи заявления об утверждении тарифов</v>
      </c>
      <c r="G16" s="1185" t="str">
        <f>IF(TITLE_DATE_PR_CHANGE="",IF(TITLE_DATE_PR="","",TITLE_DATE_PR),TITLE_DATE_PR_CHANGE)</f>
        <v/>
      </c>
      <c r="H16" s="1185"/>
      <c r="I16" s="1185"/>
      <c r="J16" s="1185"/>
      <c r="K16" s="1185"/>
      <c r="L16" s="1185"/>
      <c r="AH16" s="539">
        <v>23</v>
      </c>
    </row>
    <row r="17" spans="1:34" ht="24" customHeight="1">
      <c r="D17" s="757"/>
      <c r="E17" s="557"/>
      <c r="F17" s="828" t="str">
        <f>"Номер подачи заявления об "&amp;IF(TITLE_DATE_PR_CHANGE="","утверждении","изменении")&amp;" тарифов"</f>
        <v>Номер подачи заявления об утверждении тарифов</v>
      </c>
      <c r="G17" s="1186" t="str">
        <f>IF(TITLE_NUMBER_PR_CHANGE="",IF(TITLE_NUMBER_PR="","",TITLE_NUMBER_PR),TITLE_NUMBER_PR_CHANGE)</f>
        <v/>
      </c>
      <c r="H17" s="1186"/>
      <c r="I17" s="1186"/>
      <c r="J17" s="1186"/>
      <c r="K17" s="1186"/>
      <c r="L17" s="1186"/>
      <c r="AH17" s="539">
        <v>23</v>
      </c>
    </row>
    <row r="18" spans="1:34" ht="14.65" customHeight="1">
      <c r="D18" s="757"/>
      <c r="E18" s="557"/>
      <c r="F18" s="552"/>
      <c r="G18" s="552"/>
      <c r="H18" s="552"/>
      <c r="I18" s="552"/>
      <c r="J18" s="552"/>
      <c r="K18" s="552"/>
      <c r="L18" s="630"/>
      <c r="M18" s="815"/>
      <c r="AH18" s="539">
        <v>14</v>
      </c>
    </row>
    <row r="19" spans="1:34" ht="21.95" customHeight="1">
      <c r="D19" s="757"/>
      <c r="E19" s="1155" t="s">
        <v>308</v>
      </c>
      <c r="F19" s="1155"/>
      <c r="G19" s="1155"/>
      <c r="H19" s="1155"/>
      <c r="I19" s="1155"/>
      <c r="J19" s="1155"/>
      <c r="K19" s="1155"/>
      <c r="L19" s="1155"/>
      <c r="M19" s="1296" t="s">
        <v>309</v>
      </c>
      <c r="AH19" s="539">
        <v>21</v>
      </c>
    </row>
    <row r="20" spans="1:34" ht="21.95" customHeight="1">
      <c r="D20" s="757"/>
      <c r="E20" s="1209" t="s">
        <v>87</v>
      </c>
      <c r="F20" s="1161" t="s">
        <v>132</v>
      </c>
      <c r="G20" s="1161" t="s">
        <v>133</v>
      </c>
      <c r="H20" s="1293" t="s">
        <v>1340</v>
      </c>
      <c r="I20" s="1294"/>
      <c r="J20" s="1375"/>
      <c r="K20" s="1161" t="s">
        <v>311</v>
      </c>
      <c r="L20" s="1161" t="s">
        <v>398</v>
      </c>
      <c r="M20" s="1296"/>
      <c r="AH20" s="539">
        <v>21</v>
      </c>
    </row>
    <row r="21" spans="1:34" ht="21.95" customHeight="1">
      <c r="D21" s="757"/>
      <c r="E21" s="1211"/>
      <c r="F21" s="1162"/>
      <c r="G21" s="1162"/>
      <c r="H21" s="1160" t="s">
        <v>1341</v>
      </c>
      <c r="I21" s="1173"/>
      <c r="J21" s="603" t="s">
        <v>1342</v>
      </c>
      <c r="K21" s="1162"/>
      <c r="L21" s="1162"/>
      <c r="M21" s="1296"/>
      <c r="AH21" s="539">
        <v>21</v>
      </c>
    </row>
    <row r="22" spans="1:34" ht="12.75" customHeight="1">
      <c r="D22" s="757"/>
      <c r="E22" s="109"/>
      <c r="F22" s="109"/>
      <c r="G22" s="109"/>
      <c r="H22" s="1400"/>
      <c r="I22" s="1400"/>
      <c r="J22" s="109"/>
      <c r="K22" s="109"/>
      <c r="L22" s="109"/>
      <c r="M22" s="109"/>
      <c r="AH22" s="539">
        <v>12</v>
      </c>
    </row>
    <row r="23" spans="1:34" ht="19.899999999999999" customHeight="1">
      <c r="D23" s="757"/>
      <c r="E23" s="305" t="s">
        <v>114</v>
      </c>
      <c r="F23" s="1401" t="str">
        <f>"Предлагаемый метод регулирования"&amp;IF(TEMPLATE_SPHERE="HEAT"," в сфере "&amp;TEMPLATE_SPHERE_RUS,"")</f>
        <v>Предлагаемый метод регулирования</v>
      </c>
      <c r="G23" s="1401"/>
      <c r="H23" s="1396"/>
      <c r="I23" s="1396"/>
      <c r="J23" s="1396"/>
      <c r="K23" s="1401" t="s">
        <v>314</v>
      </c>
      <c r="L23" s="1396"/>
      <c r="M23" s="620"/>
      <c r="AH23" s="539">
        <v>19</v>
      </c>
    </row>
    <row r="24" spans="1:34" ht="60.75" hidden="1" customHeight="1">
      <c r="A24" s="79" t="s">
        <v>165</v>
      </c>
      <c r="B24" s="79" t="s">
        <v>166</v>
      </c>
      <c r="D24" s="1399"/>
      <c r="E24" s="1150"/>
      <c r="F24" s="140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373" t="str">
        <f>INDEX(PT_DIFFERENTIATION_NTAR,MATCH(B24,PT_DIFFERENTIATION_NTAR_ID,0))</f>
        <v/>
      </c>
      <c r="H24" s="675"/>
      <c r="I24" s="302"/>
      <c r="J24" s="303"/>
      <c r="K24" s="824"/>
      <c r="L24" s="675" t="s">
        <v>314</v>
      </c>
      <c r="M24" s="1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AH24" s="539">
        <v>0</v>
      </c>
    </row>
    <row r="25" spans="1:34" ht="18.75" hidden="1" customHeight="1">
      <c r="C25" s="826" t="s">
        <v>1337</v>
      </c>
      <c r="D25" s="1399"/>
      <c r="E25" s="1150"/>
      <c r="F25" s="1402"/>
      <c r="G25" s="1373"/>
      <c r="H25" s="304"/>
      <c r="I25" s="49" t="s">
        <v>1338</v>
      </c>
      <c r="J25" s="63"/>
      <c r="K25" s="304"/>
      <c r="L25" s="296"/>
      <c r="M25" s="1114"/>
      <c r="AH25" s="539">
        <v>0</v>
      </c>
    </row>
    <row r="26" spans="1:34" ht="0.75" hidden="1" customHeight="1">
      <c r="C26" s="826" t="s">
        <v>1343</v>
      </c>
      <c r="D26" s="1399"/>
      <c r="E26" s="1150"/>
      <c r="F26" s="1285"/>
      <c r="G26" s="306"/>
      <c r="H26" s="304"/>
      <c r="I26" s="49"/>
      <c r="J26" s="63"/>
      <c r="K26" s="304"/>
      <c r="L26" s="296"/>
      <c r="M26" s="1114"/>
      <c r="AH26" s="539">
        <v>0</v>
      </c>
    </row>
    <row r="27" spans="1:34" ht="45" hidden="1" customHeight="1">
      <c r="A27" s="79" t="s">
        <v>170</v>
      </c>
      <c r="B27" s="79" t="s">
        <v>171</v>
      </c>
      <c r="D27" s="1397"/>
      <c r="E27" s="1403"/>
      <c r="F27" s="1404" t="str">
        <f>INDEX(PT_DIFFERENTIATION_VTAR,MATCH(A27,PT_DIFFERENTIATION_VTAR_ID,0))</f>
        <v/>
      </c>
      <c r="G27" s="1373" t="str">
        <f>INDEX(PT_DIFFERENTIATION_NTAR,MATCH(B27,PT_DIFFERENTIATION_NTAR_ID,0))</f>
        <v/>
      </c>
      <c r="H27" s="675"/>
      <c r="I27" s="302"/>
      <c r="J27" s="303"/>
      <c r="K27" s="824"/>
      <c r="L27" s="675" t="s">
        <v>314</v>
      </c>
      <c r="M27" s="1114"/>
      <c r="AH27" s="539">
        <v>0</v>
      </c>
    </row>
    <row r="28" spans="1:34" ht="18.75" hidden="1" customHeight="1">
      <c r="C28" s="826" t="s">
        <v>1337</v>
      </c>
      <c r="D28" s="1397"/>
      <c r="E28" s="1403"/>
      <c r="F28" s="1404"/>
      <c r="G28" s="1373"/>
      <c r="H28" s="304"/>
      <c r="I28" s="49" t="s">
        <v>1338</v>
      </c>
      <c r="J28" s="63"/>
      <c r="K28" s="304"/>
      <c r="L28" s="296"/>
      <c r="M28" s="1114"/>
      <c r="AH28" s="539">
        <v>0</v>
      </c>
    </row>
    <row r="29" spans="1:34" ht="0.75" hidden="1" customHeight="1">
      <c r="C29" s="826" t="s">
        <v>1343</v>
      </c>
      <c r="D29" s="1397"/>
      <c r="E29" s="1150"/>
      <c r="F29" s="1285"/>
      <c r="G29" s="306"/>
      <c r="H29" s="304"/>
      <c r="I29" s="49"/>
      <c r="J29" s="63"/>
      <c r="K29" s="304"/>
      <c r="L29" s="296"/>
      <c r="M29" s="1114"/>
      <c r="AH29" s="539">
        <v>0</v>
      </c>
    </row>
    <row r="30" spans="1:34" ht="45" hidden="1" customHeight="1">
      <c r="A30" s="79" t="s">
        <v>177</v>
      </c>
      <c r="B30" s="79" t="s">
        <v>178</v>
      </c>
      <c r="D30" s="1397"/>
      <c r="E30" s="1150"/>
      <c r="F30" s="12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373" t="str">
        <f>INDEX(PT_DIFFERENTIATION_NTAR,MATCH(B30,PT_DIFFERENTIATION_NTAR_ID,0))</f>
        <v/>
      </c>
      <c r="H30" s="675"/>
      <c r="I30" s="302"/>
      <c r="J30" s="303"/>
      <c r="K30" s="824"/>
      <c r="L30" s="675" t="s">
        <v>314</v>
      </c>
      <c r="M30" s="1114"/>
      <c r="AH30" s="539">
        <v>0</v>
      </c>
    </row>
    <row r="31" spans="1:34" ht="18.75" hidden="1" customHeight="1">
      <c r="C31" s="826" t="s">
        <v>1337</v>
      </c>
      <c r="D31" s="1397"/>
      <c r="E31" s="1150"/>
      <c r="F31" s="1285"/>
      <c r="G31" s="1373"/>
      <c r="H31" s="304"/>
      <c r="I31" s="49" t="s">
        <v>1338</v>
      </c>
      <c r="J31" s="63"/>
      <c r="K31" s="304"/>
      <c r="L31" s="296"/>
      <c r="M31" s="1114"/>
      <c r="AH31" s="539">
        <v>0</v>
      </c>
    </row>
    <row r="32" spans="1:34" ht="0.75" hidden="1" customHeight="1">
      <c r="C32" s="826" t="s">
        <v>1343</v>
      </c>
      <c r="D32" s="1397"/>
      <c r="E32" s="1150"/>
      <c r="F32" s="1285"/>
      <c r="G32" s="306"/>
      <c r="H32" s="304"/>
      <c r="I32" s="49"/>
      <c r="J32" s="63"/>
      <c r="K32" s="304"/>
      <c r="L32" s="296"/>
      <c r="M32" s="1114"/>
      <c r="AH32" s="539">
        <v>0</v>
      </c>
    </row>
    <row r="33" spans="1:34" ht="45" hidden="1" customHeight="1">
      <c r="A33" s="79" t="s">
        <v>183</v>
      </c>
      <c r="B33" s="79" t="s">
        <v>184</v>
      </c>
      <c r="D33" s="1397"/>
      <c r="E33" s="1150"/>
      <c r="F33" s="12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373" t="str">
        <f>INDEX(PT_DIFFERENTIATION_NTAR,MATCH(B33,PT_DIFFERENTIATION_NTAR_ID,0))</f>
        <v/>
      </c>
      <c r="H33" s="675"/>
      <c r="I33" s="302"/>
      <c r="J33" s="303"/>
      <c r="K33" s="824"/>
      <c r="L33" s="675" t="s">
        <v>314</v>
      </c>
      <c r="M33" s="1114"/>
      <c r="AH33" s="539">
        <v>0</v>
      </c>
    </row>
    <row r="34" spans="1:34" ht="18.75" hidden="1" customHeight="1">
      <c r="C34" s="826" t="s">
        <v>1337</v>
      </c>
      <c r="D34" s="1397"/>
      <c r="E34" s="1150"/>
      <c r="F34" s="1285"/>
      <c r="G34" s="1373"/>
      <c r="H34" s="304"/>
      <c r="I34" s="49" t="s">
        <v>1338</v>
      </c>
      <c r="J34" s="63"/>
      <c r="K34" s="304"/>
      <c r="L34" s="296"/>
      <c r="M34" s="1114"/>
      <c r="AH34" s="539">
        <v>0</v>
      </c>
    </row>
    <row r="35" spans="1:34" ht="0.75" hidden="1" customHeight="1">
      <c r="C35" s="826" t="s">
        <v>1343</v>
      </c>
      <c r="D35" s="1397"/>
      <c r="E35" s="1150"/>
      <c r="F35" s="1285"/>
      <c r="G35" s="306"/>
      <c r="H35" s="304"/>
      <c r="I35" s="49"/>
      <c r="J35" s="63"/>
      <c r="K35" s="304"/>
      <c r="L35" s="296"/>
      <c r="M35" s="1114"/>
      <c r="AH35" s="539">
        <v>0</v>
      </c>
    </row>
    <row r="36" spans="1:34" ht="18.75" hidden="1" customHeight="1">
      <c r="A36" s="79" t="s">
        <v>189</v>
      </c>
      <c r="B36" s="79" t="s">
        <v>190</v>
      </c>
      <c r="D36" s="1397"/>
      <c r="E36" s="1150"/>
      <c r="F36" s="1285" t="str">
        <f>INDEX(PT_DIFFERENTIATION_VTAR,MATCH(A36,PT_DIFFERENTIATION_VTAR_ID,0))</f>
        <v>Тарифы на услуги по передаче тепловой энергии</v>
      </c>
      <c r="G36" s="1373" t="str">
        <f>INDEX(PT_DIFFERENTIATION_NTAR,MATCH(B36,PT_DIFFERENTIATION_NTAR_ID,0))</f>
        <v/>
      </c>
      <c r="H36" s="675"/>
      <c r="I36" s="302"/>
      <c r="J36" s="303"/>
      <c r="K36" s="824"/>
      <c r="L36" s="675" t="s">
        <v>314</v>
      </c>
      <c r="M36" s="1114"/>
      <c r="AH36" s="539">
        <v>0</v>
      </c>
    </row>
    <row r="37" spans="1:34" ht="18.75" hidden="1" customHeight="1">
      <c r="C37" s="826" t="s">
        <v>1337</v>
      </c>
      <c r="D37" s="1397"/>
      <c r="E37" s="1150"/>
      <c r="F37" s="1285"/>
      <c r="G37" s="1373"/>
      <c r="H37" s="304"/>
      <c r="I37" s="49" t="s">
        <v>1338</v>
      </c>
      <c r="J37" s="63"/>
      <c r="K37" s="304"/>
      <c r="L37" s="296"/>
      <c r="M37" s="1114"/>
      <c r="AH37" s="539">
        <v>0</v>
      </c>
    </row>
    <row r="38" spans="1:34" ht="0.75" hidden="1" customHeight="1">
      <c r="C38" s="826" t="s">
        <v>1343</v>
      </c>
      <c r="D38" s="1397"/>
      <c r="E38" s="1150"/>
      <c r="F38" s="1285"/>
      <c r="G38" s="306"/>
      <c r="H38" s="304"/>
      <c r="I38" s="49"/>
      <c r="J38" s="63"/>
      <c r="K38" s="304"/>
      <c r="L38" s="296"/>
      <c r="M38" s="1114"/>
      <c r="AH38" s="539">
        <v>0</v>
      </c>
    </row>
    <row r="39" spans="1:34" ht="18.75" hidden="1" customHeight="1">
      <c r="A39" s="79" t="s">
        <v>195</v>
      </c>
      <c r="B39" s="79" t="s">
        <v>196</v>
      </c>
      <c r="D39" s="1397"/>
      <c r="E39" s="1150"/>
      <c r="F39" s="1285" t="str">
        <f>INDEX(PT_DIFFERENTIATION_VTAR,MATCH(A39,PT_DIFFERENTIATION_VTAR_ID,0))</f>
        <v>Тарифы на услуги по передаче теплоносителя</v>
      </c>
      <c r="G39" s="1373" t="str">
        <f>INDEX(PT_DIFFERENTIATION_NTAR,MATCH(B39,PT_DIFFERENTIATION_NTAR_ID,0))</f>
        <v/>
      </c>
      <c r="H39" s="675"/>
      <c r="I39" s="302"/>
      <c r="J39" s="303"/>
      <c r="K39" s="824"/>
      <c r="L39" s="675" t="s">
        <v>314</v>
      </c>
      <c r="M39" s="1114"/>
      <c r="AH39" s="539">
        <v>0</v>
      </c>
    </row>
    <row r="40" spans="1:34" ht="18.75" hidden="1" customHeight="1">
      <c r="C40" s="826" t="s">
        <v>1337</v>
      </c>
      <c r="D40" s="1397"/>
      <c r="E40" s="1150"/>
      <c r="F40" s="1285"/>
      <c r="G40" s="1373"/>
      <c r="H40" s="304"/>
      <c r="I40" s="49" t="s">
        <v>1338</v>
      </c>
      <c r="J40" s="63"/>
      <c r="K40" s="304"/>
      <c r="L40" s="296"/>
      <c r="M40" s="1114"/>
      <c r="AH40" s="539">
        <v>0</v>
      </c>
    </row>
    <row r="41" spans="1:34" ht="0.75" hidden="1" customHeight="1">
      <c r="C41" s="826" t="s">
        <v>1343</v>
      </c>
      <c r="D41" s="1397"/>
      <c r="E41" s="1150"/>
      <c r="F41" s="1285"/>
      <c r="G41" s="306"/>
      <c r="H41" s="304"/>
      <c r="I41" s="49"/>
      <c r="J41" s="63"/>
      <c r="K41" s="304"/>
      <c r="L41" s="296"/>
      <c r="M41" s="1114"/>
      <c r="AH41" s="539">
        <v>0</v>
      </c>
    </row>
    <row r="42" spans="1:34" ht="18.75" hidden="1" customHeight="1">
      <c r="A42" s="79" t="s">
        <v>201</v>
      </c>
      <c r="B42" s="79" t="s">
        <v>202</v>
      </c>
      <c r="D42" s="1397"/>
      <c r="E42" s="1150"/>
      <c r="F42" s="1285" t="str">
        <f>INDEX(PT_DIFFERENTIATION_VTAR,MATCH(A42,PT_DIFFERENTIATION_VTAR_ID,0))</f>
        <v>Плата за услуги по поддержанию резервной тепловой мощности при отсутствии потребления тепловой энергии</v>
      </c>
      <c r="G42" s="1373" t="str">
        <f>INDEX(PT_DIFFERENTIATION_NTAR,MATCH(B42,PT_DIFFERENTIATION_NTAR_ID,0))</f>
        <v/>
      </c>
      <c r="H42" s="675"/>
      <c r="I42" s="302"/>
      <c r="J42" s="303"/>
      <c r="K42" s="824"/>
      <c r="L42" s="675" t="s">
        <v>314</v>
      </c>
      <c r="M42" s="1114"/>
      <c r="AH42" s="539">
        <v>0</v>
      </c>
    </row>
    <row r="43" spans="1:34" ht="18.75" hidden="1" customHeight="1">
      <c r="C43" s="826" t="s">
        <v>1337</v>
      </c>
      <c r="D43" s="1397"/>
      <c r="E43" s="1150"/>
      <c r="F43" s="1285"/>
      <c r="G43" s="1373"/>
      <c r="H43" s="304"/>
      <c r="I43" s="49" t="s">
        <v>1338</v>
      </c>
      <c r="J43" s="63"/>
      <c r="K43" s="304"/>
      <c r="L43" s="296"/>
      <c r="M43" s="1114"/>
      <c r="AH43" s="539">
        <v>0</v>
      </c>
    </row>
    <row r="44" spans="1:34" ht="0.75" hidden="1" customHeight="1">
      <c r="C44" s="826" t="s">
        <v>1343</v>
      </c>
      <c r="D44" s="1397"/>
      <c r="E44" s="1150"/>
      <c r="F44" s="1285"/>
      <c r="G44" s="306"/>
      <c r="H44" s="304"/>
      <c r="I44" s="49"/>
      <c r="J44" s="63"/>
      <c r="K44" s="304"/>
      <c r="L44" s="296"/>
      <c r="M44" s="1114"/>
      <c r="AH44" s="539">
        <v>0</v>
      </c>
    </row>
    <row r="45" spans="1:34" ht="18.75" hidden="1" customHeight="1">
      <c r="A45" s="79" t="s">
        <v>207</v>
      </c>
      <c r="B45" s="79" t="s">
        <v>208</v>
      </c>
      <c r="D45" s="1397"/>
      <c r="E45" s="1150"/>
      <c r="F45" s="1285" t="str">
        <f>INDEX(PT_DIFFERENTIATION_VTAR,MATCH(A45,PT_DIFFERENTIATION_VTAR_ID,0))</f>
        <v>Плата за подключение (технологическое присоединение) к системе теплоснабжения</v>
      </c>
      <c r="G45" s="1373" t="str">
        <f>INDEX(PT_DIFFERENTIATION_NTAR,MATCH(B45,PT_DIFFERENTIATION_NTAR_ID,0))</f>
        <v/>
      </c>
      <c r="H45" s="675"/>
      <c r="I45" s="302"/>
      <c r="J45" s="303"/>
      <c r="K45" s="824"/>
      <c r="L45" s="675" t="s">
        <v>314</v>
      </c>
      <c r="M45" s="1114"/>
      <c r="AH45" s="539">
        <v>0</v>
      </c>
    </row>
    <row r="46" spans="1:34" ht="18.75" hidden="1" customHeight="1">
      <c r="C46" s="826" t="s">
        <v>1337</v>
      </c>
      <c r="D46" s="1397"/>
      <c r="E46" s="1150"/>
      <c r="F46" s="1285"/>
      <c r="G46" s="1373"/>
      <c r="H46" s="304"/>
      <c r="I46" s="49" t="s">
        <v>1338</v>
      </c>
      <c r="J46" s="63"/>
      <c r="K46" s="304"/>
      <c r="L46" s="296"/>
      <c r="M46" s="1114"/>
      <c r="AH46" s="539">
        <v>0</v>
      </c>
    </row>
    <row r="47" spans="1:34" ht="0.75" hidden="1" customHeight="1">
      <c r="C47" s="826" t="s">
        <v>1343</v>
      </c>
      <c r="D47" s="1397"/>
      <c r="E47" s="1150"/>
      <c r="F47" s="1285"/>
      <c r="G47" s="306"/>
      <c r="H47" s="304"/>
      <c r="I47" s="49"/>
      <c r="J47" s="63"/>
      <c r="K47" s="304"/>
      <c r="L47" s="296"/>
      <c r="M47" s="1114"/>
      <c r="AH47" s="539">
        <v>0</v>
      </c>
    </row>
    <row r="48" spans="1:34" ht="18.75" hidden="1" customHeight="1">
      <c r="A48" s="79" t="s">
        <v>213</v>
      </c>
      <c r="B48" s="79" t="s">
        <v>214</v>
      </c>
      <c r="D48" s="1397"/>
      <c r="E48" s="1150"/>
      <c r="F48" s="1285" t="str">
        <f>INDEX(PT_DIFFERENTIATION_VTAR,MATCH(A48,PT_DIFFERENTIATION_VTAR_ID,0))</f>
        <v>Плата за подключение (технологическое присоединение) к системе теплоснабжения (индивидуальная)</v>
      </c>
      <c r="G48" s="1373" t="str">
        <f>INDEX(PT_DIFFERENTIATION_NTAR,MATCH(B48,PT_DIFFERENTIATION_NTAR_ID,0))</f>
        <v/>
      </c>
      <c r="H48" s="675"/>
      <c r="I48" s="302"/>
      <c r="J48" s="303"/>
      <c r="K48" s="824"/>
      <c r="L48" s="675" t="s">
        <v>314</v>
      </c>
      <c r="M48" s="1114"/>
      <c r="AH48" s="539">
        <v>0</v>
      </c>
    </row>
    <row r="49" spans="1:34" ht="18.75" hidden="1" customHeight="1">
      <c r="C49" s="826" t="s">
        <v>1337</v>
      </c>
      <c r="D49" s="1397"/>
      <c r="E49" s="1150"/>
      <c r="F49" s="1285"/>
      <c r="G49" s="1373"/>
      <c r="H49" s="304"/>
      <c r="I49" s="49" t="s">
        <v>1338</v>
      </c>
      <c r="J49" s="63"/>
      <c r="K49" s="304"/>
      <c r="L49" s="296"/>
      <c r="M49" s="1114"/>
      <c r="AH49" s="539">
        <v>0</v>
      </c>
    </row>
    <row r="50" spans="1:34" ht="0.75" hidden="1" customHeight="1">
      <c r="C50" s="826" t="s">
        <v>1343</v>
      </c>
      <c r="D50" s="1397"/>
      <c r="E50" s="1150"/>
      <c r="F50" s="1285"/>
      <c r="G50" s="306"/>
      <c r="H50" s="304"/>
      <c r="I50" s="49"/>
      <c r="J50" s="63"/>
      <c r="K50" s="304"/>
      <c r="L50" s="296"/>
      <c r="M50" s="1114"/>
      <c r="AH50" s="539">
        <v>0</v>
      </c>
    </row>
    <row r="51" spans="1:34" ht="18.75" hidden="1" customHeight="1">
      <c r="A51" s="79" t="s">
        <v>233</v>
      </c>
      <c r="B51" s="79" t="s">
        <v>234</v>
      </c>
      <c r="D51" s="1397"/>
      <c r="E51" s="1150"/>
      <c r="F51" s="1285" t="str">
        <f>INDEX(PT_DIFFERENTIATION_VTAR,MATCH(A51,PT_DIFFERENTIATION_VTAR_ID,0))</f>
        <v>Тариф на питьевую воду (питьевое водоснабжение)</v>
      </c>
      <c r="G51" s="1373" t="str">
        <f>INDEX(PT_DIFFERENTIATION_NTAR,MATCH(B51,PT_DIFFERENTIATION_NTAR_ID,0))</f>
        <v/>
      </c>
      <c r="H51" s="675"/>
      <c r="I51" s="302"/>
      <c r="J51" s="303"/>
      <c r="K51" s="824"/>
      <c r="L51" s="675" t="s">
        <v>314</v>
      </c>
      <c r="M51" s="1114"/>
      <c r="AH51" s="539">
        <v>0</v>
      </c>
    </row>
    <row r="52" spans="1:34" ht="18.75" hidden="1" customHeight="1">
      <c r="C52" s="826" t="s">
        <v>1337</v>
      </c>
      <c r="D52" s="1397"/>
      <c r="E52" s="1150"/>
      <c r="F52" s="1285"/>
      <c r="G52" s="1373"/>
      <c r="H52" s="304"/>
      <c r="I52" s="49" t="s">
        <v>1338</v>
      </c>
      <c r="J52" s="63"/>
      <c r="K52" s="304"/>
      <c r="L52" s="296"/>
      <c r="M52" s="1114"/>
      <c r="AH52" s="539">
        <v>0</v>
      </c>
    </row>
    <row r="53" spans="1:34" ht="0.75" hidden="1" customHeight="1">
      <c r="C53" s="826" t="s">
        <v>1343</v>
      </c>
      <c r="D53" s="1397"/>
      <c r="E53" s="1150"/>
      <c r="F53" s="1285"/>
      <c r="G53" s="306"/>
      <c r="H53" s="304"/>
      <c r="I53" s="49"/>
      <c r="J53" s="63"/>
      <c r="K53" s="304"/>
      <c r="L53" s="296"/>
      <c r="M53" s="1114"/>
      <c r="AH53" s="539">
        <v>0</v>
      </c>
    </row>
    <row r="54" spans="1:34" ht="18.75" hidden="1" customHeight="1">
      <c r="A54" s="79" t="s">
        <v>238</v>
      </c>
      <c r="B54" s="79" t="s">
        <v>239</v>
      </c>
      <c r="D54" s="1397"/>
      <c r="E54" s="1150"/>
      <c r="F54" s="1285" t="str">
        <f>INDEX(PT_DIFFERENTIATION_VTAR,MATCH(A54,PT_DIFFERENTIATION_VTAR_ID,0))</f>
        <v>Тариф на техническую воду</v>
      </c>
      <c r="G54" s="1373" t="str">
        <f>INDEX(PT_DIFFERENTIATION_NTAR,MATCH(B54,PT_DIFFERENTIATION_NTAR_ID,0))</f>
        <v/>
      </c>
      <c r="H54" s="675"/>
      <c r="I54" s="302"/>
      <c r="J54" s="303"/>
      <c r="K54" s="824"/>
      <c r="L54" s="675" t="s">
        <v>314</v>
      </c>
      <c r="M54" s="1114"/>
      <c r="AH54" s="539">
        <v>0</v>
      </c>
    </row>
    <row r="55" spans="1:34" ht="18.75" hidden="1" customHeight="1">
      <c r="C55" s="826" t="s">
        <v>1337</v>
      </c>
      <c r="D55" s="1397"/>
      <c r="E55" s="1150"/>
      <c r="F55" s="1285"/>
      <c r="G55" s="1373"/>
      <c r="H55" s="304"/>
      <c r="I55" s="49" t="s">
        <v>1338</v>
      </c>
      <c r="J55" s="63"/>
      <c r="K55" s="304"/>
      <c r="L55" s="296"/>
      <c r="M55" s="1114"/>
      <c r="AH55" s="539">
        <v>0</v>
      </c>
    </row>
    <row r="56" spans="1:34" ht="0.75" hidden="1" customHeight="1">
      <c r="C56" s="826" t="s">
        <v>1343</v>
      </c>
      <c r="D56" s="1397"/>
      <c r="E56" s="1150"/>
      <c r="F56" s="1285"/>
      <c r="G56" s="306"/>
      <c r="H56" s="304"/>
      <c r="I56" s="49"/>
      <c r="J56" s="63"/>
      <c r="K56" s="304"/>
      <c r="L56" s="296"/>
      <c r="M56" s="1114"/>
      <c r="AH56" s="539">
        <v>0</v>
      </c>
    </row>
    <row r="57" spans="1:34" ht="18.75" hidden="1" customHeight="1">
      <c r="A57" s="79" t="s">
        <v>243</v>
      </c>
      <c r="B57" s="79" t="s">
        <v>244</v>
      </c>
      <c r="D57" s="1397"/>
      <c r="E57" s="1150"/>
      <c r="F57" s="1285" t="str">
        <f>INDEX(PT_DIFFERENTIATION_VTAR,MATCH(A57,PT_DIFFERENTIATION_VTAR_ID,0))</f>
        <v>Тариф на транспортировку воды</v>
      </c>
      <c r="G57" s="1373" t="str">
        <f>INDEX(PT_DIFFERENTIATION_NTAR,MATCH(B57,PT_DIFFERENTIATION_NTAR_ID,0))</f>
        <v/>
      </c>
      <c r="H57" s="675"/>
      <c r="I57" s="302"/>
      <c r="J57" s="303"/>
      <c r="K57" s="824"/>
      <c r="L57" s="675" t="s">
        <v>314</v>
      </c>
      <c r="M57" s="1114"/>
      <c r="AH57" s="539">
        <v>0</v>
      </c>
    </row>
    <row r="58" spans="1:34" ht="18.75" hidden="1" customHeight="1">
      <c r="C58" s="826" t="s">
        <v>1337</v>
      </c>
      <c r="D58" s="1397"/>
      <c r="E58" s="1150"/>
      <c r="F58" s="1285"/>
      <c r="G58" s="1373"/>
      <c r="H58" s="304"/>
      <c r="I58" s="49" t="s">
        <v>1338</v>
      </c>
      <c r="J58" s="63"/>
      <c r="K58" s="304"/>
      <c r="L58" s="296"/>
      <c r="M58" s="1114"/>
      <c r="AH58" s="539">
        <v>0</v>
      </c>
    </row>
    <row r="59" spans="1:34" ht="0.75" hidden="1" customHeight="1">
      <c r="C59" s="826" t="s">
        <v>1343</v>
      </c>
      <c r="D59" s="1397"/>
      <c r="E59" s="1150"/>
      <c r="F59" s="1285"/>
      <c r="G59" s="306"/>
      <c r="H59" s="304"/>
      <c r="I59" s="49"/>
      <c r="J59" s="63"/>
      <c r="K59" s="304"/>
      <c r="L59" s="296"/>
      <c r="M59" s="1114"/>
      <c r="AH59" s="539">
        <v>0</v>
      </c>
    </row>
    <row r="60" spans="1:34" ht="18.75" hidden="1" customHeight="1">
      <c r="A60" s="79" t="s">
        <v>248</v>
      </c>
      <c r="B60" s="79" t="s">
        <v>249</v>
      </c>
      <c r="D60" s="1397"/>
      <c r="E60" s="1150"/>
      <c r="F60" s="1285" t="str">
        <f>INDEX(PT_DIFFERENTIATION_VTAR,MATCH(A60,PT_DIFFERENTIATION_VTAR_ID,0))</f>
        <v>Тариф на подвоз воды</v>
      </c>
      <c r="G60" s="1373" t="str">
        <f>INDEX(PT_DIFFERENTIATION_NTAR,MATCH(B60,PT_DIFFERENTIATION_NTAR_ID,0))</f>
        <v/>
      </c>
      <c r="H60" s="675"/>
      <c r="I60" s="302"/>
      <c r="J60" s="303"/>
      <c r="K60" s="824"/>
      <c r="L60" s="675" t="s">
        <v>314</v>
      </c>
      <c r="M60" s="1114"/>
      <c r="AH60" s="539">
        <v>0</v>
      </c>
    </row>
    <row r="61" spans="1:34" ht="18.75" hidden="1" customHeight="1">
      <c r="C61" s="826" t="s">
        <v>1337</v>
      </c>
      <c r="D61" s="1397"/>
      <c r="E61" s="1150"/>
      <c r="F61" s="1285"/>
      <c r="G61" s="1373"/>
      <c r="H61" s="304"/>
      <c r="I61" s="49" t="s">
        <v>1338</v>
      </c>
      <c r="J61" s="63"/>
      <c r="K61" s="304"/>
      <c r="L61" s="296"/>
      <c r="M61" s="1114"/>
      <c r="AH61" s="539">
        <v>0</v>
      </c>
    </row>
    <row r="62" spans="1:34" ht="0.75" hidden="1" customHeight="1">
      <c r="C62" s="826" t="s">
        <v>1343</v>
      </c>
      <c r="D62" s="1397"/>
      <c r="E62" s="1150"/>
      <c r="F62" s="1285"/>
      <c r="G62" s="306"/>
      <c r="H62" s="304"/>
      <c r="I62" s="49"/>
      <c r="J62" s="63"/>
      <c r="K62" s="304"/>
      <c r="L62" s="296"/>
      <c r="M62" s="1114"/>
      <c r="AH62" s="539">
        <v>0</v>
      </c>
    </row>
    <row r="63" spans="1:34" ht="18.75" hidden="1" customHeight="1">
      <c r="A63" s="79" t="s">
        <v>253</v>
      </c>
      <c r="B63" s="79" t="s">
        <v>254</v>
      </c>
      <c r="D63" s="1397"/>
      <c r="E63" s="1150"/>
      <c r="F63" s="12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1373" t="str">
        <f>INDEX(PT_DIFFERENTIATION_NTAR,MATCH(B63,PT_DIFFERENTIATION_NTAR_ID,0))</f>
        <v/>
      </c>
      <c r="H63" s="675"/>
      <c r="I63" s="302"/>
      <c r="J63" s="303"/>
      <c r="K63" s="824"/>
      <c r="L63" s="675" t="s">
        <v>314</v>
      </c>
      <c r="M63" s="1114"/>
      <c r="AH63" s="539">
        <v>0</v>
      </c>
    </row>
    <row r="64" spans="1:34" ht="18.75" hidden="1" customHeight="1">
      <c r="C64" s="826" t="s">
        <v>1337</v>
      </c>
      <c r="D64" s="1397"/>
      <c r="E64" s="1150"/>
      <c r="F64" s="1285"/>
      <c r="G64" s="1373"/>
      <c r="H64" s="304"/>
      <c r="I64" s="49" t="s">
        <v>1338</v>
      </c>
      <c r="J64" s="63"/>
      <c r="K64" s="304"/>
      <c r="L64" s="296"/>
      <c r="M64" s="1114"/>
      <c r="AH64" s="539">
        <v>0</v>
      </c>
    </row>
    <row r="65" spans="1:34" ht="0.75" hidden="1" customHeight="1">
      <c r="C65" s="826" t="s">
        <v>1343</v>
      </c>
      <c r="D65" s="1397"/>
      <c r="E65" s="1150"/>
      <c r="F65" s="1285"/>
      <c r="G65" s="306"/>
      <c r="H65" s="304"/>
      <c r="I65" s="49"/>
      <c r="J65" s="63"/>
      <c r="K65" s="304"/>
      <c r="L65" s="296"/>
      <c r="M65" s="1114"/>
      <c r="AH65" s="539">
        <v>0</v>
      </c>
    </row>
    <row r="66" spans="1:34" ht="18.75" hidden="1" customHeight="1">
      <c r="A66" s="79" t="s">
        <v>258</v>
      </c>
      <c r="B66" s="79" t="s">
        <v>259</v>
      </c>
      <c r="D66" s="1397"/>
      <c r="E66" s="1150"/>
      <c r="F66" s="1285" t="str">
        <f>INDEX(PT_DIFFERENTIATION_VTAR,MATCH(A66,PT_DIFFERENTIATION_VTAR_ID,0))</f>
        <v>Тариф на горячую воду (горячее водоснабжение)</v>
      </c>
      <c r="G66" s="1373" t="str">
        <f>INDEX(PT_DIFFERENTIATION_NTAR,MATCH(B66,PT_DIFFERENTIATION_NTAR_ID,0))</f>
        <v/>
      </c>
      <c r="H66" s="675"/>
      <c r="I66" s="302"/>
      <c r="J66" s="303"/>
      <c r="K66" s="824"/>
      <c r="L66" s="675" t="s">
        <v>314</v>
      </c>
      <c r="M66" s="1114"/>
      <c r="AH66" s="539">
        <v>0</v>
      </c>
    </row>
    <row r="67" spans="1:34" ht="18.75" hidden="1" customHeight="1">
      <c r="C67" s="826" t="s">
        <v>1337</v>
      </c>
      <c r="D67" s="1397"/>
      <c r="E67" s="1150"/>
      <c r="F67" s="1285"/>
      <c r="G67" s="1373"/>
      <c r="H67" s="304"/>
      <c r="I67" s="49" t="s">
        <v>1338</v>
      </c>
      <c r="J67" s="63"/>
      <c r="K67" s="304"/>
      <c r="L67" s="296"/>
      <c r="M67" s="1114"/>
      <c r="AH67" s="539">
        <v>0</v>
      </c>
    </row>
    <row r="68" spans="1:34" ht="0.75" hidden="1" customHeight="1">
      <c r="C68" s="826" t="s">
        <v>1343</v>
      </c>
      <c r="D68" s="1397"/>
      <c r="E68" s="1150"/>
      <c r="F68" s="1285"/>
      <c r="G68" s="306"/>
      <c r="H68" s="304"/>
      <c r="I68" s="49"/>
      <c r="J68" s="63"/>
      <c r="K68" s="304"/>
      <c r="L68" s="296"/>
      <c r="M68" s="1114"/>
      <c r="AH68" s="539">
        <v>0</v>
      </c>
    </row>
    <row r="69" spans="1:34" ht="18.75" hidden="1" customHeight="1">
      <c r="A69" s="79" t="s">
        <v>263</v>
      </c>
      <c r="B69" s="79" t="s">
        <v>264</v>
      </c>
      <c r="D69" s="1397"/>
      <c r="E69" s="1150"/>
      <c r="F69" s="1285" t="str">
        <f>INDEX(PT_DIFFERENTIATION_VTAR,MATCH(A69,PT_DIFFERENTIATION_VTAR_ID,0))</f>
        <v>Тариф на транспортировку горячей воды</v>
      </c>
      <c r="G69" s="1373" t="str">
        <f>INDEX(PT_DIFFERENTIATION_NTAR,MATCH(B69,PT_DIFFERENTIATION_NTAR_ID,0))</f>
        <v/>
      </c>
      <c r="H69" s="675"/>
      <c r="I69" s="302"/>
      <c r="J69" s="303"/>
      <c r="K69" s="824"/>
      <c r="L69" s="675" t="s">
        <v>314</v>
      </c>
      <c r="M69" s="1114"/>
      <c r="AH69" s="539">
        <v>0</v>
      </c>
    </row>
    <row r="70" spans="1:34" ht="18.75" hidden="1" customHeight="1">
      <c r="C70" s="826" t="s">
        <v>1337</v>
      </c>
      <c r="D70" s="1397"/>
      <c r="E70" s="1150"/>
      <c r="F70" s="1285"/>
      <c r="G70" s="1373"/>
      <c r="H70" s="304"/>
      <c r="I70" s="49" t="s">
        <v>1338</v>
      </c>
      <c r="J70" s="63"/>
      <c r="K70" s="304"/>
      <c r="L70" s="296"/>
      <c r="M70" s="1114"/>
      <c r="AH70" s="539">
        <v>0</v>
      </c>
    </row>
    <row r="71" spans="1:34" ht="0.75" hidden="1" customHeight="1">
      <c r="C71" s="826" t="s">
        <v>1343</v>
      </c>
      <c r="D71" s="1397"/>
      <c r="E71" s="1150"/>
      <c r="F71" s="1285"/>
      <c r="G71" s="306"/>
      <c r="H71" s="304"/>
      <c r="I71" s="49"/>
      <c r="J71" s="63"/>
      <c r="K71" s="304"/>
      <c r="L71" s="296"/>
      <c r="M71" s="1114"/>
      <c r="AH71" s="539">
        <v>0</v>
      </c>
    </row>
    <row r="72" spans="1:34" ht="18.75" hidden="1" customHeight="1">
      <c r="A72" s="79" t="s">
        <v>268</v>
      </c>
      <c r="B72" s="79" t="s">
        <v>269</v>
      </c>
      <c r="D72" s="1397"/>
      <c r="E72" s="1150"/>
      <c r="F72" s="1285" t="str">
        <f>INDEX(PT_DIFFERENTIATION_VTAR,MATCH(A72,PT_DIFFERENTIATION_VTAR_ID,0))</f>
        <v>Тариф на подключение (технологическое присоединение) к централизованной системе горячего водоснабжения</v>
      </c>
      <c r="G72" s="1373" t="str">
        <f>INDEX(PT_DIFFERENTIATION_NTAR,MATCH(B72,PT_DIFFERENTIATION_NTAR_ID,0))</f>
        <v/>
      </c>
      <c r="H72" s="675"/>
      <c r="I72" s="302"/>
      <c r="J72" s="303"/>
      <c r="K72" s="824"/>
      <c r="L72" s="675" t="s">
        <v>314</v>
      </c>
      <c r="M72" s="1114"/>
      <c r="AH72" s="539">
        <v>0</v>
      </c>
    </row>
    <row r="73" spans="1:34" ht="18.75" hidden="1" customHeight="1">
      <c r="C73" s="826" t="s">
        <v>1337</v>
      </c>
      <c r="D73" s="1397"/>
      <c r="E73" s="1150"/>
      <c r="F73" s="1285"/>
      <c r="G73" s="1373"/>
      <c r="H73" s="304"/>
      <c r="I73" s="49" t="s">
        <v>1338</v>
      </c>
      <c r="J73" s="63"/>
      <c r="K73" s="304"/>
      <c r="L73" s="296"/>
      <c r="M73" s="1114"/>
      <c r="AH73" s="539">
        <v>0</v>
      </c>
    </row>
    <row r="74" spans="1:34" ht="0.75" hidden="1" customHeight="1">
      <c r="C74" s="826" t="s">
        <v>1343</v>
      </c>
      <c r="D74" s="1397"/>
      <c r="E74" s="1150"/>
      <c r="F74" s="1285"/>
      <c r="G74" s="306"/>
      <c r="H74" s="304"/>
      <c r="I74" s="49"/>
      <c r="J74" s="63"/>
      <c r="K74" s="304"/>
      <c r="L74" s="296"/>
      <c r="M74" s="1114"/>
      <c r="AH74" s="539">
        <v>0</v>
      </c>
    </row>
    <row r="75" spans="1:34" ht="18.75" hidden="1" customHeight="1">
      <c r="A75" s="79" t="s">
        <v>273</v>
      </c>
      <c r="B75" s="79" t="s">
        <v>274</v>
      </c>
      <c r="D75" s="1397"/>
      <c r="E75" s="1150"/>
      <c r="F75" s="1285" t="str">
        <f>INDEX(PT_DIFFERENTIATION_VTAR,MATCH(A75,PT_DIFFERENTIATION_VTAR_ID,0))</f>
        <v>Тариф на водоотведение</v>
      </c>
      <c r="G75" s="1373" t="str">
        <f>INDEX(PT_DIFFERENTIATION_NTAR,MATCH(B75,PT_DIFFERENTIATION_NTAR_ID,0))</f>
        <v/>
      </c>
      <c r="H75" s="675"/>
      <c r="I75" s="302"/>
      <c r="J75" s="303"/>
      <c r="K75" s="824"/>
      <c r="L75" s="675" t="s">
        <v>314</v>
      </c>
      <c r="M75" s="1114"/>
      <c r="AH75" s="539">
        <v>0</v>
      </c>
    </row>
    <row r="76" spans="1:34" ht="18.75" hidden="1" customHeight="1">
      <c r="C76" s="826" t="s">
        <v>1337</v>
      </c>
      <c r="D76" s="1397"/>
      <c r="E76" s="1150"/>
      <c r="F76" s="1285"/>
      <c r="G76" s="1373"/>
      <c r="H76" s="304"/>
      <c r="I76" s="49" t="s">
        <v>1338</v>
      </c>
      <c r="J76" s="63"/>
      <c r="K76" s="304"/>
      <c r="L76" s="296"/>
      <c r="M76" s="1114"/>
      <c r="AH76" s="539">
        <v>0</v>
      </c>
    </row>
    <row r="77" spans="1:34" ht="0.75" hidden="1" customHeight="1">
      <c r="C77" s="826" t="s">
        <v>1343</v>
      </c>
      <c r="D77" s="1397"/>
      <c r="E77" s="1150"/>
      <c r="F77" s="1285"/>
      <c r="G77" s="306"/>
      <c r="H77" s="304"/>
      <c r="I77" s="49"/>
      <c r="J77" s="63"/>
      <c r="K77" s="304"/>
      <c r="L77" s="296"/>
      <c r="M77" s="1114"/>
      <c r="AH77" s="539">
        <v>0</v>
      </c>
    </row>
    <row r="78" spans="1:34" ht="18.75" hidden="1" customHeight="1">
      <c r="A78" s="79" t="s">
        <v>278</v>
      </c>
      <c r="B78" s="79" t="s">
        <v>279</v>
      </c>
      <c r="D78" s="1397"/>
      <c r="E78" s="1150"/>
      <c r="F78" s="1285" t="str">
        <f>INDEX(PT_DIFFERENTIATION_VTAR,MATCH(A78,PT_DIFFERENTIATION_VTAR_ID,0))</f>
        <v>Тариф на транспортировку сточных вод</v>
      </c>
      <c r="G78" s="1373" t="str">
        <f>INDEX(PT_DIFFERENTIATION_NTAR,MATCH(B78,PT_DIFFERENTIATION_NTAR_ID,0))</f>
        <v/>
      </c>
      <c r="H78" s="675"/>
      <c r="I78" s="302"/>
      <c r="J78" s="303"/>
      <c r="K78" s="824"/>
      <c r="L78" s="675" t="s">
        <v>314</v>
      </c>
      <c r="M78" s="1114"/>
      <c r="AH78" s="539">
        <v>0</v>
      </c>
    </row>
    <row r="79" spans="1:34" ht="18.75" hidden="1" customHeight="1">
      <c r="C79" s="826" t="s">
        <v>1337</v>
      </c>
      <c r="D79" s="1397"/>
      <c r="E79" s="1150"/>
      <c r="F79" s="1285"/>
      <c r="G79" s="1373"/>
      <c r="H79" s="304"/>
      <c r="I79" s="49" t="s">
        <v>1338</v>
      </c>
      <c r="J79" s="63"/>
      <c r="K79" s="304"/>
      <c r="L79" s="296"/>
      <c r="M79" s="1114"/>
      <c r="AH79" s="539">
        <v>0</v>
      </c>
    </row>
    <row r="80" spans="1:34" ht="0.75" hidden="1" customHeight="1">
      <c r="C80" s="826" t="s">
        <v>1343</v>
      </c>
      <c r="D80" s="1397"/>
      <c r="E80" s="1150"/>
      <c r="F80" s="1285"/>
      <c r="G80" s="306"/>
      <c r="H80" s="304"/>
      <c r="I80" s="49"/>
      <c r="J80" s="63"/>
      <c r="K80" s="304"/>
      <c r="L80" s="296"/>
      <c r="M80" s="1114"/>
      <c r="AH80" s="539">
        <v>0</v>
      </c>
    </row>
    <row r="81" spans="1:34" ht="18.75" hidden="1" customHeight="1">
      <c r="A81" s="79" t="s">
        <v>283</v>
      </c>
      <c r="B81" s="79" t="s">
        <v>284</v>
      </c>
      <c r="D81" s="1397"/>
      <c r="E81" s="1150"/>
      <c r="F81" s="1285" t="str">
        <f>INDEX(PT_DIFFERENTIATION_VTAR,MATCH(A81,PT_DIFFERENTIATION_VTAR_ID,0))</f>
        <v>Тариф на подключение (технологическое присоединение) к централизованной системе водоотведения</v>
      </c>
      <c r="G81" s="1373" t="str">
        <f>INDEX(PT_DIFFERENTIATION_NTAR,MATCH(B81,PT_DIFFERENTIATION_NTAR_ID,0))</f>
        <v/>
      </c>
      <c r="H81" s="675"/>
      <c r="I81" s="302"/>
      <c r="J81" s="303"/>
      <c r="K81" s="824"/>
      <c r="L81" s="675" t="s">
        <v>314</v>
      </c>
      <c r="M81" s="1114"/>
      <c r="AH81" s="539">
        <v>0</v>
      </c>
    </row>
    <row r="82" spans="1:34" ht="18.75" hidden="1" customHeight="1">
      <c r="C82" s="826" t="s">
        <v>1337</v>
      </c>
      <c r="D82" s="1397"/>
      <c r="E82" s="1150"/>
      <c r="F82" s="1285"/>
      <c r="G82" s="1373"/>
      <c r="H82" s="304"/>
      <c r="I82" s="49" t="s">
        <v>1338</v>
      </c>
      <c r="J82" s="63"/>
      <c r="K82" s="304"/>
      <c r="L82" s="296"/>
      <c r="M82" s="1114"/>
      <c r="AH82" s="539">
        <v>0</v>
      </c>
    </row>
    <row r="83" spans="1:34" ht="1.1499999999999999" customHeight="1">
      <c r="C83" s="826" t="s">
        <v>1343</v>
      </c>
      <c r="D83" s="1397"/>
      <c r="E83" s="1150"/>
      <c r="F83" s="1285"/>
      <c r="G83" s="306"/>
      <c r="H83" s="304"/>
      <c r="I83" s="49"/>
      <c r="J83" s="63"/>
      <c r="K83" s="304"/>
      <c r="L83" s="296"/>
      <c r="M83" s="1114"/>
      <c r="AH83" s="539">
        <v>1</v>
      </c>
    </row>
    <row r="84" spans="1:34" ht="19.899999999999999" customHeight="1">
      <c r="D84" s="757"/>
      <c r="E84" s="91" t="s">
        <v>102</v>
      </c>
      <c r="F84" s="139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396"/>
      <c r="H84" s="1396"/>
      <c r="I84" s="1396"/>
      <c r="J84" s="1396"/>
      <c r="K84" s="1396"/>
      <c r="L84" s="1396"/>
      <c r="M84" s="832"/>
      <c r="AH84" s="539">
        <v>19</v>
      </c>
    </row>
    <row r="85" spans="1:34" ht="35.65" customHeight="1">
      <c r="D85" s="757"/>
      <c r="E85" s="307"/>
      <c r="F85" s="603" t="s">
        <v>314</v>
      </c>
      <c r="G85" s="603" t="s">
        <v>314</v>
      </c>
      <c r="H85" s="1160" t="s">
        <v>314</v>
      </c>
      <c r="I85" s="1173"/>
      <c r="J85" s="603" t="s">
        <v>314</v>
      </c>
      <c r="K85" s="603" t="s">
        <v>314</v>
      </c>
      <c r="L85" s="308"/>
      <c r="M85" s="796" t="s">
        <v>1344</v>
      </c>
      <c r="AH85" s="539">
        <v>34</v>
      </c>
    </row>
    <row r="86" spans="1:34" ht="19.899999999999999" customHeight="1">
      <c r="D86" s="757"/>
      <c r="E86" s="91" t="s">
        <v>89</v>
      </c>
      <c r="F86" s="1396" t="s">
        <v>1345</v>
      </c>
      <c r="G86" s="1396"/>
      <c r="H86" s="1396"/>
      <c r="I86" s="1396"/>
      <c r="J86" s="1396"/>
      <c r="K86" s="1396"/>
      <c r="L86" s="1396"/>
      <c r="M86" s="832"/>
      <c r="AH86" s="539">
        <v>19</v>
      </c>
    </row>
    <row r="87" spans="1:34" ht="60.75" hidden="1" customHeight="1">
      <c r="A87" s="79" t="s">
        <v>165</v>
      </c>
      <c r="B87" s="79" t="s">
        <v>166</v>
      </c>
      <c r="D87" s="1397"/>
      <c r="E87" s="1150"/>
      <c r="F87" s="12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373" t="str">
        <f>INDEX(PT_DIFFERENTIATION_NTAR,MATCH(B87,PT_DIFFERENTIATION_NTAR_ID,0))</f>
        <v/>
      </c>
      <c r="H87" s="675"/>
      <c r="I87" s="302"/>
      <c r="J87" s="303"/>
      <c r="K87" s="115"/>
      <c r="L87" s="675" t="s">
        <v>314</v>
      </c>
      <c r="M87" s="1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AH87" s="539">
        <v>0</v>
      </c>
    </row>
    <row r="88" spans="1:34" ht="18.75" hidden="1" customHeight="1">
      <c r="C88" s="826" t="s">
        <v>1339</v>
      </c>
      <c r="D88" s="1397"/>
      <c r="E88" s="1150"/>
      <c r="F88" s="1285"/>
      <c r="G88" s="1373"/>
      <c r="H88" s="304"/>
      <c r="I88" s="49" t="s">
        <v>1338</v>
      </c>
      <c r="J88" s="63"/>
      <c r="K88" s="304"/>
      <c r="L88" s="296"/>
      <c r="M88" s="1114"/>
      <c r="AH88" s="539">
        <v>0</v>
      </c>
    </row>
    <row r="89" spans="1:34" ht="0.75" hidden="1" customHeight="1">
      <c r="C89" s="826" t="s">
        <v>1346</v>
      </c>
      <c r="D89" s="1397"/>
      <c r="E89" s="1150"/>
      <c r="F89" s="1285"/>
      <c r="G89" s="306"/>
      <c r="H89" s="304"/>
      <c r="I89" s="49"/>
      <c r="J89" s="63"/>
      <c r="K89" s="304"/>
      <c r="L89" s="296"/>
      <c r="M89" s="1114"/>
      <c r="AH89" s="539">
        <v>0</v>
      </c>
    </row>
    <row r="90" spans="1:34" ht="45" hidden="1" customHeight="1">
      <c r="A90" s="79" t="s">
        <v>170</v>
      </c>
      <c r="B90" s="79" t="s">
        <v>171</v>
      </c>
      <c r="D90" s="1397"/>
      <c r="E90" s="1150"/>
      <c r="F90" s="1285" t="str">
        <f>INDEX(PT_DIFFERENTIATION_VTAR,MATCH(A90,PT_DIFFERENTIATION_VTAR_ID,0))</f>
        <v/>
      </c>
      <c r="G90" s="1373" t="str">
        <f>INDEX(PT_DIFFERENTIATION_NTAR,MATCH(B90,PT_DIFFERENTIATION_NTAR_ID,0))</f>
        <v/>
      </c>
      <c r="H90" s="675"/>
      <c r="I90" s="302"/>
      <c r="J90" s="303"/>
      <c r="K90" s="115"/>
      <c r="L90" s="675" t="s">
        <v>314</v>
      </c>
      <c r="M90" s="1115"/>
      <c r="AH90" s="539">
        <v>0</v>
      </c>
    </row>
    <row r="91" spans="1:34" ht="18.75" hidden="1" customHeight="1">
      <c r="C91" s="826" t="s">
        <v>1339</v>
      </c>
      <c r="D91" s="1397"/>
      <c r="E91" s="1150"/>
      <c r="F91" s="1285"/>
      <c r="G91" s="1373"/>
      <c r="H91" s="304"/>
      <c r="I91" s="49" t="s">
        <v>1338</v>
      </c>
      <c r="J91" s="63"/>
      <c r="K91" s="304"/>
      <c r="L91" s="296"/>
      <c r="M91" s="614"/>
      <c r="AH91" s="539">
        <v>0</v>
      </c>
    </row>
    <row r="92" spans="1:34" ht="0.75" hidden="1" customHeight="1">
      <c r="C92" s="826" t="s">
        <v>1346</v>
      </c>
      <c r="D92" s="1397"/>
      <c r="E92" s="1150"/>
      <c r="F92" s="1285"/>
      <c r="G92" s="306"/>
      <c r="H92" s="304"/>
      <c r="I92" s="49"/>
      <c r="J92" s="63"/>
      <c r="K92" s="304"/>
      <c r="L92" s="296"/>
      <c r="M92" s="820"/>
      <c r="AH92" s="539">
        <v>0</v>
      </c>
    </row>
    <row r="93" spans="1:34" ht="45" hidden="1" customHeight="1">
      <c r="A93" s="79" t="s">
        <v>177</v>
      </c>
      <c r="B93" s="79" t="s">
        <v>178</v>
      </c>
      <c r="D93" s="1397"/>
      <c r="E93" s="1150"/>
      <c r="F93" s="12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373" t="str">
        <f>INDEX(PT_DIFFERENTIATION_NTAR,MATCH(B93,PT_DIFFERENTIATION_NTAR_ID,0))</f>
        <v/>
      </c>
      <c r="H93" s="675"/>
      <c r="I93" s="302"/>
      <c r="J93" s="303"/>
      <c r="K93" s="115"/>
      <c r="L93" s="675" t="s">
        <v>314</v>
      </c>
      <c r="M93" s="820"/>
      <c r="AH93" s="539">
        <v>0</v>
      </c>
    </row>
    <row r="94" spans="1:34" ht="18.75" hidden="1" customHeight="1">
      <c r="C94" s="826" t="s">
        <v>1339</v>
      </c>
      <c r="D94" s="1397"/>
      <c r="E94" s="1150"/>
      <c r="F94" s="1285"/>
      <c r="G94" s="1373"/>
      <c r="H94" s="304"/>
      <c r="I94" s="49" t="s">
        <v>1338</v>
      </c>
      <c r="J94" s="63"/>
      <c r="K94" s="304"/>
      <c r="L94" s="296"/>
      <c r="M94" s="820"/>
      <c r="AH94" s="539">
        <v>0</v>
      </c>
    </row>
    <row r="95" spans="1:34" ht="0.75" hidden="1" customHeight="1">
      <c r="C95" s="826" t="s">
        <v>1346</v>
      </c>
      <c r="D95" s="1397"/>
      <c r="E95" s="1150"/>
      <c r="F95" s="1285"/>
      <c r="G95" s="306"/>
      <c r="H95" s="304"/>
      <c r="I95" s="49"/>
      <c r="J95" s="63"/>
      <c r="K95" s="304"/>
      <c r="L95" s="296"/>
      <c r="M95" s="820"/>
      <c r="AH95" s="539">
        <v>0</v>
      </c>
    </row>
    <row r="96" spans="1:34" ht="45" hidden="1" customHeight="1">
      <c r="A96" s="79" t="s">
        <v>183</v>
      </c>
      <c r="B96" s="79" t="s">
        <v>184</v>
      </c>
      <c r="D96" s="1397"/>
      <c r="E96" s="1150"/>
      <c r="F96" s="12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373" t="str">
        <f>INDEX(PT_DIFFERENTIATION_NTAR,MATCH(B96,PT_DIFFERENTIATION_NTAR_ID,0))</f>
        <v/>
      </c>
      <c r="H96" s="675"/>
      <c r="I96" s="302"/>
      <c r="J96" s="303"/>
      <c r="K96" s="115"/>
      <c r="L96" s="675" t="s">
        <v>314</v>
      </c>
      <c r="M96" s="820"/>
      <c r="AH96" s="539">
        <v>0</v>
      </c>
    </row>
    <row r="97" spans="1:34" ht="18.75" hidden="1" customHeight="1">
      <c r="C97" s="826" t="s">
        <v>1339</v>
      </c>
      <c r="D97" s="1397"/>
      <c r="E97" s="1150"/>
      <c r="F97" s="1285"/>
      <c r="G97" s="1373"/>
      <c r="H97" s="304"/>
      <c r="I97" s="49" t="s">
        <v>1338</v>
      </c>
      <c r="J97" s="63"/>
      <c r="K97" s="304"/>
      <c r="L97" s="296"/>
      <c r="M97" s="820"/>
      <c r="AH97" s="539">
        <v>0</v>
      </c>
    </row>
    <row r="98" spans="1:34" ht="0.75" hidden="1" customHeight="1">
      <c r="C98" s="826" t="s">
        <v>1346</v>
      </c>
      <c r="D98" s="1397"/>
      <c r="E98" s="1150"/>
      <c r="F98" s="1285"/>
      <c r="G98" s="306"/>
      <c r="H98" s="304"/>
      <c r="I98" s="49"/>
      <c r="J98" s="63"/>
      <c r="K98" s="304"/>
      <c r="L98" s="296"/>
      <c r="M98" s="820"/>
      <c r="AH98" s="539">
        <v>0</v>
      </c>
    </row>
    <row r="99" spans="1:34" ht="18.75" hidden="1" customHeight="1">
      <c r="A99" s="79" t="s">
        <v>189</v>
      </c>
      <c r="B99" s="79" t="s">
        <v>190</v>
      </c>
      <c r="D99" s="1397"/>
      <c r="E99" s="1150"/>
      <c r="F99" s="1285" t="str">
        <f>INDEX(PT_DIFFERENTIATION_VTAR,MATCH(A99,PT_DIFFERENTIATION_VTAR_ID,0))</f>
        <v>Тарифы на услуги по передаче тепловой энергии</v>
      </c>
      <c r="G99" s="1373" t="str">
        <f>INDEX(PT_DIFFERENTIATION_NTAR,MATCH(B99,PT_DIFFERENTIATION_NTAR_ID,0))</f>
        <v/>
      </c>
      <c r="H99" s="675"/>
      <c r="I99" s="302"/>
      <c r="J99" s="303"/>
      <c r="K99" s="115"/>
      <c r="L99" s="675" t="s">
        <v>314</v>
      </c>
      <c r="M99" s="820"/>
      <c r="AH99" s="539">
        <v>0</v>
      </c>
    </row>
    <row r="100" spans="1:34" ht="18.75" hidden="1" customHeight="1">
      <c r="C100" s="826" t="s">
        <v>1339</v>
      </c>
      <c r="D100" s="1397"/>
      <c r="E100" s="1150"/>
      <c r="F100" s="1285"/>
      <c r="G100" s="1373"/>
      <c r="H100" s="304"/>
      <c r="I100" s="49" t="s">
        <v>1338</v>
      </c>
      <c r="J100" s="63"/>
      <c r="K100" s="304"/>
      <c r="L100" s="296"/>
      <c r="M100" s="820"/>
      <c r="AH100" s="539">
        <v>0</v>
      </c>
    </row>
    <row r="101" spans="1:34" ht="0.75" hidden="1" customHeight="1">
      <c r="C101" s="826" t="s">
        <v>1346</v>
      </c>
      <c r="D101" s="1397"/>
      <c r="E101" s="1150"/>
      <c r="F101" s="1285"/>
      <c r="G101" s="306"/>
      <c r="H101" s="304"/>
      <c r="I101" s="49"/>
      <c r="J101" s="63"/>
      <c r="K101" s="304"/>
      <c r="L101" s="296"/>
      <c r="M101" s="820"/>
      <c r="AH101" s="539">
        <v>0</v>
      </c>
    </row>
    <row r="102" spans="1:34" ht="18.75" hidden="1" customHeight="1">
      <c r="A102" s="79" t="s">
        <v>195</v>
      </c>
      <c r="B102" s="79" t="s">
        <v>196</v>
      </c>
      <c r="D102" s="1397"/>
      <c r="E102" s="1150"/>
      <c r="F102" s="1285" t="str">
        <f>INDEX(PT_DIFFERENTIATION_VTAR,MATCH(A102,PT_DIFFERENTIATION_VTAR_ID,0))</f>
        <v>Тарифы на услуги по передаче теплоносителя</v>
      </c>
      <c r="G102" s="1373" t="str">
        <f>INDEX(PT_DIFFERENTIATION_NTAR,MATCH(B102,PT_DIFFERENTIATION_NTAR_ID,0))</f>
        <v/>
      </c>
      <c r="H102" s="675"/>
      <c r="I102" s="302"/>
      <c r="J102" s="303"/>
      <c r="K102" s="115"/>
      <c r="L102" s="675" t="s">
        <v>314</v>
      </c>
      <c r="M102" s="820"/>
      <c r="AH102" s="539">
        <v>0</v>
      </c>
    </row>
    <row r="103" spans="1:34" ht="18.75" hidden="1" customHeight="1">
      <c r="C103" s="826" t="s">
        <v>1339</v>
      </c>
      <c r="D103" s="1397"/>
      <c r="E103" s="1150"/>
      <c r="F103" s="1285"/>
      <c r="G103" s="1373"/>
      <c r="H103" s="304"/>
      <c r="I103" s="49" t="s">
        <v>1338</v>
      </c>
      <c r="J103" s="63"/>
      <c r="K103" s="304"/>
      <c r="L103" s="296"/>
      <c r="M103" s="820"/>
      <c r="AH103" s="539">
        <v>0</v>
      </c>
    </row>
    <row r="104" spans="1:34" ht="0.75" hidden="1" customHeight="1">
      <c r="C104" s="826" t="s">
        <v>1346</v>
      </c>
      <c r="D104" s="1397"/>
      <c r="E104" s="1150"/>
      <c r="F104" s="1285"/>
      <c r="G104" s="306"/>
      <c r="H104" s="304"/>
      <c r="I104" s="49"/>
      <c r="J104" s="63"/>
      <c r="K104" s="304"/>
      <c r="L104" s="296"/>
      <c r="M104" s="820"/>
      <c r="AH104" s="539">
        <v>0</v>
      </c>
    </row>
    <row r="105" spans="1:34" ht="18.75" hidden="1" customHeight="1">
      <c r="A105" s="79" t="s">
        <v>201</v>
      </c>
      <c r="B105" s="79" t="s">
        <v>202</v>
      </c>
      <c r="D105" s="1397"/>
      <c r="E105" s="1150"/>
      <c r="F105" s="12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373" t="str">
        <f>INDEX(PT_DIFFERENTIATION_NTAR,MATCH(B105,PT_DIFFERENTIATION_NTAR_ID,0))</f>
        <v/>
      </c>
      <c r="H105" s="675"/>
      <c r="I105" s="302"/>
      <c r="J105" s="303"/>
      <c r="K105" s="115"/>
      <c r="L105" s="675" t="s">
        <v>314</v>
      </c>
      <c r="M105" s="820"/>
      <c r="AH105" s="539">
        <v>0</v>
      </c>
    </row>
    <row r="106" spans="1:34" ht="18.75" hidden="1" customHeight="1">
      <c r="C106" s="826" t="s">
        <v>1339</v>
      </c>
      <c r="D106" s="1397"/>
      <c r="E106" s="1150"/>
      <c r="F106" s="1285"/>
      <c r="G106" s="1373"/>
      <c r="H106" s="304"/>
      <c r="I106" s="49" t="s">
        <v>1338</v>
      </c>
      <c r="J106" s="63"/>
      <c r="K106" s="304"/>
      <c r="L106" s="296"/>
      <c r="M106" s="820"/>
      <c r="AH106" s="539">
        <v>0</v>
      </c>
    </row>
    <row r="107" spans="1:34" ht="0.75" hidden="1" customHeight="1">
      <c r="C107" s="826" t="s">
        <v>1346</v>
      </c>
      <c r="D107" s="1397"/>
      <c r="E107" s="1150"/>
      <c r="F107" s="1285"/>
      <c r="G107" s="306"/>
      <c r="H107" s="304"/>
      <c r="I107" s="49"/>
      <c r="J107" s="63"/>
      <c r="K107" s="304"/>
      <c r="L107" s="296"/>
      <c r="M107" s="820"/>
      <c r="AH107" s="539">
        <v>0</v>
      </c>
    </row>
    <row r="108" spans="1:34" ht="18.75" hidden="1" customHeight="1">
      <c r="A108" s="79" t="s">
        <v>207</v>
      </c>
      <c r="B108" s="79" t="s">
        <v>208</v>
      </c>
      <c r="D108" s="1397"/>
      <c r="E108" s="1150"/>
      <c r="F108" s="1285" t="str">
        <f>INDEX(PT_DIFFERENTIATION_VTAR,MATCH(A108,PT_DIFFERENTIATION_VTAR_ID,0))</f>
        <v>Плата за подключение (технологическое присоединение) к системе теплоснабжения</v>
      </c>
      <c r="G108" s="1373" t="str">
        <f>INDEX(PT_DIFFERENTIATION_NTAR,MATCH(B108,PT_DIFFERENTIATION_NTAR_ID,0))</f>
        <v/>
      </c>
      <c r="H108" s="675"/>
      <c r="I108" s="302"/>
      <c r="J108" s="303"/>
      <c r="K108" s="115"/>
      <c r="L108" s="675" t="s">
        <v>314</v>
      </c>
      <c r="M108" s="820"/>
      <c r="AH108" s="539">
        <v>0</v>
      </c>
    </row>
    <row r="109" spans="1:34" ht="18.75" hidden="1" customHeight="1">
      <c r="C109" s="826" t="s">
        <v>1339</v>
      </c>
      <c r="D109" s="1397"/>
      <c r="E109" s="1150"/>
      <c r="F109" s="1285"/>
      <c r="G109" s="1373"/>
      <c r="H109" s="304"/>
      <c r="I109" s="49" t="s">
        <v>1338</v>
      </c>
      <c r="J109" s="63"/>
      <c r="K109" s="304"/>
      <c r="L109" s="296"/>
      <c r="M109" s="820"/>
      <c r="AH109" s="539">
        <v>0</v>
      </c>
    </row>
    <row r="110" spans="1:34" ht="0.75" hidden="1" customHeight="1">
      <c r="C110" s="826" t="s">
        <v>1346</v>
      </c>
      <c r="D110" s="1397"/>
      <c r="E110" s="1150"/>
      <c r="F110" s="1285"/>
      <c r="G110" s="306"/>
      <c r="H110" s="304"/>
      <c r="I110" s="49"/>
      <c r="J110" s="63"/>
      <c r="K110" s="304"/>
      <c r="L110" s="296"/>
      <c r="M110" s="820"/>
      <c r="AH110" s="539">
        <v>0</v>
      </c>
    </row>
    <row r="111" spans="1:34" ht="18.75" hidden="1" customHeight="1">
      <c r="A111" s="79" t="s">
        <v>213</v>
      </c>
      <c r="B111" s="79" t="s">
        <v>214</v>
      </c>
      <c r="D111" s="1397"/>
      <c r="E111" s="1150"/>
      <c r="F111" s="1285" t="str">
        <f>INDEX(PT_DIFFERENTIATION_VTAR,MATCH(A111,PT_DIFFERENTIATION_VTAR_ID,0))</f>
        <v>Плата за подключение (технологическое присоединение) к системе теплоснабжения (индивидуальная)</v>
      </c>
      <c r="G111" s="1373" t="str">
        <f>INDEX(PT_DIFFERENTIATION_NTAR,MATCH(B111,PT_DIFFERENTIATION_NTAR_ID,0))</f>
        <v/>
      </c>
      <c r="H111" s="675"/>
      <c r="I111" s="302"/>
      <c r="J111" s="303"/>
      <c r="K111" s="115"/>
      <c r="L111" s="675" t="s">
        <v>314</v>
      </c>
      <c r="M111" s="820"/>
      <c r="AH111" s="539">
        <v>0</v>
      </c>
    </row>
    <row r="112" spans="1:34" ht="18.75" hidden="1" customHeight="1">
      <c r="C112" s="826" t="s">
        <v>1339</v>
      </c>
      <c r="D112" s="1397"/>
      <c r="E112" s="1150"/>
      <c r="F112" s="1285"/>
      <c r="G112" s="1373"/>
      <c r="H112" s="304"/>
      <c r="I112" s="49" t="s">
        <v>1338</v>
      </c>
      <c r="J112" s="63"/>
      <c r="K112" s="304"/>
      <c r="L112" s="296"/>
      <c r="M112" s="820"/>
      <c r="AH112" s="539">
        <v>0</v>
      </c>
    </row>
    <row r="113" spans="1:34" ht="0.75" hidden="1" customHeight="1">
      <c r="C113" s="826" t="s">
        <v>1346</v>
      </c>
      <c r="D113" s="1397"/>
      <c r="E113" s="1150"/>
      <c r="F113" s="1285"/>
      <c r="G113" s="306"/>
      <c r="H113" s="304"/>
      <c r="I113" s="49"/>
      <c r="J113" s="63"/>
      <c r="K113" s="304"/>
      <c r="L113" s="296"/>
      <c r="M113" s="820"/>
      <c r="AH113" s="539">
        <v>0</v>
      </c>
    </row>
    <row r="114" spans="1:34" ht="18.75" hidden="1" customHeight="1">
      <c r="A114" s="79" t="s">
        <v>233</v>
      </c>
      <c r="B114" s="79" t="s">
        <v>234</v>
      </c>
      <c r="D114" s="1397"/>
      <c r="E114" s="1150"/>
      <c r="F114" s="1285" t="str">
        <f>INDEX(PT_DIFFERENTIATION_VTAR,MATCH(A114,PT_DIFFERENTIATION_VTAR_ID,0))</f>
        <v>Тариф на питьевую воду (питьевое водоснабжение)</v>
      </c>
      <c r="G114" s="1373" t="str">
        <f>INDEX(PT_DIFFERENTIATION_NTAR,MATCH(B114,PT_DIFFERENTIATION_NTAR_ID,0))</f>
        <v/>
      </c>
      <c r="H114" s="675"/>
      <c r="I114" s="302"/>
      <c r="J114" s="303"/>
      <c r="K114" s="115"/>
      <c r="L114" s="675" t="s">
        <v>314</v>
      </c>
      <c r="M114" s="820"/>
      <c r="AH114" s="539">
        <v>0</v>
      </c>
    </row>
    <row r="115" spans="1:34" ht="18.75" hidden="1" customHeight="1">
      <c r="C115" s="826" t="s">
        <v>1339</v>
      </c>
      <c r="D115" s="1397"/>
      <c r="E115" s="1150"/>
      <c r="F115" s="1285"/>
      <c r="G115" s="1373"/>
      <c r="H115" s="304"/>
      <c r="I115" s="49" t="s">
        <v>1338</v>
      </c>
      <c r="J115" s="63"/>
      <c r="K115" s="304"/>
      <c r="L115" s="296"/>
      <c r="M115" s="820"/>
      <c r="AH115" s="539">
        <v>0</v>
      </c>
    </row>
    <row r="116" spans="1:34" ht="0.75" hidden="1" customHeight="1">
      <c r="C116" s="826" t="s">
        <v>1346</v>
      </c>
      <c r="D116" s="1397"/>
      <c r="E116" s="1150"/>
      <c r="F116" s="1285"/>
      <c r="G116" s="306"/>
      <c r="H116" s="304"/>
      <c r="I116" s="49"/>
      <c r="J116" s="63"/>
      <c r="K116" s="304"/>
      <c r="L116" s="296"/>
      <c r="M116" s="820"/>
      <c r="AH116" s="539">
        <v>0</v>
      </c>
    </row>
    <row r="117" spans="1:34" ht="18.75" hidden="1" customHeight="1">
      <c r="A117" s="79" t="s">
        <v>238</v>
      </c>
      <c r="B117" s="79" t="s">
        <v>239</v>
      </c>
      <c r="D117" s="1397"/>
      <c r="E117" s="1150"/>
      <c r="F117" s="1285" t="str">
        <f>INDEX(PT_DIFFERENTIATION_VTAR,MATCH(A117,PT_DIFFERENTIATION_VTAR_ID,0))</f>
        <v>Тариф на техническую воду</v>
      </c>
      <c r="G117" s="1373" t="str">
        <f>INDEX(PT_DIFFERENTIATION_NTAR,MATCH(B117,PT_DIFFERENTIATION_NTAR_ID,0))</f>
        <v/>
      </c>
      <c r="H117" s="675"/>
      <c r="I117" s="302"/>
      <c r="J117" s="303"/>
      <c r="K117" s="115"/>
      <c r="L117" s="675" t="s">
        <v>314</v>
      </c>
      <c r="M117" s="820"/>
      <c r="AH117" s="539">
        <v>0</v>
      </c>
    </row>
    <row r="118" spans="1:34" ht="18.75" hidden="1" customHeight="1">
      <c r="C118" s="826" t="s">
        <v>1339</v>
      </c>
      <c r="D118" s="1397"/>
      <c r="E118" s="1150"/>
      <c r="F118" s="1285"/>
      <c r="G118" s="1373"/>
      <c r="H118" s="304"/>
      <c r="I118" s="49" t="s">
        <v>1338</v>
      </c>
      <c r="J118" s="63"/>
      <c r="K118" s="304"/>
      <c r="L118" s="296"/>
      <c r="M118" s="820"/>
      <c r="AH118" s="539">
        <v>0</v>
      </c>
    </row>
    <row r="119" spans="1:34" ht="0.75" hidden="1" customHeight="1">
      <c r="C119" s="826" t="s">
        <v>1346</v>
      </c>
      <c r="D119" s="1397"/>
      <c r="E119" s="1150"/>
      <c r="F119" s="1285"/>
      <c r="G119" s="306"/>
      <c r="H119" s="304"/>
      <c r="I119" s="49"/>
      <c r="J119" s="63"/>
      <c r="K119" s="304"/>
      <c r="L119" s="296"/>
      <c r="M119" s="820"/>
      <c r="AH119" s="539">
        <v>0</v>
      </c>
    </row>
    <row r="120" spans="1:34" ht="18.75" hidden="1" customHeight="1">
      <c r="A120" s="79" t="s">
        <v>243</v>
      </c>
      <c r="B120" s="79" t="s">
        <v>244</v>
      </c>
      <c r="D120" s="1397"/>
      <c r="E120" s="1150"/>
      <c r="F120" s="1285" t="str">
        <f>INDEX(PT_DIFFERENTIATION_VTAR,MATCH(A120,PT_DIFFERENTIATION_VTAR_ID,0))</f>
        <v>Тариф на транспортировку воды</v>
      </c>
      <c r="G120" s="1373" t="str">
        <f>INDEX(PT_DIFFERENTIATION_NTAR,MATCH(B120,PT_DIFFERENTIATION_NTAR_ID,0))</f>
        <v/>
      </c>
      <c r="H120" s="675"/>
      <c r="I120" s="302"/>
      <c r="J120" s="303"/>
      <c r="K120" s="115"/>
      <c r="L120" s="675" t="s">
        <v>314</v>
      </c>
      <c r="M120" s="820"/>
      <c r="AH120" s="539">
        <v>0</v>
      </c>
    </row>
    <row r="121" spans="1:34" ht="18.75" hidden="1" customHeight="1">
      <c r="C121" s="826" t="s">
        <v>1339</v>
      </c>
      <c r="D121" s="1397"/>
      <c r="E121" s="1150"/>
      <c r="F121" s="1285"/>
      <c r="G121" s="1373"/>
      <c r="H121" s="304"/>
      <c r="I121" s="49" t="s">
        <v>1338</v>
      </c>
      <c r="J121" s="63"/>
      <c r="K121" s="304"/>
      <c r="L121" s="296"/>
      <c r="M121" s="820"/>
      <c r="AH121" s="539">
        <v>0</v>
      </c>
    </row>
    <row r="122" spans="1:34" ht="0.75" hidden="1" customHeight="1">
      <c r="C122" s="826" t="s">
        <v>1346</v>
      </c>
      <c r="D122" s="1397"/>
      <c r="E122" s="1150"/>
      <c r="F122" s="1285"/>
      <c r="G122" s="306"/>
      <c r="H122" s="304"/>
      <c r="I122" s="49"/>
      <c r="J122" s="63"/>
      <c r="K122" s="304"/>
      <c r="L122" s="296"/>
      <c r="M122" s="820"/>
      <c r="AH122" s="539">
        <v>0</v>
      </c>
    </row>
    <row r="123" spans="1:34" ht="18.75" hidden="1" customHeight="1">
      <c r="A123" s="79" t="s">
        <v>248</v>
      </c>
      <c r="B123" s="79" t="s">
        <v>249</v>
      </c>
      <c r="D123" s="1397"/>
      <c r="E123" s="1150"/>
      <c r="F123" s="1285" t="str">
        <f>INDEX(PT_DIFFERENTIATION_VTAR,MATCH(A123,PT_DIFFERENTIATION_VTAR_ID,0))</f>
        <v>Тариф на подвоз воды</v>
      </c>
      <c r="G123" s="1373" t="str">
        <f>INDEX(PT_DIFFERENTIATION_NTAR,MATCH(B123,PT_DIFFERENTIATION_NTAR_ID,0))</f>
        <v/>
      </c>
      <c r="H123" s="675"/>
      <c r="I123" s="302"/>
      <c r="J123" s="303"/>
      <c r="K123" s="115"/>
      <c r="L123" s="675" t="s">
        <v>314</v>
      </c>
      <c r="M123" s="820"/>
      <c r="AH123" s="539">
        <v>0</v>
      </c>
    </row>
    <row r="124" spans="1:34" ht="18.75" hidden="1" customHeight="1">
      <c r="C124" s="826" t="s">
        <v>1339</v>
      </c>
      <c r="D124" s="1397"/>
      <c r="E124" s="1150"/>
      <c r="F124" s="1285"/>
      <c r="G124" s="1373"/>
      <c r="H124" s="304"/>
      <c r="I124" s="49" t="s">
        <v>1338</v>
      </c>
      <c r="J124" s="63"/>
      <c r="K124" s="304"/>
      <c r="L124" s="296"/>
      <c r="M124" s="820"/>
      <c r="AH124" s="539">
        <v>0</v>
      </c>
    </row>
    <row r="125" spans="1:34" ht="0.75" hidden="1" customHeight="1">
      <c r="C125" s="826" t="s">
        <v>1346</v>
      </c>
      <c r="D125" s="1397"/>
      <c r="E125" s="1150"/>
      <c r="F125" s="1285"/>
      <c r="G125" s="306"/>
      <c r="H125" s="304"/>
      <c r="I125" s="49"/>
      <c r="J125" s="63"/>
      <c r="K125" s="304"/>
      <c r="L125" s="296"/>
      <c r="M125" s="820"/>
      <c r="AH125" s="539">
        <v>0</v>
      </c>
    </row>
    <row r="126" spans="1:34" ht="18.75" hidden="1" customHeight="1">
      <c r="A126" s="79" t="s">
        <v>253</v>
      </c>
      <c r="B126" s="79" t="s">
        <v>254</v>
      </c>
      <c r="D126" s="1397"/>
      <c r="E126" s="1150"/>
      <c r="F126" s="12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373" t="str">
        <f>INDEX(PT_DIFFERENTIATION_NTAR,MATCH(B126,PT_DIFFERENTIATION_NTAR_ID,0))</f>
        <v/>
      </c>
      <c r="H126" s="675"/>
      <c r="I126" s="302"/>
      <c r="J126" s="303"/>
      <c r="K126" s="115"/>
      <c r="L126" s="675" t="s">
        <v>314</v>
      </c>
      <c r="M126" s="820"/>
      <c r="AH126" s="539">
        <v>0</v>
      </c>
    </row>
    <row r="127" spans="1:34" ht="18.75" hidden="1" customHeight="1">
      <c r="C127" s="826" t="s">
        <v>1339</v>
      </c>
      <c r="D127" s="1397"/>
      <c r="E127" s="1150"/>
      <c r="F127" s="1285"/>
      <c r="G127" s="1373"/>
      <c r="H127" s="304"/>
      <c r="I127" s="49" t="s">
        <v>1338</v>
      </c>
      <c r="J127" s="63"/>
      <c r="K127" s="304"/>
      <c r="L127" s="296"/>
      <c r="M127" s="820"/>
      <c r="AH127" s="539">
        <v>0</v>
      </c>
    </row>
    <row r="128" spans="1:34" ht="0.75" hidden="1" customHeight="1">
      <c r="C128" s="826" t="s">
        <v>1346</v>
      </c>
      <c r="D128" s="1397"/>
      <c r="E128" s="1150"/>
      <c r="F128" s="1285"/>
      <c r="G128" s="306"/>
      <c r="H128" s="304"/>
      <c r="I128" s="49"/>
      <c r="J128" s="63"/>
      <c r="K128" s="304"/>
      <c r="L128" s="296"/>
      <c r="M128" s="820"/>
      <c r="AH128" s="539">
        <v>0</v>
      </c>
    </row>
    <row r="129" spans="1:34" ht="18.75" hidden="1" customHeight="1">
      <c r="A129" s="79" t="s">
        <v>258</v>
      </c>
      <c r="B129" s="79" t="s">
        <v>259</v>
      </c>
      <c r="D129" s="1397"/>
      <c r="E129" s="1150"/>
      <c r="F129" s="1285" t="str">
        <f>INDEX(PT_DIFFERENTIATION_VTAR,MATCH(A129,PT_DIFFERENTIATION_VTAR_ID,0))</f>
        <v>Тариф на горячую воду (горячее водоснабжение)</v>
      </c>
      <c r="G129" s="1373" t="str">
        <f>INDEX(PT_DIFFERENTIATION_NTAR,MATCH(B129,PT_DIFFERENTIATION_NTAR_ID,0))</f>
        <v/>
      </c>
      <c r="H129" s="675"/>
      <c r="I129" s="302"/>
      <c r="J129" s="303"/>
      <c r="K129" s="115"/>
      <c r="L129" s="675" t="s">
        <v>314</v>
      </c>
      <c r="M129" s="820"/>
      <c r="AH129" s="539">
        <v>0</v>
      </c>
    </row>
    <row r="130" spans="1:34" ht="18.75" hidden="1" customHeight="1">
      <c r="C130" s="826" t="s">
        <v>1339</v>
      </c>
      <c r="D130" s="1397"/>
      <c r="E130" s="1150"/>
      <c r="F130" s="1285"/>
      <c r="G130" s="1373"/>
      <c r="H130" s="304"/>
      <c r="I130" s="49" t="s">
        <v>1338</v>
      </c>
      <c r="J130" s="63"/>
      <c r="K130" s="304"/>
      <c r="L130" s="296"/>
      <c r="M130" s="820"/>
      <c r="AH130" s="539">
        <v>0</v>
      </c>
    </row>
    <row r="131" spans="1:34" ht="0.75" hidden="1" customHeight="1">
      <c r="C131" s="826" t="s">
        <v>1346</v>
      </c>
      <c r="D131" s="1397"/>
      <c r="E131" s="1150"/>
      <c r="F131" s="1285"/>
      <c r="G131" s="306"/>
      <c r="H131" s="304"/>
      <c r="I131" s="49"/>
      <c r="J131" s="63"/>
      <c r="K131" s="304"/>
      <c r="L131" s="296"/>
      <c r="M131" s="820"/>
      <c r="AH131" s="539">
        <v>0</v>
      </c>
    </row>
    <row r="132" spans="1:34" ht="18.75" hidden="1" customHeight="1">
      <c r="A132" s="79" t="s">
        <v>263</v>
      </c>
      <c r="B132" s="79" t="s">
        <v>264</v>
      </c>
      <c r="D132" s="1397"/>
      <c r="E132" s="1150"/>
      <c r="F132" s="1285" t="str">
        <f>INDEX(PT_DIFFERENTIATION_VTAR,MATCH(A132,PT_DIFFERENTIATION_VTAR_ID,0))</f>
        <v>Тариф на транспортировку горячей воды</v>
      </c>
      <c r="G132" s="1373" t="str">
        <f>INDEX(PT_DIFFERENTIATION_NTAR,MATCH(B132,PT_DIFFERENTIATION_NTAR_ID,0))</f>
        <v/>
      </c>
      <c r="H132" s="675"/>
      <c r="I132" s="302"/>
      <c r="J132" s="303"/>
      <c r="K132" s="115"/>
      <c r="L132" s="675" t="s">
        <v>314</v>
      </c>
      <c r="M132" s="820"/>
      <c r="AH132" s="539">
        <v>0</v>
      </c>
    </row>
    <row r="133" spans="1:34" ht="18.75" hidden="1" customHeight="1">
      <c r="C133" s="826" t="s">
        <v>1339</v>
      </c>
      <c r="D133" s="1397"/>
      <c r="E133" s="1150"/>
      <c r="F133" s="1285"/>
      <c r="G133" s="1373"/>
      <c r="H133" s="304"/>
      <c r="I133" s="49" t="s">
        <v>1338</v>
      </c>
      <c r="J133" s="63"/>
      <c r="K133" s="304"/>
      <c r="L133" s="296"/>
      <c r="M133" s="820"/>
      <c r="AH133" s="539">
        <v>0</v>
      </c>
    </row>
    <row r="134" spans="1:34" ht="0.75" hidden="1" customHeight="1">
      <c r="C134" s="826" t="s">
        <v>1346</v>
      </c>
      <c r="D134" s="1397"/>
      <c r="E134" s="1150"/>
      <c r="F134" s="1285"/>
      <c r="G134" s="306"/>
      <c r="H134" s="304"/>
      <c r="I134" s="49"/>
      <c r="J134" s="63"/>
      <c r="K134" s="304"/>
      <c r="L134" s="296"/>
      <c r="M134" s="820"/>
      <c r="AH134" s="539">
        <v>0</v>
      </c>
    </row>
    <row r="135" spans="1:34" ht="18.75" hidden="1" customHeight="1">
      <c r="A135" s="79" t="s">
        <v>268</v>
      </c>
      <c r="B135" s="79" t="s">
        <v>269</v>
      </c>
      <c r="D135" s="1397"/>
      <c r="E135" s="1150"/>
      <c r="F135" s="12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1373" t="str">
        <f>INDEX(PT_DIFFERENTIATION_NTAR,MATCH(B135,PT_DIFFERENTIATION_NTAR_ID,0))</f>
        <v/>
      </c>
      <c r="H135" s="675"/>
      <c r="I135" s="302"/>
      <c r="J135" s="303"/>
      <c r="K135" s="115"/>
      <c r="L135" s="675" t="s">
        <v>314</v>
      </c>
      <c r="M135" s="820"/>
      <c r="AH135" s="539">
        <v>0</v>
      </c>
    </row>
    <row r="136" spans="1:34" ht="18.75" hidden="1" customHeight="1">
      <c r="C136" s="826" t="s">
        <v>1339</v>
      </c>
      <c r="D136" s="1397"/>
      <c r="E136" s="1150"/>
      <c r="F136" s="1285"/>
      <c r="G136" s="1373"/>
      <c r="H136" s="304"/>
      <c r="I136" s="49" t="s">
        <v>1338</v>
      </c>
      <c r="J136" s="63"/>
      <c r="K136" s="304"/>
      <c r="L136" s="296"/>
      <c r="M136" s="820"/>
      <c r="AH136" s="539">
        <v>0</v>
      </c>
    </row>
    <row r="137" spans="1:34" ht="0.75" hidden="1" customHeight="1">
      <c r="C137" s="826" t="s">
        <v>1346</v>
      </c>
      <c r="D137" s="1397"/>
      <c r="E137" s="1150"/>
      <c r="F137" s="1285"/>
      <c r="G137" s="306"/>
      <c r="H137" s="304"/>
      <c r="I137" s="49"/>
      <c r="J137" s="63"/>
      <c r="K137" s="304"/>
      <c r="L137" s="296"/>
      <c r="M137" s="820"/>
      <c r="AH137" s="539">
        <v>0</v>
      </c>
    </row>
    <row r="138" spans="1:34" ht="18.75" hidden="1" customHeight="1">
      <c r="A138" s="79" t="s">
        <v>273</v>
      </c>
      <c r="B138" s="79" t="s">
        <v>274</v>
      </c>
      <c r="D138" s="1397"/>
      <c r="E138" s="1150"/>
      <c r="F138" s="1285" t="str">
        <f>INDEX(PT_DIFFERENTIATION_VTAR,MATCH(A138,PT_DIFFERENTIATION_VTAR_ID,0))</f>
        <v>Тариф на водоотведение</v>
      </c>
      <c r="G138" s="1373" t="str">
        <f>INDEX(PT_DIFFERENTIATION_NTAR,MATCH(B138,PT_DIFFERENTIATION_NTAR_ID,0))</f>
        <v/>
      </c>
      <c r="H138" s="675"/>
      <c r="I138" s="302"/>
      <c r="J138" s="303"/>
      <c r="K138" s="115"/>
      <c r="L138" s="675" t="s">
        <v>314</v>
      </c>
      <c r="M138" s="820"/>
      <c r="AH138" s="539">
        <v>0</v>
      </c>
    </row>
    <row r="139" spans="1:34" ht="18.75" hidden="1" customHeight="1">
      <c r="C139" s="826" t="s">
        <v>1339</v>
      </c>
      <c r="D139" s="1397"/>
      <c r="E139" s="1150"/>
      <c r="F139" s="1285"/>
      <c r="G139" s="1373"/>
      <c r="H139" s="304"/>
      <c r="I139" s="49" t="s">
        <v>1338</v>
      </c>
      <c r="J139" s="63"/>
      <c r="K139" s="304"/>
      <c r="L139" s="296"/>
      <c r="M139" s="820"/>
      <c r="AH139" s="539">
        <v>0</v>
      </c>
    </row>
    <row r="140" spans="1:34" ht="0.75" hidden="1" customHeight="1">
      <c r="C140" s="826" t="s">
        <v>1346</v>
      </c>
      <c r="D140" s="1397"/>
      <c r="E140" s="1150"/>
      <c r="F140" s="1285"/>
      <c r="G140" s="306"/>
      <c r="H140" s="304"/>
      <c r="I140" s="49"/>
      <c r="J140" s="63"/>
      <c r="K140" s="304"/>
      <c r="L140" s="296"/>
      <c r="M140" s="820"/>
      <c r="AH140" s="539">
        <v>0</v>
      </c>
    </row>
    <row r="141" spans="1:34" ht="18.75" hidden="1" customHeight="1">
      <c r="A141" s="79" t="s">
        <v>278</v>
      </c>
      <c r="B141" s="79" t="s">
        <v>279</v>
      </c>
      <c r="D141" s="1397"/>
      <c r="E141" s="1150"/>
      <c r="F141" s="1285" t="str">
        <f>INDEX(PT_DIFFERENTIATION_VTAR,MATCH(A141,PT_DIFFERENTIATION_VTAR_ID,0))</f>
        <v>Тариф на транспортировку сточных вод</v>
      </c>
      <c r="G141" s="1373" t="str">
        <f>INDEX(PT_DIFFERENTIATION_NTAR,MATCH(B141,PT_DIFFERENTIATION_NTAR_ID,0))</f>
        <v/>
      </c>
      <c r="H141" s="675"/>
      <c r="I141" s="302"/>
      <c r="J141" s="303"/>
      <c r="K141" s="115"/>
      <c r="L141" s="675" t="s">
        <v>314</v>
      </c>
      <c r="M141" s="820"/>
      <c r="AH141" s="539">
        <v>0</v>
      </c>
    </row>
    <row r="142" spans="1:34" ht="18.75" hidden="1" customHeight="1">
      <c r="C142" s="826" t="s">
        <v>1339</v>
      </c>
      <c r="D142" s="1397"/>
      <c r="E142" s="1150"/>
      <c r="F142" s="1285"/>
      <c r="G142" s="1373"/>
      <c r="H142" s="304"/>
      <c r="I142" s="49" t="s">
        <v>1338</v>
      </c>
      <c r="J142" s="63"/>
      <c r="K142" s="304"/>
      <c r="L142" s="296"/>
      <c r="M142" s="820"/>
      <c r="AH142" s="539">
        <v>0</v>
      </c>
    </row>
    <row r="143" spans="1:34" ht="0.75" hidden="1" customHeight="1">
      <c r="C143" s="826" t="s">
        <v>1346</v>
      </c>
      <c r="D143" s="1397"/>
      <c r="E143" s="1150"/>
      <c r="F143" s="1285"/>
      <c r="G143" s="306"/>
      <c r="H143" s="304"/>
      <c r="I143" s="49"/>
      <c r="J143" s="63"/>
      <c r="K143" s="304"/>
      <c r="L143" s="296"/>
      <c r="M143" s="820"/>
      <c r="AH143" s="539">
        <v>0</v>
      </c>
    </row>
    <row r="144" spans="1:34" ht="18.75" hidden="1" customHeight="1">
      <c r="A144" s="79" t="s">
        <v>283</v>
      </c>
      <c r="B144" s="79" t="s">
        <v>284</v>
      </c>
      <c r="D144" s="1397"/>
      <c r="E144" s="1150"/>
      <c r="F144" s="1285" t="str">
        <f>INDEX(PT_DIFFERENTIATION_VTAR,MATCH(A144,PT_DIFFERENTIATION_VTAR_ID,0))</f>
        <v>Тариф на подключение (технологическое присоединение) к централизованной системе водоотведения</v>
      </c>
      <c r="G144" s="1373" t="str">
        <f>INDEX(PT_DIFFERENTIATION_NTAR,MATCH(B144,PT_DIFFERENTIATION_NTAR_ID,0))</f>
        <v/>
      </c>
      <c r="H144" s="675"/>
      <c r="I144" s="302"/>
      <c r="J144" s="303"/>
      <c r="K144" s="115"/>
      <c r="L144" s="675" t="s">
        <v>314</v>
      </c>
      <c r="M144" s="820"/>
      <c r="AH144" s="539">
        <v>0</v>
      </c>
    </row>
    <row r="145" spans="1:34" ht="18.75" hidden="1" customHeight="1">
      <c r="C145" s="826" t="s">
        <v>1339</v>
      </c>
      <c r="D145" s="1397"/>
      <c r="E145" s="1150"/>
      <c r="F145" s="1285"/>
      <c r="G145" s="1373"/>
      <c r="H145" s="304"/>
      <c r="I145" s="49" t="s">
        <v>1338</v>
      </c>
      <c r="J145" s="63"/>
      <c r="K145" s="304"/>
      <c r="L145" s="296"/>
      <c r="M145" s="820"/>
      <c r="AH145" s="539">
        <v>0</v>
      </c>
    </row>
    <row r="146" spans="1:34" ht="1.1499999999999999" customHeight="1">
      <c r="C146" s="826" t="s">
        <v>1346</v>
      </c>
      <c r="D146" s="1397"/>
      <c r="E146" s="1150"/>
      <c r="F146" s="1285"/>
      <c r="G146" s="306"/>
      <c r="H146" s="304"/>
      <c r="I146" s="49"/>
      <c r="J146" s="63"/>
      <c r="K146" s="304"/>
      <c r="L146" s="296"/>
      <c r="M146" s="820"/>
      <c r="AH146" s="539">
        <v>1</v>
      </c>
    </row>
    <row r="147" spans="1:34" ht="19.899999999999999" customHeight="1">
      <c r="D147" s="757"/>
      <c r="E147" s="91" t="s">
        <v>90</v>
      </c>
      <c r="F147" s="139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396"/>
      <c r="H147" s="1396"/>
      <c r="I147" s="1396"/>
      <c r="J147" s="1396"/>
      <c r="K147" s="1396"/>
      <c r="L147" s="1396"/>
      <c r="M147" s="832"/>
      <c r="AH147" s="539">
        <v>19</v>
      </c>
    </row>
    <row r="148" spans="1:34" ht="60.75" hidden="1" customHeight="1">
      <c r="A148" s="79" t="s">
        <v>165</v>
      </c>
      <c r="B148" s="79" t="s">
        <v>166</v>
      </c>
      <c r="D148" s="1397"/>
      <c r="E148" s="1150"/>
      <c r="F148" s="12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373" t="str">
        <f>INDEX(PT_DIFFERENTIATION_NTAR,MATCH(B148,PT_DIFFERENTIATION_NTAR_ID,0))</f>
        <v/>
      </c>
      <c r="H148" s="675"/>
      <c r="I148" s="302"/>
      <c r="J148" s="303"/>
      <c r="K148" s="115"/>
      <c r="L148" s="675" t="s">
        <v>314</v>
      </c>
      <c r="M148" s="1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AH148" s="539">
        <v>0</v>
      </c>
    </row>
    <row r="149" spans="1:34" ht="18.75" hidden="1" customHeight="1">
      <c r="C149" s="826" t="s">
        <v>1339</v>
      </c>
      <c r="D149" s="1397"/>
      <c r="E149" s="1150"/>
      <c r="F149" s="1285"/>
      <c r="G149" s="1373"/>
      <c r="H149" s="304"/>
      <c r="I149" s="49" t="s">
        <v>1338</v>
      </c>
      <c r="J149" s="63"/>
      <c r="K149" s="304"/>
      <c r="L149" s="296"/>
      <c r="M149" s="1114"/>
      <c r="AH149" s="539">
        <v>0</v>
      </c>
    </row>
    <row r="150" spans="1:34" ht="0.75" hidden="1" customHeight="1">
      <c r="C150" s="826" t="s">
        <v>1346</v>
      </c>
      <c r="D150" s="1397"/>
      <c r="E150" s="1150"/>
      <c r="F150" s="1285"/>
      <c r="G150" s="306"/>
      <c r="H150" s="304"/>
      <c r="I150" s="49"/>
      <c r="J150" s="63"/>
      <c r="K150" s="304"/>
      <c r="L150" s="296"/>
      <c r="M150" s="1114"/>
      <c r="AH150" s="539">
        <v>0</v>
      </c>
    </row>
    <row r="151" spans="1:34" ht="45" hidden="1" customHeight="1">
      <c r="A151" s="79" t="s">
        <v>170</v>
      </c>
      <c r="B151" s="79" t="s">
        <v>171</v>
      </c>
      <c r="D151" s="1397"/>
      <c r="E151" s="1150"/>
      <c r="F151" s="1285" t="str">
        <f>INDEX(PT_DIFFERENTIATION_VTAR,MATCH(A151,PT_DIFFERENTIATION_VTAR_ID,0))</f>
        <v/>
      </c>
      <c r="G151" s="1373" t="str">
        <f>INDEX(PT_DIFFERENTIATION_NTAR,MATCH(B151,PT_DIFFERENTIATION_NTAR_ID,0))</f>
        <v/>
      </c>
      <c r="H151" s="675"/>
      <c r="I151" s="302"/>
      <c r="J151" s="303"/>
      <c r="K151" s="115"/>
      <c r="L151" s="675" t="s">
        <v>314</v>
      </c>
      <c r="M151" s="1115"/>
      <c r="AH151" s="539">
        <v>0</v>
      </c>
    </row>
    <row r="152" spans="1:34" ht="18.75" hidden="1" customHeight="1">
      <c r="C152" s="826" t="s">
        <v>1339</v>
      </c>
      <c r="D152" s="1397"/>
      <c r="E152" s="1150"/>
      <c r="F152" s="1285"/>
      <c r="G152" s="1373"/>
      <c r="H152" s="304"/>
      <c r="I152" s="49" t="s">
        <v>1338</v>
      </c>
      <c r="J152" s="63"/>
      <c r="K152" s="304"/>
      <c r="L152" s="296"/>
      <c r="M152" s="614"/>
      <c r="AH152" s="539">
        <v>0</v>
      </c>
    </row>
    <row r="153" spans="1:34" ht="0.75" hidden="1" customHeight="1">
      <c r="C153" s="826" t="s">
        <v>1346</v>
      </c>
      <c r="D153" s="1397"/>
      <c r="E153" s="1150"/>
      <c r="F153" s="1285"/>
      <c r="G153" s="306"/>
      <c r="H153" s="304"/>
      <c r="I153" s="49"/>
      <c r="J153" s="63"/>
      <c r="K153" s="304"/>
      <c r="L153" s="296"/>
      <c r="M153" s="820"/>
      <c r="AH153" s="539">
        <v>0</v>
      </c>
    </row>
    <row r="154" spans="1:34" ht="45" hidden="1" customHeight="1">
      <c r="A154" s="79" t="s">
        <v>177</v>
      </c>
      <c r="B154" s="79" t="s">
        <v>178</v>
      </c>
      <c r="D154" s="1397"/>
      <c r="E154" s="1150"/>
      <c r="F154" s="12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373" t="str">
        <f>INDEX(PT_DIFFERENTIATION_NTAR,MATCH(B154,PT_DIFFERENTIATION_NTAR_ID,0))</f>
        <v/>
      </c>
      <c r="H154" s="675"/>
      <c r="I154" s="302"/>
      <c r="J154" s="303"/>
      <c r="K154" s="115"/>
      <c r="L154" s="675" t="s">
        <v>314</v>
      </c>
      <c r="M154" s="820"/>
      <c r="AH154" s="539">
        <v>0</v>
      </c>
    </row>
    <row r="155" spans="1:34" ht="18.75" hidden="1" customHeight="1">
      <c r="C155" s="826" t="s">
        <v>1339</v>
      </c>
      <c r="D155" s="1397"/>
      <c r="E155" s="1150"/>
      <c r="F155" s="1285"/>
      <c r="G155" s="1373"/>
      <c r="H155" s="304"/>
      <c r="I155" s="49" t="s">
        <v>1338</v>
      </c>
      <c r="J155" s="63"/>
      <c r="K155" s="304"/>
      <c r="L155" s="296"/>
      <c r="M155" s="820"/>
      <c r="AH155" s="539">
        <v>0</v>
      </c>
    </row>
    <row r="156" spans="1:34" ht="0.75" hidden="1" customHeight="1">
      <c r="C156" s="826" t="s">
        <v>1346</v>
      </c>
      <c r="D156" s="1397"/>
      <c r="E156" s="1150"/>
      <c r="F156" s="1285"/>
      <c r="G156" s="306"/>
      <c r="H156" s="304"/>
      <c r="I156" s="49"/>
      <c r="J156" s="63"/>
      <c r="K156" s="304"/>
      <c r="L156" s="296"/>
      <c r="M156" s="820"/>
      <c r="AH156" s="539">
        <v>0</v>
      </c>
    </row>
    <row r="157" spans="1:34" ht="45" hidden="1" customHeight="1">
      <c r="A157" s="79" t="s">
        <v>183</v>
      </c>
      <c r="B157" s="79" t="s">
        <v>184</v>
      </c>
      <c r="D157" s="1397"/>
      <c r="E157" s="1150"/>
      <c r="F157" s="12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373" t="str">
        <f>INDEX(PT_DIFFERENTIATION_NTAR,MATCH(B157,PT_DIFFERENTIATION_NTAR_ID,0))</f>
        <v/>
      </c>
      <c r="H157" s="675"/>
      <c r="I157" s="302"/>
      <c r="J157" s="303"/>
      <c r="K157" s="115"/>
      <c r="L157" s="675" t="s">
        <v>314</v>
      </c>
      <c r="M157" s="820"/>
      <c r="AH157" s="539">
        <v>0</v>
      </c>
    </row>
    <row r="158" spans="1:34" ht="18.75" hidden="1" customHeight="1">
      <c r="C158" s="826" t="s">
        <v>1339</v>
      </c>
      <c r="D158" s="1397"/>
      <c r="E158" s="1150"/>
      <c r="F158" s="1285"/>
      <c r="G158" s="1373"/>
      <c r="H158" s="304"/>
      <c r="I158" s="49" t="s">
        <v>1338</v>
      </c>
      <c r="J158" s="63"/>
      <c r="K158" s="304"/>
      <c r="L158" s="296"/>
      <c r="M158" s="820"/>
      <c r="AH158" s="539">
        <v>0</v>
      </c>
    </row>
    <row r="159" spans="1:34" ht="0.75" hidden="1" customHeight="1">
      <c r="C159" s="826" t="s">
        <v>1346</v>
      </c>
      <c r="D159" s="1397"/>
      <c r="E159" s="1150"/>
      <c r="F159" s="1285"/>
      <c r="G159" s="306"/>
      <c r="H159" s="304"/>
      <c r="I159" s="49"/>
      <c r="J159" s="63"/>
      <c r="K159" s="304"/>
      <c r="L159" s="296"/>
      <c r="M159" s="820"/>
      <c r="AH159" s="539">
        <v>0</v>
      </c>
    </row>
    <row r="160" spans="1:34" ht="18.75" hidden="1" customHeight="1">
      <c r="A160" s="79" t="s">
        <v>189</v>
      </c>
      <c r="B160" s="79" t="s">
        <v>190</v>
      </c>
      <c r="D160" s="1397"/>
      <c r="E160" s="1150"/>
      <c r="F160" s="1285" t="str">
        <f>INDEX(PT_DIFFERENTIATION_VTAR,MATCH(A160,PT_DIFFERENTIATION_VTAR_ID,0))</f>
        <v>Тарифы на услуги по передаче тепловой энергии</v>
      </c>
      <c r="G160" s="1373" t="str">
        <f>INDEX(PT_DIFFERENTIATION_NTAR,MATCH(B160,PT_DIFFERENTIATION_NTAR_ID,0))</f>
        <v/>
      </c>
      <c r="H160" s="675"/>
      <c r="I160" s="302"/>
      <c r="J160" s="303"/>
      <c r="K160" s="115"/>
      <c r="L160" s="675" t="s">
        <v>314</v>
      </c>
      <c r="M160" s="820"/>
      <c r="AH160" s="539">
        <v>0</v>
      </c>
    </row>
    <row r="161" spans="1:34" ht="18.75" hidden="1" customHeight="1">
      <c r="C161" s="826" t="s">
        <v>1339</v>
      </c>
      <c r="D161" s="1397"/>
      <c r="E161" s="1150"/>
      <c r="F161" s="1285"/>
      <c r="G161" s="1373"/>
      <c r="H161" s="304"/>
      <c r="I161" s="49" t="s">
        <v>1338</v>
      </c>
      <c r="J161" s="63"/>
      <c r="K161" s="304"/>
      <c r="L161" s="296"/>
      <c r="M161" s="820"/>
      <c r="AH161" s="539">
        <v>0</v>
      </c>
    </row>
    <row r="162" spans="1:34" ht="0.75" hidden="1" customHeight="1">
      <c r="C162" s="826" t="s">
        <v>1346</v>
      </c>
      <c r="D162" s="1397"/>
      <c r="E162" s="1150"/>
      <c r="F162" s="1285"/>
      <c r="G162" s="306"/>
      <c r="H162" s="304"/>
      <c r="I162" s="49"/>
      <c r="J162" s="63"/>
      <c r="K162" s="304"/>
      <c r="L162" s="296"/>
      <c r="M162" s="820"/>
      <c r="AH162" s="539">
        <v>0</v>
      </c>
    </row>
    <row r="163" spans="1:34" ht="18.75" hidden="1" customHeight="1">
      <c r="A163" s="79" t="s">
        <v>195</v>
      </c>
      <c r="B163" s="79" t="s">
        <v>196</v>
      </c>
      <c r="D163" s="1397"/>
      <c r="E163" s="1150"/>
      <c r="F163" s="1285" t="str">
        <f>INDEX(PT_DIFFERENTIATION_VTAR,MATCH(A163,PT_DIFFERENTIATION_VTAR_ID,0))</f>
        <v>Тарифы на услуги по передаче теплоносителя</v>
      </c>
      <c r="G163" s="1373" t="str">
        <f>INDEX(PT_DIFFERENTIATION_NTAR,MATCH(B163,PT_DIFFERENTIATION_NTAR_ID,0))</f>
        <v/>
      </c>
      <c r="H163" s="675"/>
      <c r="I163" s="302"/>
      <c r="J163" s="303"/>
      <c r="K163" s="115"/>
      <c r="L163" s="675" t="s">
        <v>314</v>
      </c>
      <c r="M163" s="820"/>
      <c r="AH163" s="539">
        <v>0</v>
      </c>
    </row>
    <row r="164" spans="1:34" ht="18.75" hidden="1" customHeight="1">
      <c r="C164" s="826" t="s">
        <v>1339</v>
      </c>
      <c r="D164" s="1397"/>
      <c r="E164" s="1150"/>
      <c r="F164" s="1285"/>
      <c r="G164" s="1373"/>
      <c r="H164" s="304"/>
      <c r="I164" s="49" t="s">
        <v>1338</v>
      </c>
      <c r="J164" s="63"/>
      <c r="K164" s="304"/>
      <c r="L164" s="296"/>
      <c r="M164" s="820"/>
      <c r="AH164" s="539">
        <v>0</v>
      </c>
    </row>
    <row r="165" spans="1:34" ht="0.75" hidden="1" customHeight="1">
      <c r="C165" s="826" t="s">
        <v>1346</v>
      </c>
      <c r="D165" s="1397"/>
      <c r="E165" s="1150"/>
      <c r="F165" s="1285"/>
      <c r="G165" s="306"/>
      <c r="H165" s="304"/>
      <c r="I165" s="49"/>
      <c r="J165" s="63"/>
      <c r="K165" s="304"/>
      <c r="L165" s="296"/>
      <c r="M165" s="820"/>
      <c r="AH165" s="539">
        <v>0</v>
      </c>
    </row>
    <row r="166" spans="1:34" ht="18.75" hidden="1" customHeight="1">
      <c r="A166" s="79" t="s">
        <v>201</v>
      </c>
      <c r="B166" s="79" t="s">
        <v>202</v>
      </c>
      <c r="D166" s="1397"/>
      <c r="E166" s="1150"/>
      <c r="F166" s="12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373" t="str">
        <f>INDEX(PT_DIFFERENTIATION_NTAR,MATCH(B166,PT_DIFFERENTIATION_NTAR_ID,0))</f>
        <v/>
      </c>
      <c r="H166" s="675"/>
      <c r="I166" s="302"/>
      <c r="J166" s="303"/>
      <c r="K166" s="115"/>
      <c r="L166" s="675" t="s">
        <v>314</v>
      </c>
      <c r="M166" s="820"/>
      <c r="AH166" s="539">
        <v>0</v>
      </c>
    </row>
    <row r="167" spans="1:34" ht="18.75" hidden="1" customHeight="1">
      <c r="C167" s="826" t="s">
        <v>1339</v>
      </c>
      <c r="D167" s="1397"/>
      <c r="E167" s="1150"/>
      <c r="F167" s="1285"/>
      <c r="G167" s="1373"/>
      <c r="H167" s="304"/>
      <c r="I167" s="49" t="s">
        <v>1338</v>
      </c>
      <c r="J167" s="63"/>
      <c r="K167" s="304"/>
      <c r="L167" s="296"/>
      <c r="M167" s="820"/>
      <c r="AH167" s="539">
        <v>0</v>
      </c>
    </row>
    <row r="168" spans="1:34" ht="0.75" hidden="1" customHeight="1">
      <c r="C168" s="826" t="s">
        <v>1346</v>
      </c>
      <c r="D168" s="1397"/>
      <c r="E168" s="1150"/>
      <c r="F168" s="1285"/>
      <c r="G168" s="306"/>
      <c r="H168" s="304"/>
      <c r="I168" s="49"/>
      <c r="J168" s="63"/>
      <c r="K168" s="304"/>
      <c r="L168" s="296"/>
      <c r="M168" s="820"/>
      <c r="AH168" s="539">
        <v>0</v>
      </c>
    </row>
    <row r="169" spans="1:34" ht="18.75" hidden="1" customHeight="1">
      <c r="A169" s="79" t="s">
        <v>207</v>
      </c>
      <c r="B169" s="79" t="s">
        <v>208</v>
      </c>
      <c r="D169" s="1397"/>
      <c r="E169" s="1150"/>
      <c r="F169" s="1285" t="str">
        <f>INDEX(PT_DIFFERENTIATION_VTAR,MATCH(A169,PT_DIFFERENTIATION_VTAR_ID,0))</f>
        <v>Плата за подключение (технологическое присоединение) к системе теплоснабжения</v>
      </c>
      <c r="G169" s="1373" t="str">
        <f>INDEX(PT_DIFFERENTIATION_NTAR,MATCH(B169,PT_DIFFERENTIATION_NTAR_ID,0))</f>
        <v/>
      </c>
      <c r="H169" s="675"/>
      <c r="I169" s="302"/>
      <c r="J169" s="303"/>
      <c r="K169" s="115"/>
      <c r="L169" s="675" t="s">
        <v>314</v>
      </c>
      <c r="M169" s="820"/>
      <c r="AH169" s="539">
        <v>0</v>
      </c>
    </row>
    <row r="170" spans="1:34" ht="18.75" hidden="1" customHeight="1">
      <c r="C170" s="826" t="s">
        <v>1339</v>
      </c>
      <c r="D170" s="1397"/>
      <c r="E170" s="1150"/>
      <c r="F170" s="1285"/>
      <c r="G170" s="1373"/>
      <c r="H170" s="304"/>
      <c r="I170" s="49" t="s">
        <v>1338</v>
      </c>
      <c r="J170" s="63"/>
      <c r="K170" s="304"/>
      <c r="L170" s="296"/>
      <c r="M170" s="820"/>
      <c r="AH170" s="539">
        <v>0</v>
      </c>
    </row>
    <row r="171" spans="1:34" ht="0.75" hidden="1" customHeight="1">
      <c r="C171" s="826" t="s">
        <v>1346</v>
      </c>
      <c r="D171" s="1397"/>
      <c r="E171" s="1150"/>
      <c r="F171" s="1285"/>
      <c r="G171" s="306"/>
      <c r="H171" s="304"/>
      <c r="I171" s="49"/>
      <c r="J171" s="63"/>
      <c r="K171" s="304"/>
      <c r="L171" s="296"/>
      <c r="M171" s="820"/>
      <c r="AH171" s="539">
        <v>0</v>
      </c>
    </row>
    <row r="172" spans="1:34" ht="18.75" hidden="1" customHeight="1">
      <c r="A172" s="79" t="s">
        <v>213</v>
      </c>
      <c r="B172" s="79" t="s">
        <v>214</v>
      </c>
      <c r="D172" s="1397"/>
      <c r="E172" s="1150"/>
      <c r="F172" s="1285" t="str">
        <f>INDEX(PT_DIFFERENTIATION_VTAR,MATCH(A172,PT_DIFFERENTIATION_VTAR_ID,0))</f>
        <v>Плата за подключение (технологическое присоединение) к системе теплоснабжения (индивидуальная)</v>
      </c>
      <c r="G172" s="1373" t="str">
        <f>INDEX(PT_DIFFERENTIATION_NTAR,MATCH(B172,PT_DIFFERENTIATION_NTAR_ID,0))</f>
        <v/>
      </c>
      <c r="H172" s="675"/>
      <c r="I172" s="302"/>
      <c r="J172" s="303"/>
      <c r="K172" s="115"/>
      <c r="L172" s="675" t="s">
        <v>314</v>
      </c>
      <c r="M172" s="820"/>
      <c r="AH172" s="539">
        <v>0</v>
      </c>
    </row>
    <row r="173" spans="1:34" ht="18.75" hidden="1" customHeight="1">
      <c r="C173" s="826" t="s">
        <v>1339</v>
      </c>
      <c r="D173" s="1397"/>
      <c r="E173" s="1150"/>
      <c r="F173" s="1285"/>
      <c r="G173" s="1373"/>
      <c r="H173" s="304"/>
      <c r="I173" s="49" t="s">
        <v>1338</v>
      </c>
      <c r="J173" s="63"/>
      <c r="K173" s="304"/>
      <c r="L173" s="296"/>
      <c r="M173" s="820"/>
      <c r="AH173" s="539">
        <v>0</v>
      </c>
    </row>
    <row r="174" spans="1:34" ht="0.75" hidden="1" customHeight="1">
      <c r="C174" s="826" t="s">
        <v>1346</v>
      </c>
      <c r="D174" s="1397"/>
      <c r="E174" s="1150"/>
      <c r="F174" s="1285"/>
      <c r="G174" s="306"/>
      <c r="H174" s="304"/>
      <c r="I174" s="49"/>
      <c r="J174" s="63"/>
      <c r="K174" s="304"/>
      <c r="L174" s="296"/>
      <c r="M174" s="820"/>
      <c r="AH174" s="539">
        <v>0</v>
      </c>
    </row>
    <row r="175" spans="1:34" ht="18.75" hidden="1" customHeight="1">
      <c r="A175" s="79" t="s">
        <v>233</v>
      </c>
      <c r="B175" s="79" t="s">
        <v>234</v>
      </c>
      <c r="D175" s="1397"/>
      <c r="E175" s="1150"/>
      <c r="F175" s="1285" t="str">
        <f>INDEX(PT_DIFFERENTIATION_VTAR,MATCH(A175,PT_DIFFERENTIATION_VTAR_ID,0))</f>
        <v>Тариф на питьевую воду (питьевое водоснабжение)</v>
      </c>
      <c r="G175" s="1373" t="str">
        <f>INDEX(PT_DIFFERENTIATION_NTAR,MATCH(B175,PT_DIFFERENTIATION_NTAR_ID,0))</f>
        <v/>
      </c>
      <c r="H175" s="675"/>
      <c r="I175" s="302"/>
      <c r="J175" s="303"/>
      <c r="K175" s="115"/>
      <c r="L175" s="675" t="s">
        <v>314</v>
      </c>
      <c r="M175" s="820"/>
      <c r="AH175" s="539">
        <v>0</v>
      </c>
    </row>
    <row r="176" spans="1:34" ht="18.75" hidden="1" customHeight="1">
      <c r="C176" s="826" t="s">
        <v>1339</v>
      </c>
      <c r="D176" s="1397"/>
      <c r="E176" s="1150"/>
      <c r="F176" s="1285"/>
      <c r="G176" s="1373"/>
      <c r="H176" s="304"/>
      <c r="I176" s="49" t="s">
        <v>1338</v>
      </c>
      <c r="J176" s="63"/>
      <c r="K176" s="304"/>
      <c r="L176" s="296"/>
      <c r="M176" s="820"/>
      <c r="AH176" s="539">
        <v>0</v>
      </c>
    </row>
    <row r="177" spans="1:34" ht="0.75" hidden="1" customHeight="1">
      <c r="C177" s="826" t="s">
        <v>1346</v>
      </c>
      <c r="D177" s="1397"/>
      <c r="E177" s="1150"/>
      <c r="F177" s="1285"/>
      <c r="G177" s="306"/>
      <c r="H177" s="304"/>
      <c r="I177" s="49"/>
      <c r="J177" s="63"/>
      <c r="K177" s="304"/>
      <c r="L177" s="296"/>
      <c r="M177" s="820"/>
      <c r="AH177" s="539">
        <v>0</v>
      </c>
    </row>
    <row r="178" spans="1:34" ht="18.75" hidden="1" customHeight="1">
      <c r="A178" s="79" t="s">
        <v>238</v>
      </c>
      <c r="B178" s="79" t="s">
        <v>239</v>
      </c>
      <c r="D178" s="1397"/>
      <c r="E178" s="1150"/>
      <c r="F178" s="1285" t="str">
        <f>INDEX(PT_DIFFERENTIATION_VTAR,MATCH(A178,PT_DIFFERENTIATION_VTAR_ID,0))</f>
        <v>Тариф на техническую воду</v>
      </c>
      <c r="G178" s="1373" t="str">
        <f>INDEX(PT_DIFFERENTIATION_NTAR,MATCH(B178,PT_DIFFERENTIATION_NTAR_ID,0))</f>
        <v/>
      </c>
      <c r="H178" s="675"/>
      <c r="I178" s="302"/>
      <c r="J178" s="303"/>
      <c r="K178" s="115"/>
      <c r="L178" s="675" t="s">
        <v>314</v>
      </c>
      <c r="M178" s="820"/>
      <c r="AH178" s="539">
        <v>0</v>
      </c>
    </row>
    <row r="179" spans="1:34" ht="18.75" hidden="1" customHeight="1">
      <c r="C179" s="826" t="s">
        <v>1339</v>
      </c>
      <c r="D179" s="1397"/>
      <c r="E179" s="1150"/>
      <c r="F179" s="1285"/>
      <c r="G179" s="1373"/>
      <c r="H179" s="304"/>
      <c r="I179" s="49" t="s">
        <v>1338</v>
      </c>
      <c r="J179" s="63"/>
      <c r="K179" s="304"/>
      <c r="L179" s="296"/>
      <c r="M179" s="820"/>
      <c r="AH179" s="539">
        <v>0</v>
      </c>
    </row>
    <row r="180" spans="1:34" ht="0.75" hidden="1" customHeight="1">
      <c r="C180" s="826" t="s">
        <v>1346</v>
      </c>
      <c r="D180" s="1397"/>
      <c r="E180" s="1150"/>
      <c r="F180" s="1285"/>
      <c r="G180" s="306"/>
      <c r="H180" s="304"/>
      <c r="I180" s="49"/>
      <c r="J180" s="63"/>
      <c r="K180" s="304"/>
      <c r="L180" s="296"/>
      <c r="M180" s="820"/>
      <c r="AH180" s="539">
        <v>0</v>
      </c>
    </row>
    <row r="181" spans="1:34" ht="18.75" hidden="1" customHeight="1">
      <c r="A181" s="79" t="s">
        <v>243</v>
      </c>
      <c r="B181" s="79" t="s">
        <v>244</v>
      </c>
      <c r="D181" s="1397"/>
      <c r="E181" s="1150"/>
      <c r="F181" s="1285" t="str">
        <f>INDEX(PT_DIFFERENTIATION_VTAR,MATCH(A181,PT_DIFFERENTIATION_VTAR_ID,0))</f>
        <v>Тариф на транспортировку воды</v>
      </c>
      <c r="G181" s="1373" t="str">
        <f>INDEX(PT_DIFFERENTIATION_NTAR,MATCH(B181,PT_DIFFERENTIATION_NTAR_ID,0))</f>
        <v/>
      </c>
      <c r="H181" s="675"/>
      <c r="I181" s="302"/>
      <c r="J181" s="303"/>
      <c r="K181" s="115"/>
      <c r="L181" s="675" t="s">
        <v>314</v>
      </c>
      <c r="M181" s="820"/>
      <c r="AH181" s="539">
        <v>0</v>
      </c>
    </row>
    <row r="182" spans="1:34" ht="18.75" hidden="1" customHeight="1">
      <c r="C182" s="826" t="s">
        <v>1339</v>
      </c>
      <c r="D182" s="1397"/>
      <c r="E182" s="1150"/>
      <c r="F182" s="1285"/>
      <c r="G182" s="1373"/>
      <c r="H182" s="304"/>
      <c r="I182" s="49" t="s">
        <v>1338</v>
      </c>
      <c r="J182" s="63"/>
      <c r="K182" s="304"/>
      <c r="L182" s="296"/>
      <c r="M182" s="820"/>
      <c r="AH182" s="539">
        <v>0</v>
      </c>
    </row>
    <row r="183" spans="1:34" ht="0.75" hidden="1" customHeight="1">
      <c r="C183" s="826" t="s">
        <v>1346</v>
      </c>
      <c r="D183" s="1397"/>
      <c r="E183" s="1150"/>
      <c r="F183" s="1285"/>
      <c r="G183" s="306"/>
      <c r="H183" s="304"/>
      <c r="I183" s="49"/>
      <c r="J183" s="63"/>
      <c r="K183" s="304"/>
      <c r="L183" s="296"/>
      <c r="M183" s="820"/>
      <c r="AH183" s="539">
        <v>0</v>
      </c>
    </row>
    <row r="184" spans="1:34" ht="18.75" hidden="1" customHeight="1">
      <c r="A184" s="79" t="s">
        <v>248</v>
      </c>
      <c r="B184" s="79" t="s">
        <v>249</v>
      </c>
      <c r="D184" s="1397"/>
      <c r="E184" s="1150"/>
      <c r="F184" s="1285" t="str">
        <f>INDEX(PT_DIFFERENTIATION_VTAR,MATCH(A184,PT_DIFFERENTIATION_VTAR_ID,0))</f>
        <v>Тариф на подвоз воды</v>
      </c>
      <c r="G184" s="1373" t="str">
        <f>INDEX(PT_DIFFERENTIATION_NTAR,MATCH(B184,PT_DIFFERENTIATION_NTAR_ID,0))</f>
        <v/>
      </c>
      <c r="H184" s="675"/>
      <c r="I184" s="302"/>
      <c r="J184" s="303"/>
      <c r="K184" s="115"/>
      <c r="L184" s="675" t="s">
        <v>314</v>
      </c>
      <c r="M184" s="820"/>
      <c r="AH184" s="539">
        <v>0</v>
      </c>
    </row>
    <row r="185" spans="1:34" ht="18.75" hidden="1" customHeight="1">
      <c r="C185" s="826" t="s">
        <v>1339</v>
      </c>
      <c r="D185" s="1397"/>
      <c r="E185" s="1150"/>
      <c r="F185" s="1285"/>
      <c r="G185" s="1373"/>
      <c r="H185" s="304"/>
      <c r="I185" s="49" t="s">
        <v>1338</v>
      </c>
      <c r="J185" s="63"/>
      <c r="K185" s="304"/>
      <c r="L185" s="296"/>
      <c r="M185" s="820"/>
      <c r="AH185" s="539">
        <v>0</v>
      </c>
    </row>
    <row r="186" spans="1:34" ht="0.75" hidden="1" customHeight="1">
      <c r="C186" s="826" t="s">
        <v>1346</v>
      </c>
      <c r="D186" s="1397"/>
      <c r="E186" s="1150"/>
      <c r="F186" s="1285"/>
      <c r="G186" s="306"/>
      <c r="H186" s="304"/>
      <c r="I186" s="49"/>
      <c r="J186" s="63"/>
      <c r="K186" s="304"/>
      <c r="L186" s="296"/>
      <c r="M186" s="820"/>
      <c r="AH186" s="539">
        <v>0</v>
      </c>
    </row>
    <row r="187" spans="1:34" ht="18.75" hidden="1" customHeight="1">
      <c r="A187" s="79" t="s">
        <v>253</v>
      </c>
      <c r="B187" s="79" t="s">
        <v>254</v>
      </c>
      <c r="D187" s="1397"/>
      <c r="E187" s="1150"/>
      <c r="F187" s="12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373" t="str">
        <f>INDEX(PT_DIFFERENTIATION_NTAR,MATCH(B187,PT_DIFFERENTIATION_NTAR_ID,0))</f>
        <v/>
      </c>
      <c r="H187" s="675"/>
      <c r="I187" s="302"/>
      <c r="J187" s="303"/>
      <c r="K187" s="115"/>
      <c r="L187" s="675" t="s">
        <v>314</v>
      </c>
      <c r="M187" s="820"/>
      <c r="AH187" s="539">
        <v>0</v>
      </c>
    </row>
    <row r="188" spans="1:34" ht="18.75" hidden="1" customHeight="1">
      <c r="C188" s="826" t="s">
        <v>1339</v>
      </c>
      <c r="D188" s="1397"/>
      <c r="E188" s="1150"/>
      <c r="F188" s="1285"/>
      <c r="G188" s="1373"/>
      <c r="H188" s="304"/>
      <c r="I188" s="49" t="s">
        <v>1338</v>
      </c>
      <c r="J188" s="63"/>
      <c r="K188" s="304"/>
      <c r="L188" s="296"/>
      <c r="M188" s="820"/>
      <c r="AH188" s="539">
        <v>0</v>
      </c>
    </row>
    <row r="189" spans="1:34" ht="0.75" hidden="1" customHeight="1">
      <c r="C189" s="826" t="s">
        <v>1346</v>
      </c>
      <c r="D189" s="1397"/>
      <c r="E189" s="1150"/>
      <c r="F189" s="1285"/>
      <c r="G189" s="306"/>
      <c r="H189" s="304"/>
      <c r="I189" s="49"/>
      <c r="J189" s="63"/>
      <c r="K189" s="304"/>
      <c r="L189" s="296"/>
      <c r="M189" s="820"/>
      <c r="AH189" s="539">
        <v>0</v>
      </c>
    </row>
    <row r="190" spans="1:34" ht="18.75" hidden="1" customHeight="1">
      <c r="A190" s="79" t="s">
        <v>258</v>
      </c>
      <c r="B190" s="79" t="s">
        <v>259</v>
      </c>
      <c r="D190" s="1397"/>
      <c r="E190" s="1150"/>
      <c r="F190" s="1285" t="str">
        <f>INDEX(PT_DIFFERENTIATION_VTAR,MATCH(A190,PT_DIFFERENTIATION_VTAR_ID,0))</f>
        <v>Тариф на горячую воду (горячее водоснабжение)</v>
      </c>
      <c r="G190" s="1373" t="str">
        <f>INDEX(PT_DIFFERENTIATION_NTAR,MATCH(B190,PT_DIFFERENTIATION_NTAR_ID,0))</f>
        <v/>
      </c>
      <c r="H190" s="675"/>
      <c r="I190" s="302"/>
      <c r="J190" s="303"/>
      <c r="K190" s="115"/>
      <c r="L190" s="675" t="s">
        <v>314</v>
      </c>
      <c r="M190" s="820"/>
      <c r="AH190" s="539">
        <v>0</v>
      </c>
    </row>
    <row r="191" spans="1:34" ht="18.75" hidden="1" customHeight="1">
      <c r="C191" s="826" t="s">
        <v>1339</v>
      </c>
      <c r="D191" s="1397"/>
      <c r="E191" s="1150"/>
      <c r="F191" s="1285"/>
      <c r="G191" s="1373"/>
      <c r="H191" s="304"/>
      <c r="I191" s="49" t="s">
        <v>1338</v>
      </c>
      <c r="J191" s="63"/>
      <c r="K191" s="304"/>
      <c r="L191" s="296"/>
      <c r="M191" s="820"/>
      <c r="AH191" s="539">
        <v>0</v>
      </c>
    </row>
    <row r="192" spans="1:34" ht="0.75" hidden="1" customHeight="1">
      <c r="C192" s="826" t="s">
        <v>1346</v>
      </c>
      <c r="D192" s="1397"/>
      <c r="E192" s="1150"/>
      <c r="F192" s="1285"/>
      <c r="G192" s="306"/>
      <c r="H192" s="304"/>
      <c r="I192" s="49"/>
      <c r="J192" s="63"/>
      <c r="K192" s="304"/>
      <c r="L192" s="296"/>
      <c r="M192" s="820"/>
      <c r="AH192" s="539">
        <v>0</v>
      </c>
    </row>
    <row r="193" spans="1:34" ht="18.75" hidden="1" customHeight="1">
      <c r="A193" s="79" t="s">
        <v>263</v>
      </c>
      <c r="B193" s="79" t="s">
        <v>264</v>
      </c>
      <c r="D193" s="1397"/>
      <c r="E193" s="1150"/>
      <c r="F193" s="1285" t="str">
        <f>INDEX(PT_DIFFERENTIATION_VTAR,MATCH(A193,PT_DIFFERENTIATION_VTAR_ID,0))</f>
        <v>Тариф на транспортировку горячей воды</v>
      </c>
      <c r="G193" s="1373" t="str">
        <f>INDEX(PT_DIFFERENTIATION_NTAR,MATCH(B193,PT_DIFFERENTIATION_NTAR_ID,0))</f>
        <v/>
      </c>
      <c r="H193" s="675"/>
      <c r="I193" s="302"/>
      <c r="J193" s="303"/>
      <c r="K193" s="115"/>
      <c r="L193" s="675" t="s">
        <v>314</v>
      </c>
      <c r="M193" s="820"/>
      <c r="AH193" s="539">
        <v>0</v>
      </c>
    </row>
    <row r="194" spans="1:34" ht="18.75" hidden="1" customHeight="1">
      <c r="C194" s="826" t="s">
        <v>1339</v>
      </c>
      <c r="D194" s="1397"/>
      <c r="E194" s="1150"/>
      <c r="F194" s="1285"/>
      <c r="G194" s="1373"/>
      <c r="H194" s="304"/>
      <c r="I194" s="49" t="s">
        <v>1338</v>
      </c>
      <c r="J194" s="63"/>
      <c r="K194" s="304"/>
      <c r="L194" s="296"/>
      <c r="M194" s="820"/>
      <c r="AH194" s="539">
        <v>0</v>
      </c>
    </row>
    <row r="195" spans="1:34" ht="0.75" hidden="1" customHeight="1">
      <c r="C195" s="826" t="s">
        <v>1346</v>
      </c>
      <c r="D195" s="1397"/>
      <c r="E195" s="1150"/>
      <c r="F195" s="1285"/>
      <c r="G195" s="306"/>
      <c r="H195" s="304"/>
      <c r="I195" s="49"/>
      <c r="J195" s="63"/>
      <c r="K195" s="304"/>
      <c r="L195" s="296"/>
      <c r="M195" s="820"/>
      <c r="AH195" s="539">
        <v>0</v>
      </c>
    </row>
    <row r="196" spans="1:34" ht="18.75" hidden="1" customHeight="1">
      <c r="A196" s="79" t="s">
        <v>268</v>
      </c>
      <c r="B196" s="79" t="s">
        <v>269</v>
      </c>
      <c r="D196" s="1397"/>
      <c r="E196" s="1150"/>
      <c r="F196" s="12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1373" t="str">
        <f>INDEX(PT_DIFFERENTIATION_NTAR,MATCH(B196,PT_DIFFERENTIATION_NTAR_ID,0))</f>
        <v/>
      </c>
      <c r="H196" s="675"/>
      <c r="I196" s="302"/>
      <c r="J196" s="303"/>
      <c r="K196" s="115"/>
      <c r="L196" s="675" t="s">
        <v>314</v>
      </c>
      <c r="M196" s="820"/>
      <c r="AH196" s="539">
        <v>0</v>
      </c>
    </row>
    <row r="197" spans="1:34" ht="18.75" hidden="1" customHeight="1">
      <c r="C197" s="826" t="s">
        <v>1339</v>
      </c>
      <c r="D197" s="1397"/>
      <c r="E197" s="1150"/>
      <c r="F197" s="1285"/>
      <c r="G197" s="1373"/>
      <c r="H197" s="304"/>
      <c r="I197" s="49" t="s">
        <v>1338</v>
      </c>
      <c r="J197" s="63"/>
      <c r="K197" s="304"/>
      <c r="L197" s="296"/>
      <c r="M197" s="820"/>
      <c r="AH197" s="539">
        <v>0</v>
      </c>
    </row>
    <row r="198" spans="1:34" ht="0.75" hidden="1" customHeight="1">
      <c r="C198" s="826" t="s">
        <v>1346</v>
      </c>
      <c r="D198" s="1397"/>
      <c r="E198" s="1150"/>
      <c r="F198" s="1285"/>
      <c r="G198" s="306"/>
      <c r="H198" s="304"/>
      <c r="I198" s="49"/>
      <c r="J198" s="63"/>
      <c r="K198" s="304"/>
      <c r="L198" s="296"/>
      <c r="M198" s="820"/>
      <c r="AH198" s="539">
        <v>0</v>
      </c>
    </row>
    <row r="199" spans="1:34" ht="18.75" hidden="1" customHeight="1">
      <c r="A199" s="79" t="s">
        <v>273</v>
      </c>
      <c r="B199" s="79" t="s">
        <v>274</v>
      </c>
      <c r="D199" s="1397"/>
      <c r="E199" s="1150"/>
      <c r="F199" s="1285" t="str">
        <f>INDEX(PT_DIFFERENTIATION_VTAR,MATCH(A199,PT_DIFFERENTIATION_VTAR_ID,0))</f>
        <v>Тариф на водоотведение</v>
      </c>
      <c r="G199" s="1373" t="str">
        <f>INDEX(PT_DIFFERENTIATION_NTAR,MATCH(B199,PT_DIFFERENTIATION_NTAR_ID,0))</f>
        <v/>
      </c>
      <c r="H199" s="675"/>
      <c r="I199" s="302"/>
      <c r="J199" s="303"/>
      <c r="K199" s="115"/>
      <c r="L199" s="675" t="s">
        <v>314</v>
      </c>
      <c r="M199" s="820"/>
      <c r="AH199" s="539">
        <v>0</v>
      </c>
    </row>
    <row r="200" spans="1:34" ht="18.75" hidden="1" customHeight="1">
      <c r="C200" s="826" t="s">
        <v>1339</v>
      </c>
      <c r="D200" s="1397"/>
      <c r="E200" s="1150"/>
      <c r="F200" s="1285"/>
      <c r="G200" s="1373"/>
      <c r="H200" s="304"/>
      <c r="I200" s="49" t="s">
        <v>1338</v>
      </c>
      <c r="J200" s="63"/>
      <c r="K200" s="304"/>
      <c r="L200" s="296"/>
      <c r="M200" s="820"/>
      <c r="AH200" s="539">
        <v>0</v>
      </c>
    </row>
    <row r="201" spans="1:34" ht="0.75" hidden="1" customHeight="1">
      <c r="C201" s="826" t="s">
        <v>1346</v>
      </c>
      <c r="D201" s="1397"/>
      <c r="E201" s="1150"/>
      <c r="F201" s="1285"/>
      <c r="G201" s="306"/>
      <c r="H201" s="304"/>
      <c r="I201" s="49"/>
      <c r="J201" s="63"/>
      <c r="K201" s="304"/>
      <c r="L201" s="296"/>
      <c r="M201" s="820"/>
      <c r="AH201" s="539">
        <v>0</v>
      </c>
    </row>
    <row r="202" spans="1:34" ht="18.75" hidden="1" customHeight="1">
      <c r="A202" s="79" t="s">
        <v>278</v>
      </c>
      <c r="B202" s="79" t="s">
        <v>279</v>
      </c>
      <c r="D202" s="1397"/>
      <c r="E202" s="1150"/>
      <c r="F202" s="1285" t="str">
        <f>INDEX(PT_DIFFERENTIATION_VTAR,MATCH(A202,PT_DIFFERENTIATION_VTAR_ID,0))</f>
        <v>Тариф на транспортировку сточных вод</v>
      </c>
      <c r="G202" s="1373" t="str">
        <f>INDEX(PT_DIFFERENTIATION_NTAR,MATCH(B202,PT_DIFFERENTIATION_NTAR_ID,0))</f>
        <v/>
      </c>
      <c r="H202" s="675"/>
      <c r="I202" s="302"/>
      <c r="J202" s="303"/>
      <c r="K202" s="115"/>
      <c r="L202" s="675" t="s">
        <v>314</v>
      </c>
      <c r="M202" s="820"/>
      <c r="AH202" s="539">
        <v>0</v>
      </c>
    </row>
    <row r="203" spans="1:34" ht="18.75" hidden="1" customHeight="1">
      <c r="C203" s="826" t="s">
        <v>1339</v>
      </c>
      <c r="D203" s="1397"/>
      <c r="E203" s="1150"/>
      <c r="F203" s="1285"/>
      <c r="G203" s="1373"/>
      <c r="H203" s="304"/>
      <c r="I203" s="49" t="s">
        <v>1338</v>
      </c>
      <c r="J203" s="63"/>
      <c r="K203" s="304"/>
      <c r="L203" s="296"/>
      <c r="M203" s="820"/>
      <c r="AH203" s="539">
        <v>0</v>
      </c>
    </row>
    <row r="204" spans="1:34" ht="0.75" hidden="1" customHeight="1">
      <c r="C204" s="826" t="s">
        <v>1346</v>
      </c>
      <c r="D204" s="1397"/>
      <c r="E204" s="1150"/>
      <c r="F204" s="1285"/>
      <c r="G204" s="306"/>
      <c r="H204" s="304"/>
      <c r="I204" s="49"/>
      <c r="J204" s="63"/>
      <c r="K204" s="304"/>
      <c r="L204" s="296"/>
      <c r="M204" s="820"/>
      <c r="AH204" s="539">
        <v>0</v>
      </c>
    </row>
    <row r="205" spans="1:34" ht="18.75" hidden="1" customHeight="1">
      <c r="A205" s="79" t="s">
        <v>283</v>
      </c>
      <c r="B205" s="79" t="s">
        <v>284</v>
      </c>
      <c r="D205" s="1397"/>
      <c r="E205" s="1150"/>
      <c r="F205" s="1285" t="str">
        <f>INDEX(PT_DIFFERENTIATION_VTAR,MATCH(A205,PT_DIFFERENTIATION_VTAR_ID,0))</f>
        <v>Тариф на подключение (технологическое присоединение) к централизованной системе водоотведения</v>
      </c>
      <c r="G205" s="1373" t="str">
        <f>INDEX(PT_DIFFERENTIATION_NTAR,MATCH(B205,PT_DIFFERENTIATION_NTAR_ID,0))</f>
        <v/>
      </c>
      <c r="H205" s="675"/>
      <c r="I205" s="302"/>
      <c r="J205" s="303"/>
      <c r="K205" s="115"/>
      <c r="L205" s="675" t="s">
        <v>314</v>
      </c>
      <c r="M205" s="820"/>
      <c r="AH205" s="539">
        <v>0</v>
      </c>
    </row>
    <row r="206" spans="1:34" ht="18.75" hidden="1" customHeight="1">
      <c r="C206" s="826" t="s">
        <v>1339</v>
      </c>
      <c r="D206" s="1397"/>
      <c r="E206" s="1150"/>
      <c r="F206" s="1285"/>
      <c r="G206" s="1373"/>
      <c r="H206" s="304"/>
      <c r="I206" s="49" t="s">
        <v>1338</v>
      </c>
      <c r="J206" s="63"/>
      <c r="K206" s="304"/>
      <c r="L206" s="296"/>
      <c r="M206" s="820"/>
      <c r="AH206" s="539">
        <v>0</v>
      </c>
    </row>
    <row r="207" spans="1:34" ht="1.1499999999999999" customHeight="1">
      <c r="C207" s="826" t="s">
        <v>1346</v>
      </c>
      <c r="D207" s="1397"/>
      <c r="E207" s="1150"/>
      <c r="F207" s="1285"/>
      <c r="G207" s="306"/>
      <c r="H207" s="304"/>
      <c r="I207" s="49"/>
      <c r="J207" s="63"/>
      <c r="K207" s="304"/>
      <c r="L207" s="296"/>
      <c r="M207" s="820"/>
      <c r="AH207" s="539">
        <v>1</v>
      </c>
    </row>
    <row r="208" spans="1:34" ht="27.4" customHeight="1">
      <c r="D208" s="757"/>
      <c r="E208" s="91" t="s">
        <v>115</v>
      </c>
      <c r="F208" s="139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396"/>
      <c r="H208" s="1396"/>
      <c r="I208" s="1396"/>
      <c r="J208" s="1396"/>
      <c r="K208" s="1396"/>
      <c r="L208" s="1396"/>
      <c r="M208" s="832"/>
      <c r="AH208" s="539">
        <v>26</v>
      </c>
    </row>
    <row r="209" spans="1:34" ht="60.75" hidden="1" customHeight="1">
      <c r="A209" s="79" t="s">
        <v>165</v>
      </c>
      <c r="B209" s="79" t="s">
        <v>166</v>
      </c>
      <c r="D209" s="1397"/>
      <c r="E209" s="1150"/>
      <c r="F209" s="12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373" t="str">
        <f>INDEX(PT_DIFFERENTIATION_NTAR,MATCH(B209,PT_DIFFERENTIATION_NTAR_ID,0))</f>
        <v/>
      </c>
      <c r="H209" s="675"/>
      <c r="I209" s="302"/>
      <c r="J209" s="303"/>
      <c r="K209" s="115"/>
      <c r="L209" s="675" t="s">
        <v>314</v>
      </c>
      <c r="M209" s="1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AH209" s="539">
        <v>0</v>
      </c>
    </row>
    <row r="210" spans="1:34" ht="18.75" hidden="1" customHeight="1">
      <c r="C210" s="826" t="s">
        <v>1339</v>
      </c>
      <c r="D210" s="1397"/>
      <c r="E210" s="1150"/>
      <c r="F210" s="1285"/>
      <c r="G210" s="1373"/>
      <c r="H210" s="304"/>
      <c r="I210" s="49" t="s">
        <v>1338</v>
      </c>
      <c r="J210" s="63"/>
      <c r="K210" s="304"/>
      <c r="L210" s="296"/>
      <c r="M210" s="1114"/>
      <c r="AH210" s="539">
        <v>0</v>
      </c>
    </row>
    <row r="211" spans="1:34" ht="0.75" hidden="1" customHeight="1">
      <c r="C211" s="826" t="s">
        <v>1346</v>
      </c>
      <c r="D211" s="1397"/>
      <c r="E211" s="1150"/>
      <c r="F211" s="1285"/>
      <c r="G211" s="306"/>
      <c r="H211" s="304"/>
      <c r="I211" s="49"/>
      <c r="J211" s="63"/>
      <c r="K211" s="304"/>
      <c r="L211" s="296"/>
      <c r="M211" s="1114"/>
      <c r="AH211" s="539">
        <v>0</v>
      </c>
    </row>
    <row r="212" spans="1:34" ht="45" hidden="1" customHeight="1">
      <c r="A212" s="79" t="s">
        <v>170</v>
      </c>
      <c r="B212" s="79" t="s">
        <v>171</v>
      </c>
      <c r="D212" s="1397"/>
      <c r="E212" s="1150"/>
      <c r="F212" s="1285" t="str">
        <f>INDEX(PT_DIFFERENTIATION_VTAR,MATCH(A212,PT_DIFFERENTIATION_VTAR_ID,0))</f>
        <v/>
      </c>
      <c r="G212" s="1373" t="str">
        <f>INDEX(PT_DIFFERENTIATION_NTAR,MATCH(B212,PT_DIFFERENTIATION_NTAR_ID,0))</f>
        <v/>
      </c>
      <c r="H212" s="675"/>
      <c r="I212" s="302"/>
      <c r="J212" s="303"/>
      <c r="K212" s="115"/>
      <c r="L212" s="675" t="s">
        <v>314</v>
      </c>
      <c r="M212" s="1115"/>
      <c r="AH212" s="539">
        <v>0</v>
      </c>
    </row>
    <row r="213" spans="1:34" ht="18.75" hidden="1" customHeight="1">
      <c r="C213" s="826" t="s">
        <v>1339</v>
      </c>
      <c r="D213" s="1397"/>
      <c r="E213" s="1150"/>
      <c r="F213" s="1285"/>
      <c r="G213" s="1373"/>
      <c r="H213" s="304"/>
      <c r="I213" s="49" t="s">
        <v>1338</v>
      </c>
      <c r="J213" s="63"/>
      <c r="K213" s="304"/>
      <c r="L213" s="296"/>
      <c r="M213" s="614"/>
      <c r="AH213" s="539">
        <v>0</v>
      </c>
    </row>
    <row r="214" spans="1:34" ht="0.75" hidden="1" customHeight="1">
      <c r="C214" s="826" t="s">
        <v>1346</v>
      </c>
      <c r="D214" s="1397"/>
      <c r="E214" s="1150"/>
      <c r="F214" s="1285"/>
      <c r="G214" s="306"/>
      <c r="H214" s="304"/>
      <c r="I214" s="49"/>
      <c r="J214" s="63"/>
      <c r="K214" s="304"/>
      <c r="L214" s="296"/>
      <c r="M214" s="820"/>
      <c r="AH214" s="539">
        <v>0</v>
      </c>
    </row>
    <row r="215" spans="1:34" ht="45" hidden="1" customHeight="1">
      <c r="A215" s="79" t="s">
        <v>177</v>
      </c>
      <c r="B215" s="79" t="s">
        <v>178</v>
      </c>
      <c r="D215" s="1397"/>
      <c r="E215" s="1150"/>
      <c r="F215" s="12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373" t="str">
        <f>INDEX(PT_DIFFERENTIATION_NTAR,MATCH(B215,PT_DIFFERENTIATION_NTAR_ID,0))</f>
        <v/>
      </c>
      <c r="H215" s="675"/>
      <c r="I215" s="302"/>
      <c r="J215" s="303"/>
      <c r="K215" s="115"/>
      <c r="L215" s="675" t="s">
        <v>314</v>
      </c>
      <c r="M215" s="820"/>
      <c r="AH215" s="539">
        <v>0</v>
      </c>
    </row>
    <row r="216" spans="1:34" ht="18.75" hidden="1" customHeight="1">
      <c r="C216" s="826" t="s">
        <v>1339</v>
      </c>
      <c r="D216" s="1397"/>
      <c r="E216" s="1150"/>
      <c r="F216" s="1285"/>
      <c r="G216" s="1373"/>
      <c r="H216" s="304"/>
      <c r="I216" s="49" t="s">
        <v>1338</v>
      </c>
      <c r="J216" s="63"/>
      <c r="K216" s="304"/>
      <c r="L216" s="296"/>
      <c r="M216" s="820"/>
      <c r="AH216" s="539">
        <v>0</v>
      </c>
    </row>
    <row r="217" spans="1:34" ht="0.75" hidden="1" customHeight="1">
      <c r="C217" s="826" t="s">
        <v>1346</v>
      </c>
      <c r="D217" s="1397"/>
      <c r="E217" s="1150"/>
      <c r="F217" s="1285"/>
      <c r="G217" s="306"/>
      <c r="H217" s="304"/>
      <c r="I217" s="49"/>
      <c r="J217" s="63"/>
      <c r="K217" s="304"/>
      <c r="L217" s="296"/>
      <c r="M217" s="820"/>
      <c r="AH217" s="539">
        <v>0</v>
      </c>
    </row>
    <row r="218" spans="1:34" ht="45" hidden="1" customHeight="1">
      <c r="A218" s="79" t="s">
        <v>183</v>
      </c>
      <c r="B218" s="79" t="s">
        <v>184</v>
      </c>
      <c r="D218" s="1397"/>
      <c r="E218" s="1150"/>
      <c r="F218" s="12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373" t="str">
        <f>INDEX(PT_DIFFERENTIATION_NTAR,MATCH(B218,PT_DIFFERENTIATION_NTAR_ID,0))</f>
        <v/>
      </c>
      <c r="H218" s="675"/>
      <c r="I218" s="302"/>
      <c r="J218" s="303"/>
      <c r="K218" s="115"/>
      <c r="L218" s="675" t="s">
        <v>314</v>
      </c>
      <c r="M218" s="820"/>
      <c r="AH218" s="539">
        <v>0</v>
      </c>
    </row>
    <row r="219" spans="1:34" ht="18.75" hidden="1" customHeight="1">
      <c r="C219" s="826" t="s">
        <v>1339</v>
      </c>
      <c r="D219" s="1397"/>
      <c r="E219" s="1150"/>
      <c r="F219" s="1285"/>
      <c r="G219" s="1373"/>
      <c r="H219" s="304"/>
      <c r="I219" s="49" t="s">
        <v>1338</v>
      </c>
      <c r="J219" s="63"/>
      <c r="K219" s="304"/>
      <c r="L219" s="296"/>
      <c r="M219" s="820"/>
      <c r="AH219" s="539">
        <v>0</v>
      </c>
    </row>
    <row r="220" spans="1:34" ht="0.75" hidden="1" customHeight="1">
      <c r="C220" s="826" t="s">
        <v>1346</v>
      </c>
      <c r="D220" s="1397"/>
      <c r="E220" s="1150"/>
      <c r="F220" s="1285"/>
      <c r="G220" s="306"/>
      <c r="H220" s="304"/>
      <c r="I220" s="49"/>
      <c r="J220" s="63"/>
      <c r="K220" s="304"/>
      <c r="L220" s="296"/>
      <c r="M220" s="820"/>
      <c r="AH220" s="539">
        <v>0</v>
      </c>
    </row>
    <row r="221" spans="1:34" ht="18.75" hidden="1" customHeight="1">
      <c r="A221" s="79" t="s">
        <v>189</v>
      </c>
      <c r="B221" s="79" t="s">
        <v>190</v>
      </c>
      <c r="D221" s="1397"/>
      <c r="E221" s="1150"/>
      <c r="F221" s="1285" t="str">
        <f>INDEX(PT_DIFFERENTIATION_VTAR,MATCH(A221,PT_DIFFERENTIATION_VTAR_ID,0))</f>
        <v>Тарифы на услуги по передаче тепловой энергии</v>
      </c>
      <c r="G221" s="1373" t="str">
        <f>INDEX(PT_DIFFERENTIATION_NTAR,MATCH(B221,PT_DIFFERENTIATION_NTAR_ID,0))</f>
        <v/>
      </c>
      <c r="H221" s="675"/>
      <c r="I221" s="302"/>
      <c r="J221" s="303"/>
      <c r="K221" s="115"/>
      <c r="L221" s="675" t="s">
        <v>314</v>
      </c>
      <c r="M221" s="820"/>
      <c r="AH221" s="539">
        <v>0</v>
      </c>
    </row>
    <row r="222" spans="1:34" ht="18.75" hidden="1" customHeight="1">
      <c r="C222" s="826" t="s">
        <v>1339</v>
      </c>
      <c r="D222" s="1397"/>
      <c r="E222" s="1150"/>
      <c r="F222" s="1285"/>
      <c r="G222" s="1373"/>
      <c r="H222" s="304"/>
      <c r="I222" s="49" t="s">
        <v>1338</v>
      </c>
      <c r="J222" s="63"/>
      <c r="K222" s="304"/>
      <c r="L222" s="296"/>
      <c r="M222" s="820"/>
      <c r="AH222" s="539">
        <v>0</v>
      </c>
    </row>
    <row r="223" spans="1:34" ht="0.75" hidden="1" customHeight="1">
      <c r="C223" s="826" t="s">
        <v>1346</v>
      </c>
      <c r="D223" s="1397"/>
      <c r="E223" s="1150"/>
      <c r="F223" s="1285"/>
      <c r="G223" s="306"/>
      <c r="H223" s="304"/>
      <c r="I223" s="49"/>
      <c r="J223" s="63"/>
      <c r="K223" s="304"/>
      <c r="L223" s="296"/>
      <c r="M223" s="820"/>
      <c r="AH223" s="539">
        <v>0</v>
      </c>
    </row>
    <row r="224" spans="1:34" ht="18.75" hidden="1" customHeight="1">
      <c r="A224" s="79" t="s">
        <v>195</v>
      </c>
      <c r="B224" s="79" t="s">
        <v>196</v>
      </c>
      <c r="D224" s="1397"/>
      <c r="E224" s="1150"/>
      <c r="F224" s="1285" t="str">
        <f>INDEX(PT_DIFFERENTIATION_VTAR,MATCH(A224,PT_DIFFERENTIATION_VTAR_ID,0))</f>
        <v>Тарифы на услуги по передаче теплоносителя</v>
      </c>
      <c r="G224" s="1373" t="str">
        <f>INDEX(PT_DIFFERENTIATION_NTAR,MATCH(B224,PT_DIFFERENTIATION_NTAR_ID,0))</f>
        <v/>
      </c>
      <c r="H224" s="675"/>
      <c r="I224" s="302"/>
      <c r="J224" s="303"/>
      <c r="K224" s="115"/>
      <c r="L224" s="675" t="s">
        <v>314</v>
      </c>
      <c r="M224" s="820"/>
      <c r="AH224" s="539">
        <v>0</v>
      </c>
    </row>
    <row r="225" spans="1:34" ht="18.75" hidden="1" customHeight="1">
      <c r="C225" s="826" t="s">
        <v>1339</v>
      </c>
      <c r="D225" s="1397"/>
      <c r="E225" s="1150"/>
      <c r="F225" s="1285"/>
      <c r="G225" s="1373"/>
      <c r="H225" s="304"/>
      <c r="I225" s="49" t="s">
        <v>1338</v>
      </c>
      <c r="J225" s="63"/>
      <c r="K225" s="304"/>
      <c r="L225" s="296"/>
      <c r="M225" s="820"/>
      <c r="AH225" s="539">
        <v>0</v>
      </c>
    </row>
    <row r="226" spans="1:34" ht="0.75" hidden="1" customHeight="1">
      <c r="C226" s="826" t="s">
        <v>1346</v>
      </c>
      <c r="D226" s="1397"/>
      <c r="E226" s="1150"/>
      <c r="F226" s="1285"/>
      <c r="G226" s="306"/>
      <c r="H226" s="304"/>
      <c r="I226" s="49"/>
      <c r="J226" s="63"/>
      <c r="K226" s="304"/>
      <c r="L226" s="296"/>
      <c r="M226" s="820"/>
      <c r="AH226" s="539">
        <v>0</v>
      </c>
    </row>
    <row r="227" spans="1:34" ht="18.75" hidden="1" customHeight="1">
      <c r="A227" s="79" t="s">
        <v>201</v>
      </c>
      <c r="B227" s="79" t="s">
        <v>202</v>
      </c>
      <c r="D227" s="1397"/>
      <c r="E227" s="1150"/>
      <c r="F227" s="12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373" t="str">
        <f>INDEX(PT_DIFFERENTIATION_NTAR,MATCH(B227,PT_DIFFERENTIATION_NTAR_ID,0))</f>
        <v/>
      </c>
      <c r="H227" s="675"/>
      <c r="I227" s="302"/>
      <c r="J227" s="303"/>
      <c r="K227" s="115"/>
      <c r="L227" s="675" t="s">
        <v>314</v>
      </c>
      <c r="M227" s="820"/>
      <c r="AH227" s="539">
        <v>0</v>
      </c>
    </row>
    <row r="228" spans="1:34" ht="18.75" hidden="1" customHeight="1">
      <c r="C228" s="826" t="s">
        <v>1339</v>
      </c>
      <c r="D228" s="1397"/>
      <c r="E228" s="1150"/>
      <c r="F228" s="1285"/>
      <c r="G228" s="1373"/>
      <c r="H228" s="304"/>
      <c r="I228" s="49" t="s">
        <v>1338</v>
      </c>
      <c r="J228" s="63"/>
      <c r="K228" s="304"/>
      <c r="L228" s="296"/>
      <c r="M228" s="820"/>
      <c r="AH228" s="539">
        <v>0</v>
      </c>
    </row>
    <row r="229" spans="1:34" ht="0.75" hidden="1" customHeight="1">
      <c r="C229" s="826" t="s">
        <v>1346</v>
      </c>
      <c r="D229" s="1397"/>
      <c r="E229" s="1150"/>
      <c r="F229" s="1285"/>
      <c r="G229" s="306"/>
      <c r="H229" s="304"/>
      <c r="I229" s="49"/>
      <c r="J229" s="63"/>
      <c r="K229" s="304"/>
      <c r="L229" s="296"/>
      <c r="M229" s="820"/>
      <c r="AH229" s="539">
        <v>0</v>
      </c>
    </row>
    <row r="230" spans="1:34" ht="18.75" hidden="1" customHeight="1">
      <c r="A230" s="79" t="s">
        <v>207</v>
      </c>
      <c r="B230" s="79" t="s">
        <v>208</v>
      </c>
      <c r="D230" s="1397"/>
      <c r="E230" s="1150"/>
      <c r="F230" s="1285" t="str">
        <f>INDEX(PT_DIFFERENTIATION_VTAR,MATCH(A230,PT_DIFFERENTIATION_VTAR_ID,0))</f>
        <v>Плата за подключение (технологическое присоединение) к системе теплоснабжения</v>
      </c>
      <c r="G230" s="1373" t="str">
        <f>INDEX(PT_DIFFERENTIATION_NTAR,MATCH(B230,PT_DIFFERENTIATION_NTAR_ID,0))</f>
        <v/>
      </c>
      <c r="H230" s="675"/>
      <c r="I230" s="302"/>
      <c r="J230" s="303"/>
      <c r="K230" s="115"/>
      <c r="L230" s="675" t="s">
        <v>314</v>
      </c>
      <c r="M230" s="820"/>
      <c r="AH230" s="539">
        <v>0</v>
      </c>
    </row>
    <row r="231" spans="1:34" ht="18.75" hidden="1" customHeight="1">
      <c r="C231" s="826" t="s">
        <v>1339</v>
      </c>
      <c r="D231" s="1397"/>
      <c r="E231" s="1150"/>
      <c r="F231" s="1285"/>
      <c r="G231" s="1373"/>
      <c r="H231" s="304"/>
      <c r="I231" s="49" t="s">
        <v>1338</v>
      </c>
      <c r="J231" s="63"/>
      <c r="K231" s="304"/>
      <c r="L231" s="296"/>
      <c r="M231" s="820"/>
      <c r="AH231" s="539">
        <v>0</v>
      </c>
    </row>
    <row r="232" spans="1:34" ht="0.75" hidden="1" customHeight="1">
      <c r="C232" s="826" t="s">
        <v>1346</v>
      </c>
      <c r="D232" s="1397"/>
      <c r="E232" s="1150"/>
      <c r="F232" s="1285"/>
      <c r="G232" s="306"/>
      <c r="H232" s="304"/>
      <c r="I232" s="49"/>
      <c r="J232" s="63"/>
      <c r="K232" s="304"/>
      <c r="L232" s="296"/>
      <c r="M232" s="820"/>
      <c r="AH232" s="539">
        <v>0</v>
      </c>
    </row>
    <row r="233" spans="1:34" ht="18.75" hidden="1" customHeight="1">
      <c r="A233" s="79" t="s">
        <v>213</v>
      </c>
      <c r="B233" s="79" t="s">
        <v>214</v>
      </c>
      <c r="D233" s="1397"/>
      <c r="E233" s="1150"/>
      <c r="F233" s="1285" t="str">
        <f>INDEX(PT_DIFFERENTIATION_VTAR,MATCH(A233,PT_DIFFERENTIATION_VTAR_ID,0))</f>
        <v>Плата за подключение (технологическое присоединение) к системе теплоснабжения (индивидуальная)</v>
      </c>
      <c r="G233" s="1373" t="str">
        <f>INDEX(PT_DIFFERENTIATION_NTAR,MATCH(B233,PT_DIFFERENTIATION_NTAR_ID,0))</f>
        <v/>
      </c>
      <c r="H233" s="675"/>
      <c r="I233" s="302"/>
      <c r="J233" s="303"/>
      <c r="K233" s="115"/>
      <c r="L233" s="675" t="s">
        <v>314</v>
      </c>
      <c r="M233" s="820"/>
      <c r="AH233" s="539">
        <v>0</v>
      </c>
    </row>
    <row r="234" spans="1:34" ht="18.75" hidden="1" customHeight="1">
      <c r="C234" s="826" t="s">
        <v>1339</v>
      </c>
      <c r="D234" s="1397"/>
      <c r="E234" s="1150"/>
      <c r="F234" s="1285"/>
      <c r="G234" s="1373"/>
      <c r="H234" s="304"/>
      <c r="I234" s="49" t="s">
        <v>1338</v>
      </c>
      <c r="J234" s="63"/>
      <c r="K234" s="304"/>
      <c r="L234" s="296"/>
      <c r="M234" s="820"/>
      <c r="AH234" s="539">
        <v>0</v>
      </c>
    </row>
    <row r="235" spans="1:34" ht="0.75" hidden="1" customHeight="1">
      <c r="C235" s="826" t="s">
        <v>1346</v>
      </c>
      <c r="D235" s="1397"/>
      <c r="E235" s="1150"/>
      <c r="F235" s="1285"/>
      <c r="G235" s="306"/>
      <c r="H235" s="304"/>
      <c r="I235" s="49"/>
      <c r="J235" s="63"/>
      <c r="K235" s="304"/>
      <c r="L235" s="296"/>
      <c r="M235" s="820"/>
      <c r="AH235" s="539">
        <v>0</v>
      </c>
    </row>
    <row r="236" spans="1:34" ht="18.75" hidden="1" customHeight="1">
      <c r="A236" s="79" t="s">
        <v>233</v>
      </c>
      <c r="B236" s="79" t="s">
        <v>234</v>
      </c>
      <c r="D236" s="1397"/>
      <c r="E236" s="1150"/>
      <c r="F236" s="1285" t="str">
        <f>INDEX(PT_DIFFERENTIATION_VTAR,MATCH(A236,PT_DIFFERENTIATION_VTAR_ID,0))</f>
        <v>Тариф на питьевую воду (питьевое водоснабжение)</v>
      </c>
      <c r="G236" s="1373" t="str">
        <f>INDEX(PT_DIFFERENTIATION_NTAR,MATCH(B236,PT_DIFFERENTIATION_NTAR_ID,0))</f>
        <v/>
      </c>
      <c r="H236" s="675"/>
      <c r="I236" s="302"/>
      <c r="J236" s="303"/>
      <c r="K236" s="115"/>
      <c r="L236" s="675" t="s">
        <v>314</v>
      </c>
      <c r="M236" s="820"/>
      <c r="AH236" s="539">
        <v>0</v>
      </c>
    </row>
    <row r="237" spans="1:34" ht="18.75" hidden="1" customHeight="1">
      <c r="C237" s="826" t="s">
        <v>1339</v>
      </c>
      <c r="D237" s="1397"/>
      <c r="E237" s="1150"/>
      <c r="F237" s="1285"/>
      <c r="G237" s="1373"/>
      <c r="H237" s="304"/>
      <c r="I237" s="49" t="s">
        <v>1338</v>
      </c>
      <c r="J237" s="63"/>
      <c r="K237" s="304"/>
      <c r="L237" s="296"/>
      <c r="M237" s="820"/>
      <c r="AH237" s="539">
        <v>0</v>
      </c>
    </row>
    <row r="238" spans="1:34" ht="0.75" hidden="1" customHeight="1">
      <c r="C238" s="826" t="s">
        <v>1346</v>
      </c>
      <c r="D238" s="1397"/>
      <c r="E238" s="1150"/>
      <c r="F238" s="1285"/>
      <c r="G238" s="306"/>
      <c r="H238" s="304"/>
      <c r="I238" s="49"/>
      <c r="J238" s="63"/>
      <c r="K238" s="304"/>
      <c r="L238" s="296"/>
      <c r="M238" s="820"/>
      <c r="AH238" s="539">
        <v>0</v>
      </c>
    </row>
    <row r="239" spans="1:34" ht="18.75" hidden="1" customHeight="1">
      <c r="A239" s="79" t="s">
        <v>238</v>
      </c>
      <c r="B239" s="79" t="s">
        <v>239</v>
      </c>
      <c r="D239" s="1397"/>
      <c r="E239" s="1150"/>
      <c r="F239" s="1285" t="str">
        <f>INDEX(PT_DIFFERENTIATION_VTAR,MATCH(A239,PT_DIFFERENTIATION_VTAR_ID,0))</f>
        <v>Тариф на техническую воду</v>
      </c>
      <c r="G239" s="1373" t="str">
        <f>INDEX(PT_DIFFERENTIATION_NTAR,MATCH(B239,PT_DIFFERENTIATION_NTAR_ID,0))</f>
        <v/>
      </c>
      <c r="H239" s="675"/>
      <c r="I239" s="302"/>
      <c r="J239" s="303"/>
      <c r="K239" s="115"/>
      <c r="L239" s="675" t="s">
        <v>314</v>
      </c>
      <c r="M239" s="820"/>
      <c r="AH239" s="539">
        <v>0</v>
      </c>
    </row>
    <row r="240" spans="1:34" ht="18.75" hidden="1" customHeight="1">
      <c r="C240" s="826" t="s">
        <v>1339</v>
      </c>
      <c r="D240" s="1397"/>
      <c r="E240" s="1150"/>
      <c r="F240" s="1285"/>
      <c r="G240" s="1373"/>
      <c r="H240" s="304"/>
      <c r="I240" s="49" t="s">
        <v>1338</v>
      </c>
      <c r="J240" s="63"/>
      <c r="K240" s="304"/>
      <c r="L240" s="296"/>
      <c r="M240" s="820"/>
      <c r="AH240" s="539">
        <v>0</v>
      </c>
    </row>
    <row r="241" spans="1:34" ht="0.75" hidden="1" customHeight="1">
      <c r="C241" s="826" t="s">
        <v>1346</v>
      </c>
      <c r="D241" s="1397"/>
      <c r="E241" s="1150"/>
      <c r="F241" s="1285"/>
      <c r="G241" s="306"/>
      <c r="H241" s="304"/>
      <c r="I241" s="49"/>
      <c r="J241" s="63"/>
      <c r="K241" s="304"/>
      <c r="L241" s="296"/>
      <c r="M241" s="820"/>
      <c r="AH241" s="539">
        <v>0</v>
      </c>
    </row>
    <row r="242" spans="1:34" ht="18.75" hidden="1" customHeight="1">
      <c r="A242" s="79" t="s">
        <v>243</v>
      </c>
      <c r="B242" s="79" t="s">
        <v>244</v>
      </c>
      <c r="D242" s="1397"/>
      <c r="E242" s="1150"/>
      <c r="F242" s="1285" t="str">
        <f>INDEX(PT_DIFFERENTIATION_VTAR,MATCH(A242,PT_DIFFERENTIATION_VTAR_ID,0))</f>
        <v>Тариф на транспортировку воды</v>
      </c>
      <c r="G242" s="1373" t="str">
        <f>INDEX(PT_DIFFERENTIATION_NTAR,MATCH(B242,PT_DIFFERENTIATION_NTAR_ID,0))</f>
        <v/>
      </c>
      <c r="H242" s="675"/>
      <c r="I242" s="302"/>
      <c r="J242" s="303"/>
      <c r="K242" s="115"/>
      <c r="L242" s="675" t="s">
        <v>314</v>
      </c>
      <c r="M242" s="820"/>
      <c r="AH242" s="539">
        <v>0</v>
      </c>
    </row>
    <row r="243" spans="1:34" ht="18.75" hidden="1" customHeight="1">
      <c r="C243" s="826" t="s">
        <v>1339</v>
      </c>
      <c r="D243" s="1397"/>
      <c r="E243" s="1150"/>
      <c r="F243" s="1285"/>
      <c r="G243" s="1373"/>
      <c r="H243" s="304"/>
      <c r="I243" s="49" t="s">
        <v>1338</v>
      </c>
      <c r="J243" s="63"/>
      <c r="K243" s="304"/>
      <c r="L243" s="296"/>
      <c r="M243" s="820"/>
      <c r="AH243" s="539">
        <v>0</v>
      </c>
    </row>
    <row r="244" spans="1:34" ht="0.75" hidden="1" customHeight="1">
      <c r="C244" s="826" t="s">
        <v>1346</v>
      </c>
      <c r="D244" s="1397"/>
      <c r="E244" s="1150"/>
      <c r="F244" s="1285"/>
      <c r="G244" s="306"/>
      <c r="H244" s="304"/>
      <c r="I244" s="49"/>
      <c r="J244" s="63"/>
      <c r="K244" s="304"/>
      <c r="L244" s="296"/>
      <c r="M244" s="820"/>
      <c r="AH244" s="539">
        <v>0</v>
      </c>
    </row>
    <row r="245" spans="1:34" ht="18.75" hidden="1" customHeight="1">
      <c r="A245" s="79" t="s">
        <v>248</v>
      </c>
      <c r="B245" s="79" t="s">
        <v>249</v>
      </c>
      <c r="D245" s="1397"/>
      <c r="E245" s="1150"/>
      <c r="F245" s="1285" t="str">
        <f>INDEX(PT_DIFFERENTIATION_VTAR,MATCH(A245,PT_DIFFERENTIATION_VTAR_ID,0))</f>
        <v>Тариф на подвоз воды</v>
      </c>
      <c r="G245" s="1373" t="str">
        <f>INDEX(PT_DIFFERENTIATION_NTAR,MATCH(B245,PT_DIFFERENTIATION_NTAR_ID,0))</f>
        <v/>
      </c>
      <c r="H245" s="675"/>
      <c r="I245" s="302"/>
      <c r="J245" s="303"/>
      <c r="K245" s="115"/>
      <c r="L245" s="675" t="s">
        <v>314</v>
      </c>
      <c r="M245" s="820"/>
      <c r="AH245" s="539">
        <v>0</v>
      </c>
    </row>
    <row r="246" spans="1:34" ht="18.75" hidden="1" customHeight="1">
      <c r="C246" s="826" t="s">
        <v>1339</v>
      </c>
      <c r="D246" s="1397"/>
      <c r="E246" s="1150"/>
      <c r="F246" s="1285"/>
      <c r="G246" s="1373"/>
      <c r="H246" s="304"/>
      <c r="I246" s="49" t="s">
        <v>1338</v>
      </c>
      <c r="J246" s="63"/>
      <c r="K246" s="304"/>
      <c r="L246" s="296"/>
      <c r="M246" s="820"/>
      <c r="AH246" s="539">
        <v>0</v>
      </c>
    </row>
    <row r="247" spans="1:34" ht="0.75" hidden="1" customHeight="1">
      <c r="C247" s="826" t="s">
        <v>1346</v>
      </c>
      <c r="D247" s="1397"/>
      <c r="E247" s="1150"/>
      <c r="F247" s="1285"/>
      <c r="G247" s="306"/>
      <c r="H247" s="304"/>
      <c r="I247" s="49"/>
      <c r="J247" s="63"/>
      <c r="K247" s="304"/>
      <c r="L247" s="296"/>
      <c r="M247" s="820"/>
      <c r="AH247" s="539">
        <v>0</v>
      </c>
    </row>
    <row r="248" spans="1:34" ht="18.75" hidden="1" customHeight="1">
      <c r="A248" s="79" t="s">
        <v>253</v>
      </c>
      <c r="B248" s="79" t="s">
        <v>254</v>
      </c>
      <c r="D248" s="1397"/>
      <c r="E248" s="1150"/>
      <c r="F248" s="12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373" t="str">
        <f>INDEX(PT_DIFFERENTIATION_NTAR,MATCH(B248,PT_DIFFERENTIATION_NTAR_ID,0))</f>
        <v/>
      </c>
      <c r="H248" s="675"/>
      <c r="I248" s="302"/>
      <c r="J248" s="303"/>
      <c r="K248" s="115"/>
      <c r="L248" s="675" t="s">
        <v>314</v>
      </c>
      <c r="M248" s="820"/>
      <c r="AH248" s="539">
        <v>0</v>
      </c>
    </row>
    <row r="249" spans="1:34" ht="18.75" hidden="1" customHeight="1">
      <c r="C249" s="826" t="s">
        <v>1339</v>
      </c>
      <c r="D249" s="1397"/>
      <c r="E249" s="1150"/>
      <c r="F249" s="1285"/>
      <c r="G249" s="1373"/>
      <c r="H249" s="304"/>
      <c r="I249" s="49" t="s">
        <v>1338</v>
      </c>
      <c r="J249" s="63"/>
      <c r="K249" s="304"/>
      <c r="L249" s="296"/>
      <c r="M249" s="820"/>
      <c r="AH249" s="539">
        <v>0</v>
      </c>
    </row>
    <row r="250" spans="1:34" ht="0.75" hidden="1" customHeight="1">
      <c r="C250" s="826" t="s">
        <v>1346</v>
      </c>
      <c r="D250" s="1397"/>
      <c r="E250" s="1150"/>
      <c r="F250" s="1285"/>
      <c r="G250" s="306"/>
      <c r="H250" s="304"/>
      <c r="I250" s="49"/>
      <c r="J250" s="63"/>
      <c r="K250" s="304"/>
      <c r="L250" s="296"/>
      <c r="M250" s="820"/>
      <c r="AH250" s="539">
        <v>0</v>
      </c>
    </row>
    <row r="251" spans="1:34" ht="18.75" hidden="1" customHeight="1">
      <c r="A251" s="79" t="s">
        <v>258</v>
      </c>
      <c r="B251" s="79" t="s">
        <v>259</v>
      </c>
      <c r="D251" s="1397"/>
      <c r="E251" s="1150"/>
      <c r="F251" s="1285" t="str">
        <f>INDEX(PT_DIFFERENTIATION_VTAR,MATCH(A251,PT_DIFFERENTIATION_VTAR_ID,0))</f>
        <v>Тариф на горячую воду (горячее водоснабжение)</v>
      </c>
      <c r="G251" s="1373" t="str">
        <f>INDEX(PT_DIFFERENTIATION_NTAR,MATCH(B251,PT_DIFFERENTIATION_NTAR_ID,0))</f>
        <v/>
      </c>
      <c r="H251" s="675"/>
      <c r="I251" s="302"/>
      <c r="J251" s="303"/>
      <c r="K251" s="115"/>
      <c r="L251" s="675" t="s">
        <v>314</v>
      </c>
      <c r="M251" s="820"/>
      <c r="AH251" s="539">
        <v>0</v>
      </c>
    </row>
    <row r="252" spans="1:34" ht="18.75" hidden="1" customHeight="1">
      <c r="C252" s="826" t="s">
        <v>1339</v>
      </c>
      <c r="D252" s="1397"/>
      <c r="E252" s="1150"/>
      <c r="F252" s="1285"/>
      <c r="G252" s="1373"/>
      <c r="H252" s="304"/>
      <c r="I252" s="49" t="s">
        <v>1338</v>
      </c>
      <c r="J252" s="63"/>
      <c r="K252" s="304"/>
      <c r="L252" s="296"/>
      <c r="M252" s="820"/>
      <c r="AH252" s="539">
        <v>0</v>
      </c>
    </row>
    <row r="253" spans="1:34" ht="0.75" hidden="1" customHeight="1">
      <c r="C253" s="826" t="s">
        <v>1346</v>
      </c>
      <c r="D253" s="1397"/>
      <c r="E253" s="1150"/>
      <c r="F253" s="1285"/>
      <c r="G253" s="306"/>
      <c r="H253" s="304"/>
      <c r="I253" s="49"/>
      <c r="J253" s="63"/>
      <c r="K253" s="304"/>
      <c r="L253" s="296"/>
      <c r="M253" s="820"/>
      <c r="AH253" s="539">
        <v>0</v>
      </c>
    </row>
    <row r="254" spans="1:34" ht="18.75" hidden="1" customHeight="1">
      <c r="A254" s="79" t="s">
        <v>263</v>
      </c>
      <c r="B254" s="79" t="s">
        <v>264</v>
      </c>
      <c r="D254" s="1397"/>
      <c r="E254" s="1150"/>
      <c r="F254" s="1285" t="str">
        <f>INDEX(PT_DIFFERENTIATION_VTAR,MATCH(A254,PT_DIFFERENTIATION_VTAR_ID,0))</f>
        <v>Тариф на транспортировку горячей воды</v>
      </c>
      <c r="G254" s="1373" t="str">
        <f>INDEX(PT_DIFFERENTIATION_NTAR,MATCH(B254,PT_DIFFERENTIATION_NTAR_ID,0))</f>
        <v/>
      </c>
      <c r="H254" s="675"/>
      <c r="I254" s="302"/>
      <c r="J254" s="303"/>
      <c r="K254" s="115"/>
      <c r="L254" s="675" t="s">
        <v>314</v>
      </c>
      <c r="M254" s="820"/>
      <c r="AH254" s="539">
        <v>0</v>
      </c>
    </row>
    <row r="255" spans="1:34" ht="18.75" hidden="1" customHeight="1">
      <c r="C255" s="826" t="s">
        <v>1339</v>
      </c>
      <c r="D255" s="1397"/>
      <c r="E255" s="1150"/>
      <c r="F255" s="1285"/>
      <c r="G255" s="1373"/>
      <c r="H255" s="304"/>
      <c r="I255" s="49" t="s">
        <v>1338</v>
      </c>
      <c r="J255" s="63"/>
      <c r="K255" s="304"/>
      <c r="L255" s="296"/>
      <c r="M255" s="820"/>
      <c r="AH255" s="539">
        <v>0</v>
      </c>
    </row>
    <row r="256" spans="1:34" ht="0.75" hidden="1" customHeight="1">
      <c r="C256" s="826" t="s">
        <v>1346</v>
      </c>
      <c r="D256" s="1397"/>
      <c r="E256" s="1150"/>
      <c r="F256" s="1285"/>
      <c r="G256" s="306"/>
      <c r="H256" s="304"/>
      <c r="I256" s="49"/>
      <c r="J256" s="63"/>
      <c r="K256" s="304"/>
      <c r="L256" s="296"/>
      <c r="M256" s="820"/>
      <c r="AH256" s="539">
        <v>0</v>
      </c>
    </row>
    <row r="257" spans="1:34" ht="18.75" hidden="1" customHeight="1">
      <c r="A257" s="79" t="s">
        <v>268</v>
      </c>
      <c r="B257" s="79" t="s">
        <v>269</v>
      </c>
      <c r="D257" s="1397"/>
      <c r="E257" s="1150"/>
      <c r="F257" s="12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1373" t="str">
        <f>INDEX(PT_DIFFERENTIATION_NTAR,MATCH(B257,PT_DIFFERENTIATION_NTAR_ID,0))</f>
        <v/>
      </c>
      <c r="H257" s="675"/>
      <c r="I257" s="302"/>
      <c r="J257" s="303"/>
      <c r="K257" s="115"/>
      <c r="L257" s="675" t="s">
        <v>314</v>
      </c>
      <c r="M257" s="820"/>
      <c r="AH257" s="539">
        <v>0</v>
      </c>
    </row>
    <row r="258" spans="1:34" ht="18.75" hidden="1" customHeight="1">
      <c r="C258" s="826" t="s">
        <v>1339</v>
      </c>
      <c r="D258" s="1397"/>
      <c r="E258" s="1150"/>
      <c r="F258" s="1285"/>
      <c r="G258" s="1373"/>
      <c r="H258" s="304"/>
      <c r="I258" s="49" t="s">
        <v>1338</v>
      </c>
      <c r="J258" s="63"/>
      <c r="K258" s="304"/>
      <c r="L258" s="296"/>
      <c r="M258" s="820"/>
      <c r="AH258" s="539">
        <v>0</v>
      </c>
    </row>
    <row r="259" spans="1:34" ht="0.75" hidden="1" customHeight="1">
      <c r="C259" s="826" t="s">
        <v>1346</v>
      </c>
      <c r="D259" s="1397"/>
      <c r="E259" s="1150"/>
      <c r="F259" s="1285"/>
      <c r="G259" s="306"/>
      <c r="H259" s="304"/>
      <c r="I259" s="49"/>
      <c r="J259" s="63"/>
      <c r="K259" s="304"/>
      <c r="L259" s="296"/>
      <c r="M259" s="820"/>
      <c r="AH259" s="539">
        <v>0</v>
      </c>
    </row>
    <row r="260" spans="1:34" ht="18.75" hidden="1" customHeight="1">
      <c r="A260" s="79" t="s">
        <v>273</v>
      </c>
      <c r="B260" s="79" t="s">
        <v>274</v>
      </c>
      <c r="D260" s="1397"/>
      <c r="E260" s="1150"/>
      <c r="F260" s="1285" t="str">
        <f>INDEX(PT_DIFFERENTIATION_VTAR,MATCH(A260,PT_DIFFERENTIATION_VTAR_ID,0))</f>
        <v>Тариф на водоотведение</v>
      </c>
      <c r="G260" s="1373" t="str">
        <f>INDEX(PT_DIFFERENTIATION_NTAR,MATCH(B260,PT_DIFFERENTIATION_NTAR_ID,0))</f>
        <v/>
      </c>
      <c r="H260" s="675"/>
      <c r="I260" s="302"/>
      <c r="J260" s="303"/>
      <c r="K260" s="115"/>
      <c r="L260" s="675" t="s">
        <v>314</v>
      </c>
      <c r="M260" s="820"/>
      <c r="AH260" s="539">
        <v>0</v>
      </c>
    </row>
    <row r="261" spans="1:34" ht="18.75" hidden="1" customHeight="1">
      <c r="C261" s="826" t="s">
        <v>1339</v>
      </c>
      <c r="D261" s="1397"/>
      <c r="E261" s="1150"/>
      <c r="F261" s="1285"/>
      <c r="G261" s="1373"/>
      <c r="H261" s="304"/>
      <c r="I261" s="49" t="s">
        <v>1338</v>
      </c>
      <c r="J261" s="63"/>
      <c r="K261" s="304"/>
      <c r="L261" s="296"/>
      <c r="M261" s="820"/>
      <c r="AH261" s="539">
        <v>0</v>
      </c>
    </row>
    <row r="262" spans="1:34" ht="0.75" hidden="1" customHeight="1">
      <c r="C262" s="826" t="s">
        <v>1346</v>
      </c>
      <c r="D262" s="1397"/>
      <c r="E262" s="1150"/>
      <c r="F262" s="1285"/>
      <c r="G262" s="306"/>
      <c r="H262" s="304"/>
      <c r="I262" s="49"/>
      <c r="J262" s="63"/>
      <c r="K262" s="304"/>
      <c r="L262" s="296"/>
      <c r="M262" s="820"/>
      <c r="AH262" s="539">
        <v>0</v>
      </c>
    </row>
    <row r="263" spans="1:34" ht="18.75" hidden="1" customHeight="1">
      <c r="A263" s="79" t="s">
        <v>278</v>
      </c>
      <c r="B263" s="79" t="s">
        <v>279</v>
      </c>
      <c r="D263" s="1397"/>
      <c r="E263" s="1150"/>
      <c r="F263" s="1285" t="str">
        <f>INDEX(PT_DIFFERENTIATION_VTAR,MATCH(A263,PT_DIFFERENTIATION_VTAR_ID,0))</f>
        <v>Тариф на транспортировку сточных вод</v>
      </c>
      <c r="G263" s="1373" t="str">
        <f>INDEX(PT_DIFFERENTIATION_NTAR,MATCH(B263,PT_DIFFERENTIATION_NTAR_ID,0))</f>
        <v/>
      </c>
      <c r="H263" s="675"/>
      <c r="I263" s="302"/>
      <c r="J263" s="303"/>
      <c r="K263" s="115"/>
      <c r="L263" s="675" t="s">
        <v>314</v>
      </c>
      <c r="M263" s="820"/>
      <c r="AH263" s="539">
        <v>0</v>
      </c>
    </row>
    <row r="264" spans="1:34" ht="18.75" hidden="1" customHeight="1">
      <c r="C264" s="826" t="s">
        <v>1339</v>
      </c>
      <c r="D264" s="1397"/>
      <c r="E264" s="1150"/>
      <c r="F264" s="1285"/>
      <c r="G264" s="1373"/>
      <c r="H264" s="304"/>
      <c r="I264" s="49" t="s">
        <v>1338</v>
      </c>
      <c r="J264" s="63"/>
      <c r="K264" s="304"/>
      <c r="L264" s="296"/>
      <c r="M264" s="820"/>
      <c r="AH264" s="539">
        <v>0</v>
      </c>
    </row>
    <row r="265" spans="1:34" ht="0.75" hidden="1" customHeight="1">
      <c r="C265" s="826" t="s">
        <v>1346</v>
      </c>
      <c r="D265" s="1397"/>
      <c r="E265" s="1150"/>
      <c r="F265" s="1285"/>
      <c r="G265" s="306"/>
      <c r="H265" s="304"/>
      <c r="I265" s="49"/>
      <c r="J265" s="63"/>
      <c r="K265" s="304"/>
      <c r="L265" s="296"/>
      <c r="M265" s="820"/>
      <c r="AH265" s="539">
        <v>0</v>
      </c>
    </row>
    <row r="266" spans="1:34" ht="18.75" hidden="1" customHeight="1">
      <c r="A266" s="79" t="s">
        <v>283</v>
      </c>
      <c r="B266" s="79" t="s">
        <v>284</v>
      </c>
      <c r="D266" s="1397"/>
      <c r="E266" s="1150"/>
      <c r="F266" s="1285" t="str">
        <f>INDEX(PT_DIFFERENTIATION_VTAR,MATCH(A266,PT_DIFFERENTIATION_VTAR_ID,0))</f>
        <v>Тариф на подключение (технологическое присоединение) к централизованной системе водоотведения</v>
      </c>
      <c r="G266" s="1373" t="str">
        <f>INDEX(PT_DIFFERENTIATION_NTAR,MATCH(B266,PT_DIFFERENTIATION_NTAR_ID,0))</f>
        <v/>
      </c>
      <c r="H266" s="675"/>
      <c r="I266" s="302"/>
      <c r="J266" s="303"/>
      <c r="K266" s="115"/>
      <c r="L266" s="675" t="s">
        <v>314</v>
      </c>
      <c r="M266" s="820"/>
      <c r="AH266" s="539">
        <v>0</v>
      </c>
    </row>
    <row r="267" spans="1:34" ht="18.75" hidden="1" customHeight="1">
      <c r="C267" s="826" t="s">
        <v>1339</v>
      </c>
      <c r="D267" s="1397"/>
      <c r="E267" s="1150"/>
      <c r="F267" s="1285"/>
      <c r="G267" s="1373"/>
      <c r="H267" s="304"/>
      <c r="I267" s="49" t="s">
        <v>1338</v>
      </c>
      <c r="J267" s="63"/>
      <c r="K267" s="304"/>
      <c r="L267" s="296"/>
      <c r="M267" s="820"/>
      <c r="AH267" s="539">
        <v>0</v>
      </c>
    </row>
    <row r="268" spans="1:34" ht="1.1499999999999999" customHeight="1">
      <c r="C268" s="826" t="s">
        <v>1346</v>
      </c>
      <c r="D268" s="1397"/>
      <c r="E268" s="1150"/>
      <c r="F268" s="1285"/>
      <c r="G268" s="306"/>
      <c r="H268" s="304"/>
      <c r="I268" s="49"/>
      <c r="J268" s="63"/>
      <c r="K268" s="304"/>
      <c r="L268" s="296"/>
      <c r="M268" s="820"/>
      <c r="AH268" s="539">
        <v>1</v>
      </c>
    </row>
    <row r="269" spans="1:34" ht="27.4" customHeight="1">
      <c r="D269" s="757"/>
      <c r="E269" s="91" t="s">
        <v>91</v>
      </c>
      <c r="F269" s="139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396"/>
      <c r="H269" s="1396"/>
      <c r="I269" s="1396"/>
      <c r="J269" s="1396"/>
      <c r="K269" s="1396"/>
      <c r="L269" s="1396"/>
      <c r="M269" s="832"/>
      <c r="AH269" s="539">
        <v>26</v>
      </c>
    </row>
    <row r="270" spans="1:34" ht="60.75" hidden="1" customHeight="1">
      <c r="A270" s="79" t="s">
        <v>165</v>
      </c>
      <c r="B270" s="79" t="s">
        <v>166</v>
      </c>
      <c r="D270" s="1397"/>
      <c r="E270" s="1150"/>
      <c r="F270" s="12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373" t="str">
        <f>INDEX(PT_DIFFERENTIATION_NTAR,MATCH(B270,PT_DIFFERENTIATION_NTAR_ID,0))</f>
        <v/>
      </c>
      <c r="H270" s="675"/>
      <c r="I270" s="302"/>
      <c r="J270" s="303"/>
      <c r="K270" s="115"/>
      <c r="L270" s="675" t="s">
        <v>314</v>
      </c>
      <c r="M270" s="1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AH270" s="539">
        <v>0</v>
      </c>
    </row>
    <row r="271" spans="1:34" ht="18.75" hidden="1" customHeight="1">
      <c r="C271" s="826" t="s">
        <v>1339</v>
      </c>
      <c r="D271" s="1397"/>
      <c r="E271" s="1150"/>
      <c r="F271" s="1285"/>
      <c r="G271" s="1373"/>
      <c r="H271" s="304"/>
      <c r="I271" s="49" t="s">
        <v>1338</v>
      </c>
      <c r="J271" s="63"/>
      <c r="K271" s="304"/>
      <c r="L271" s="296"/>
      <c r="M271" s="1114"/>
      <c r="AH271" s="539">
        <v>0</v>
      </c>
    </row>
    <row r="272" spans="1:34" ht="0.75" hidden="1" customHeight="1">
      <c r="C272" s="826" t="s">
        <v>1346</v>
      </c>
      <c r="D272" s="1397"/>
      <c r="E272" s="1150"/>
      <c r="F272" s="1285"/>
      <c r="G272" s="306"/>
      <c r="H272" s="304"/>
      <c r="I272" s="49"/>
      <c r="J272" s="63"/>
      <c r="K272" s="304"/>
      <c r="L272" s="296"/>
      <c r="M272" s="1114"/>
      <c r="AH272" s="539">
        <v>0</v>
      </c>
    </row>
    <row r="273" spans="1:34" ht="45" hidden="1" customHeight="1">
      <c r="A273" s="79" t="s">
        <v>170</v>
      </c>
      <c r="B273" s="79" t="s">
        <v>171</v>
      </c>
      <c r="D273" s="1397"/>
      <c r="E273" s="1150"/>
      <c r="F273" s="1285" t="str">
        <f>INDEX(PT_DIFFERENTIATION_VTAR,MATCH(A273,PT_DIFFERENTIATION_VTAR_ID,0))</f>
        <v/>
      </c>
      <c r="G273" s="1373" t="str">
        <f>INDEX(PT_DIFFERENTIATION_NTAR,MATCH(B273,PT_DIFFERENTIATION_NTAR_ID,0))</f>
        <v/>
      </c>
      <c r="H273" s="675"/>
      <c r="I273" s="302"/>
      <c r="J273" s="303"/>
      <c r="K273" s="115"/>
      <c r="L273" s="675" t="s">
        <v>314</v>
      </c>
      <c r="M273" s="1115"/>
      <c r="AH273" s="539">
        <v>0</v>
      </c>
    </row>
    <row r="274" spans="1:34" ht="18.75" hidden="1" customHeight="1">
      <c r="C274" s="826" t="s">
        <v>1339</v>
      </c>
      <c r="D274" s="1397"/>
      <c r="E274" s="1150"/>
      <c r="F274" s="1285"/>
      <c r="G274" s="1373"/>
      <c r="H274" s="304"/>
      <c r="I274" s="49" t="s">
        <v>1338</v>
      </c>
      <c r="J274" s="63"/>
      <c r="K274" s="304"/>
      <c r="L274" s="296"/>
      <c r="M274" s="614"/>
      <c r="AH274" s="539">
        <v>0</v>
      </c>
    </row>
    <row r="275" spans="1:34" ht="0.75" hidden="1" customHeight="1">
      <c r="C275" s="826" t="s">
        <v>1346</v>
      </c>
      <c r="D275" s="1397"/>
      <c r="E275" s="1150"/>
      <c r="F275" s="1285"/>
      <c r="G275" s="306"/>
      <c r="H275" s="304"/>
      <c r="I275" s="49"/>
      <c r="J275" s="63"/>
      <c r="K275" s="304"/>
      <c r="L275" s="296"/>
      <c r="M275" s="820"/>
      <c r="AH275" s="539">
        <v>0</v>
      </c>
    </row>
    <row r="276" spans="1:34" ht="45" hidden="1" customHeight="1">
      <c r="A276" s="79" t="s">
        <v>177</v>
      </c>
      <c r="B276" s="79" t="s">
        <v>178</v>
      </c>
      <c r="D276" s="1397"/>
      <c r="E276" s="1150"/>
      <c r="F276" s="12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373" t="str">
        <f>INDEX(PT_DIFFERENTIATION_NTAR,MATCH(B276,PT_DIFFERENTIATION_NTAR_ID,0))</f>
        <v/>
      </c>
      <c r="H276" s="675"/>
      <c r="I276" s="302"/>
      <c r="J276" s="303"/>
      <c r="K276" s="115"/>
      <c r="L276" s="675" t="s">
        <v>314</v>
      </c>
      <c r="M276" s="820"/>
      <c r="AH276" s="539">
        <v>0</v>
      </c>
    </row>
    <row r="277" spans="1:34" ht="18.75" hidden="1" customHeight="1">
      <c r="C277" s="826" t="s">
        <v>1339</v>
      </c>
      <c r="D277" s="1397"/>
      <c r="E277" s="1150"/>
      <c r="F277" s="1285"/>
      <c r="G277" s="1373"/>
      <c r="H277" s="304"/>
      <c r="I277" s="49" t="s">
        <v>1338</v>
      </c>
      <c r="J277" s="63"/>
      <c r="K277" s="304"/>
      <c r="L277" s="296"/>
      <c r="M277" s="820"/>
      <c r="AH277" s="539">
        <v>0</v>
      </c>
    </row>
    <row r="278" spans="1:34" ht="0.75" hidden="1" customHeight="1">
      <c r="C278" s="826" t="s">
        <v>1346</v>
      </c>
      <c r="D278" s="1397"/>
      <c r="E278" s="1150"/>
      <c r="F278" s="1285"/>
      <c r="G278" s="306"/>
      <c r="H278" s="304"/>
      <c r="I278" s="49"/>
      <c r="J278" s="63"/>
      <c r="K278" s="304"/>
      <c r="L278" s="296"/>
      <c r="M278" s="820"/>
      <c r="AH278" s="539">
        <v>0</v>
      </c>
    </row>
    <row r="279" spans="1:34" ht="45" hidden="1" customHeight="1">
      <c r="A279" s="79" t="s">
        <v>183</v>
      </c>
      <c r="B279" s="79" t="s">
        <v>184</v>
      </c>
      <c r="D279" s="1397"/>
      <c r="E279" s="1150"/>
      <c r="F279" s="12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373" t="str">
        <f>INDEX(PT_DIFFERENTIATION_NTAR,MATCH(B279,PT_DIFFERENTIATION_NTAR_ID,0))</f>
        <v/>
      </c>
      <c r="H279" s="675"/>
      <c r="I279" s="302"/>
      <c r="J279" s="303"/>
      <c r="K279" s="115"/>
      <c r="L279" s="675" t="s">
        <v>314</v>
      </c>
      <c r="M279" s="820"/>
      <c r="AH279" s="539">
        <v>0</v>
      </c>
    </row>
    <row r="280" spans="1:34" ht="18.75" hidden="1" customHeight="1">
      <c r="C280" s="826" t="s">
        <v>1339</v>
      </c>
      <c r="D280" s="1397"/>
      <c r="E280" s="1150"/>
      <c r="F280" s="1285"/>
      <c r="G280" s="1373"/>
      <c r="H280" s="304"/>
      <c r="I280" s="49" t="s">
        <v>1338</v>
      </c>
      <c r="J280" s="63"/>
      <c r="K280" s="304"/>
      <c r="L280" s="296"/>
      <c r="M280" s="820"/>
      <c r="AH280" s="539">
        <v>0</v>
      </c>
    </row>
    <row r="281" spans="1:34" ht="0.75" hidden="1" customHeight="1">
      <c r="C281" s="826" t="s">
        <v>1346</v>
      </c>
      <c r="D281" s="1397"/>
      <c r="E281" s="1150"/>
      <c r="F281" s="1285"/>
      <c r="G281" s="306"/>
      <c r="H281" s="304"/>
      <c r="I281" s="49"/>
      <c r="J281" s="63"/>
      <c r="K281" s="304"/>
      <c r="L281" s="296"/>
      <c r="M281" s="820"/>
      <c r="AH281" s="539">
        <v>0</v>
      </c>
    </row>
    <row r="282" spans="1:34" ht="18.75" hidden="1" customHeight="1">
      <c r="A282" s="79" t="s">
        <v>189</v>
      </c>
      <c r="B282" s="79" t="s">
        <v>190</v>
      </c>
      <c r="D282" s="1397"/>
      <c r="E282" s="1150"/>
      <c r="F282" s="1285" t="str">
        <f>INDEX(PT_DIFFERENTIATION_VTAR,MATCH(A282,PT_DIFFERENTIATION_VTAR_ID,0))</f>
        <v>Тарифы на услуги по передаче тепловой энергии</v>
      </c>
      <c r="G282" s="1373" t="str">
        <f>INDEX(PT_DIFFERENTIATION_NTAR,MATCH(B282,PT_DIFFERENTIATION_NTAR_ID,0))</f>
        <v/>
      </c>
      <c r="H282" s="675"/>
      <c r="I282" s="302"/>
      <c r="J282" s="303"/>
      <c r="K282" s="115"/>
      <c r="L282" s="675" t="s">
        <v>314</v>
      </c>
      <c r="M282" s="820"/>
      <c r="AH282" s="539">
        <v>0</v>
      </c>
    </row>
    <row r="283" spans="1:34" ht="18.75" hidden="1" customHeight="1">
      <c r="C283" s="826" t="s">
        <v>1339</v>
      </c>
      <c r="D283" s="1397"/>
      <c r="E283" s="1150"/>
      <c r="F283" s="1285"/>
      <c r="G283" s="1373"/>
      <c r="H283" s="304"/>
      <c r="I283" s="49" t="s">
        <v>1338</v>
      </c>
      <c r="J283" s="63"/>
      <c r="K283" s="304"/>
      <c r="L283" s="296"/>
      <c r="M283" s="820"/>
      <c r="AH283" s="539">
        <v>0</v>
      </c>
    </row>
    <row r="284" spans="1:34" ht="0.75" hidden="1" customHeight="1">
      <c r="C284" s="826" t="s">
        <v>1346</v>
      </c>
      <c r="D284" s="1397"/>
      <c r="E284" s="1150"/>
      <c r="F284" s="1285"/>
      <c r="G284" s="306"/>
      <c r="H284" s="304"/>
      <c r="I284" s="49"/>
      <c r="J284" s="63"/>
      <c r="K284" s="304"/>
      <c r="L284" s="296"/>
      <c r="M284" s="820"/>
      <c r="AH284" s="539">
        <v>0</v>
      </c>
    </row>
    <row r="285" spans="1:34" ht="18.75" hidden="1" customHeight="1">
      <c r="A285" s="79" t="s">
        <v>195</v>
      </c>
      <c r="B285" s="79" t="s">
        <v>196</v>
      </c>
      <c r="D285" s="1397"/>
      <c r="E285" s="1150"/>
      <c r="F285" s="1285" t="str">
        <f>INDEX(PT_DIFFERENTIATION_VTAR,MATCH(A285,PT_DIFFERENTIATION_VTAR_ID,0))</f>
        <v>Тарифы на услуги по передаче теплоносителя</v>
      </c>
      <c r="G285" s="1373" t="str">
        <f>INDEX(PT_DIFFERENTIATION_NTAR,MATCH(B285,PT_DIFFERENTIATION_NTAR_ID,0))</f>
        <v/>
      </c>
      <c r="H285" s="675"/>
      <c r="I285" s="302"/>
      <c r="J285" s="303"/>
      <c r="K285" s="115"/>
      <c r="L285" s="675" t="s">
        <v>314</v>
      </c>
      <c r="M285" s="820"/>
      <c r="AH285" s="539">
        <v>0</v>
      </c>
    </row>
    <row r="286" spans="1:34" ht="18.75" hidden="1" customHeight="1">
      <c r="C286" s="826" t="s">
        <v>1339</v>
      </c>
      <c r="D286" s="1397"/>
      <c r="E286" s="1150"/>
      <c r="F286" s="1285"/>
      <c r="G286" s="1373"/>
      <c r="H286" s="304"/>
      <c r="I286" s="49" t="s">
        <v>1338</v>
      </c>
      <c r="J286" s="63"/>
      <c r="K286" s="304"/>
      <c r="L286" s="296"/>
      <c r="M286" s="820"/>
      <c r="AH286" s="539">
        <v>0</v>
      </c>
    </row>
    <row r="287" spans="1:34" ht="0.75" hidden="1" customHeight="1">
      <c r="C287" s="826" t="s">
        <v>1346</v>
      </c>
      <c r="D287" s="1397"/>
      <c r="E287" s="1150"/>
      <c r="F287" s="1285"/>
      <c r="G287" s="306"/>
      <c r="H287" s="304"/>
      <c r="I287" s="49"/>
      <c r="J287" s="63"/>
      <c r="K287" s="304"/>
      <c r="L287" s="296"/>
      <c r="M287" s="820"/>
      <c r="AH287" s="539">
        <v>0</v>
      </c>
    </row>
    <row r="288" spans="1:34" ht="18.75" hidden="1" customHeight="1">
      <c r="A288" s="79" t="s">
        <v>201</v>
      </c>
      <c r="B288" s="79" t="s">
        <v>202</v>
      </c>
      <c r="D288" s="1397"/>
      <c r="E288" s="1150"/>
      <c r="F288" s="12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373" t="str">
        <f>INDEX(PT_DIFFERENTIATION_NTAR,MATCH(B288,PT_DIFFERENTIATION_NTAR_ID,0))</f>
        <v/>
      </c>
      <c r="H288" s="675"/>
      <c r="I288" s="302"/>
      <c r="J288" s="303"/>
      <c r="K288" s="115"/>
      <c r="L288" s="675" t="s">
        <v>314</v>
      </c>
      <c r="M288" s="820"/>
      <c r="AH288" s="539">
        <v>0</v>
      </c>
    </row>
    <row r="289" spans="1:34" ht="18.75" hidden="1" customHeight="1">
      <c r="C289" s="826" t="s">
        <v>1339</v>
      </c>
      <c r="D289" s="1397"/>
      <c r="E289" s="1150"/>
      <c r="F289" s="1285"/>
      <c r="G289" s="1373"/>
      <c r="H289" s="304"/>
      <c r="I289" s="49" t="s">
        <v>1338</v>
      </c>
      <c r="J289" s="63"/>
      <c r="K289" s="304"/>
      <c r="L289" s="296"/>
      <c r="M289" s="820"/>
      <c r="AH289" s="539">
        <v>0</v>
      </c>
    </row>
    <row r="290" spans="1:34" ht="0.75" hidden="1" customHeight="1">
      <c r="C290" s="826" t="s">
        <v>1346</v>
      </c>
      <c r="D290" s="1397"/>
      <c r="E290" s="1150"/>
      <c r="F290" s="1285"/>
      <c r="G290" s="306"/>
      <c r="H290" s="304"/>
      <c r="I290" s="49"/>
      <c r="J290" s="63"/>
      <c r="K290" s="304"/>
      <c r="L290" s="296"/>
      <c r="M290" s="820"/>
      <c r="AH290" s="539">
        <v>0</v>
      </c>
    </row>
    <row r="291" spans="1:34" ht="18.75" hidden="1" customHeight="1">
      <c r="A291" s="79" t="s">
        <v>207</v>
      </c>
      <c r="B291" s="79" t="s">
        <v>208</v>
      </c>
      <c r="D291" s="1397"/>
      <c r="E291" s="1150"/>
      <c r="F291" s="1285" t="str">
        <f>INDEX(PT_DIFFERENTIATION_VTAR,MATCH(A291,PT_DIFFERENTIATION_VTAR_ID,0))</f>
        <v>Плата за подключение (технологическое присоединение) к системе теплоснабжения</v>
      </c>
      <c r="G291" s="1373" t="str">
        <f>INDEX(PT_DIFFERENTIATION_NTAR,MATCH(B291,PT_DIFFERENTIATION_NTAR_ID,0))</f>
        <v/>
      </c>
      <c r="H291" s="675"/>
      <c r="I291" s="302"/>
      <c r="J291" s="303"/>
      <c r="K291" s="115"/>
      <c r="L291" s="675" t="s">
        <v>314</v>
      </c>
      <c r="M291" s="820"/>
      <c r="AH291" s="539">
        <v>0</v>
      </c>
    </row>
    <row r="292" spans="1:34" ht="18.75" hidden="1" customHeight="1">
      <c r="C292" s="826" t="s">
        <v>1339</v>
      </c>
      <c r="D292" s="1397"/>
      <c r="E292" s="1150"/>
      <c r="F292" s="1285"/>
      <c r="G292" s="1373"/>
      <c r="H292" s="304"/>
      <c r="I292" s="49" t="s">
        <v>1338</v>
      </c>
      <c r="J292" s="63"/>
      <c r="K292" s="304"/>
      <c r="L292" s="296"/>
      <c r="M292" s="820"/>
      <c r="AH292" s="539">
        <v>0</v>
      </c>
    </row>
    <row r="293" spans="1:34" ht="0.75" hidden="1" customHeight="1">
      <c r="C293" s="826" t="s">
        <v>1346</v>
      </c>
      <c r="D293" s="1397"/>
      <c r="E293" s="1150"/>
      <c r="F293" s="1285"/>
      <c r="G293" s="306"/>
      <c r="H293" s="304"/>
      <c r="I293" s="49"/>
      <c r="J293" s="63"/>
      <c r="K293" s="304"/>
      <c r="L293" s="296"/>
      <c r="M293" s="820"/>
      <c r="AH293" s="539">
        <v>0</v>
      </c>
    </row>
    <row r="294" spans="1:34" ht="18.75" hidden="1" customHeight="1">
      <c r="A294" s="79" t="s">
        <v>213</v>
      </c>
      <c r="B294" s="79" t="s">
        <v>214</v>
      </c>
      <c r="D294" s="1397"/>
      <c r="E294" s="1150"/>
      <c r="F294" s="1285" t="str">
        <f>INDEX(PT_DIFFERENTIATION_VTAR,MATCH(A294,PT_DIFFERENTIATION_VTAR_ID,0))</f>
        <v>Плата за подключение (технологическое присоединение) к системе теплоснабжения (индивидуальная)</v>
      </c>
      <c r="G294" s="1373" t="str">
        <f>INDEX(PT_DIFFERENTIATION_NTAR,MATCH(B294,PT_DIFFERENTIATION_NTAR_ID,0))</f>
        <v/>
      </c>
      <c r="H294" s="675"/>
      <c r="I294" s="302"/>
      <c r="J294" s="303"/>
      <c r="K294" s="115"/>
      <c r="L294" s="675" t="s">
        <v>314</v>
      </c>
      <c r="M294" s="820"/>
      <c r="AH294" s="539">
        <v>0</v>
      </c>
    </row>
    <row r="295" spans="1:34" ht="18.75" hidden="1" customHeight="1">
      <c r="C295" s="826" t="s">
        <v>1339</v>
      </c>
      <c r="D295" s="1397"/>
      <c r="E295" s="1150"/>
      <c r="F295" s="1285"/>
      <c r="G295" s="1373"/>
      <c r="H295" s="304"/>
      <c r="I295" s="49" t="s">
        <v>1338</v>
      </c>
      <c r="J295" s="63"/>
      <c r="K295" s="304"/>
      <c r="L295" s="296"/>
      <c r="M295" s="820"/>
      <c r="AH295" s="539">
        <v>0</v>
      </c>
    </row>
    <row r="296" spans="1:34" ht="0.75" hidden="1" customHeight="1">
      <c r="C296" s="826" t="s">
        <v>1346</v>
      </c>
      <c r="D296" s="1397"/>
      <c r="E296" s="1150"/>
      <c r="F296" s="1285"/>
      <c r="G296" s="306"/>
      <c r="H296" s="304"/>
      <c r="I296" s="49"/>
      <c r="J296" s="63"/>
      <c r="K296" s="304"/>
      <c r="L296" s="296"/>
      <c r="M296" s="820"/>
      <c r="AH296" s="539">
        <v>0</v>
      </c>
    </row>
    <row r="297" spans="1:34" ht="18.75" hidden="1" customHeight="1">
      <c r="A297" s="79" t="s">
        <v>233</v>
      </c>
      <c r="B297" s="79" t="s">
        <v>234</v>
      </c>
      <c r="D297" s="1397"/>
      <c r="E297" s="1150"/>
      <c r="F297" s="1285" t="str">
        <f>INDEX(PT_DIFFERENTIATION_VTAR,MATCH(A297,PT_DIFFERENTIATION_VTAR_ID,0))</f>
        <v>Тариф на питьевую воду (питьевое водоснабжение)</v>
      </c>
      <c r="G297" s="1373" t="str">
        <f>INDEX(PT_DIFFERENTIATION_NTAR,MATCH(B297,PT_DIFFERENTIATION_NTAR_ID,0))</f>
        <v/>
      </c>
      <c r="H297" s="675"/>
      <c r="I297" s="302"/>
      <c r="J297" s="303"/>
      <c r="K297" s="115"/>
      <c r="L297" s="675" t="s">
        <v>314</v>
      </c>
      <c r="M297" s="820"/>
      <c r="AH297" s="539">
        <v>0</v>
      </c>
    </row>
    <row r="298" spans="1:34" ht="18.75" hidden="1" customHeight="1">
      <c r="C298" s="826" t="s">
        <v>1339</v>
      </c>
      <c r="D298" s="1397"/>
      <c r="E298" s="1150"/>
      <c r="F298" s="1285"/>
      <c r="G298" s="1373"/>
      <c r="H298" s="304"/>
      <c r="I298" s="49" t="s">
        <v>1338</v>
      </c>
      <c r="J298" s="63"/>
      <c r="K298" s="304"/>
      <c r="L298" s="296"/>
      <c r="M298" s="820"/>
      <c r="AH298" s="539">
        <v>0</v>
      </c>
    </row>
    <row r="299" spans="1:34" ht="0.75" hidden="1" customHeight="1">
      <c r="C299" s="826" t="s">
        <v>1346</v>
      </c>
      <c r="D299" s="1397"/>
      <c r="E299" s="1150"/>
      <c r="F299" s="1285"/>
      <c r="G299" s="306"/>
      <c r="H299" s="304"/>
      <c r="I299" s="49"/>
      <c r="J299" s="63"/>
      <c r="K299" s="304"/>
      <c r="L299" s="296"/>
      <c r="M299" s="820"/>
      <c r="AH299" s="539">
        <v>0</v>
      </c>
    </row>
    <row r="300" spans="1:34" ht="18.75" hidden="1" customHeight="1">
      <c r="A300" s="79" t="s">
        <v>238</v>
      </c>
      <c r="B300" s="79" t="s">
        <v>239</v>
      </c>
      <c r="D300" s="1397"/>
      <c r="E300" s="1150"/>
      <c r="F300" s="1285" t="str">
        <f>INDEX(PT_DIFFERENTIATION_VTAR,MATCH(A300,PT_DIFFERENTIATION_VTAR_ID,0))</f>
        <v>Тариф на техническую воду</v>
      </c>
      <c r="G300" s="1373" t="str">
        <f>INDEX(PT_DIFFERENTIATION_NTAR,MATCH(B300,PT_DIFFERENTIATION_NTAR_ID,0))</f>
        <v/>
      </c>
      <c r="H300" s="675"/>
      <c r="I300" s="302"/>
      <c r="J300" s="303"/>
      <c r="K300" s="115"/>
      <c r="L300" s="675" t="s">
        <v>314</v>
      </c>
      <c r="M300" s="820"/>
      <c r="AH300" s="539">
        <v>0</v>
      </c>
    </row>
    <row r="301" spans="1:34" ht="18.75" hidden="1" customHeight="1">
      <c r="C301" s="826" t="s">
        <v>1339</v>
      </c>
      <c r="D301" s="1397"/>
      <c r="E301" s="1150"/>
      <c r="F301" s="1285"/>
      <c r="G301" s="1373"/>
      <c r="H301" s="304"/>
      <c r="I301" s="49" t="s">
        <v>1338</v>
      </c>
      <c r="J301" s="63"/>
      <c r="K301" s="304"/>
      <c r="L301" s="296"/>
      <c r="M301" s="820"/>
      <c r="AH301" s="539">
        <v>0</v>
      </c>
    </row>
    <row r="302" spans="1:34" ht="0.75" hidden="1" customHeight="1">
      <c r="C302" s="826" t="s">
        <v>1346</v>
      </c>
      <c r="D302" s="1397"/>
      <c r="E302" s="1150"/>
      <c r="F302" s="1285"/>
      <c r="G302" s="306"/>
      <c r="H302" s="304"/>
      <c r="I302" s="49"/>
      <c r="J302" s="63"/>
      <c r="K302" s="304"/>
      <c r="L302" s="296"/>
      <c r="M302" s="820"/>
      <c r="AH302" s="539">
        <v>0</v>
      </c>
    </row>
    <row r="303" spans="1:34" ht="18.75" hidden="1" customHeight="1">
      <c r="A303" s="79" t="s">
        <v>243</v>
      </c>
      <c r="B303" s="79" t="s">
        <v>244</v>
      </c>
      <c r="D303" s="1397"/>
      <c r="E303" s="1150"/>
      <c r="F303" s="1285" t="str">
        <f>INDEX(PT_DIFFERENTIATION_VTAR,MATCH(A303,PT_DIFFERENTIATION_VTAR_ID,0))</f>
        <v>Тариф на транспортировку воды</v>
      </c>
      <c r="G303" s="1373" t="str">
        <f>INDEX(PT_DIFFERENTIATION_NTAR,MATCH(B303,PT_DIFFERENTIATION_NTAR_ID,0))</f>
        <v/>
      </c>
      <c r="H303" s="675"/>
      <c r="I303" s="302"/>
      <c r="J303" s="303"/>
      <c r="K303" s="115"/>
      <c r="L303" s="675" t="s">
        <v>314</v>
      </c>
      <c r="M303" s="820"/>
      <c r="AH303" s="539">
        <v>0</v>
      </c>
    </row>
    <row r="304" spans="1:34" ht="18.75" hidden="1" customHeight="1">
      <c r="C304" s="826" t="s">
        <v>1339</v>
      </c>
      <c r="D304" s="1397"/>
      <c r="E304" s="1150"/>
      <c r="F304" s="1285"/>
      <c r="G304" s="1373"/>
      <c r="H304" s="304"/>
      <c r="I304" s="49" t="s">
        <v>1338</v>
      </c>
      <c r="J304" s="63"/>
      <c r="K304" s="304"/>
      <c r="L304" s="296"/>
      <c r="M304" s="820"/>
      <c r="AH304" s="539">
        <v>0</v>
      </c>
    </row>
    <row r="305" spans="1:34" ht="0.75" hidden="1" customHeight="1">
      <c r="C305" s="826" t="s">
        <v>1346</v>
      </c>
      <c r="D305" s="1397"/>
      <c r="E305" s="1150"/>
      <c r="F305" s="1285"/>
      <c r="G305" s="306"/>
      <c r="H305" s="304"/>
      <c r="I305" s="49"/>
      <c r="J305" s="63"/>
      <c r="K305" s="304"/>
      <c r="L305" s="296"/>
      <c r="M305" s="820"/>
      <c r="AH305" s="539">
        <v>0</v>
      </c>
    </row>
    <row r="306" spans="1:34" ht="18.75" hidden="1" customHeight="1">
      <c r="A306" s="79" t="s">
        <v>248</v>
      </c>
      <c r="B306" s="79" t="s">
        <v>249</v>
      </c>
      <c r="D306" s="1397"/>
      <c r="E306" s="1150"/>
      <c r="F306" s="1285" t="str">
        <f>INDEX(PT_DIFFERENTIATION_VTAR,MATCH(A306,PT_DIFFERENTIATION_VTAR_ID,0))</f>
        <v>Тариф на подвоз воды</v>
      </c>
      <c r="G306" s="1373" t="str">
        <f>INDEX(PT_DIFFERENTIATION_NTAR,MATCH(B306,PT_DIFFERENTIATION_NTAR_ID,0))</f>
        <v/>
      </c>
      <c r="H306" s="675"/>
      <c r="I306" s="302"/>
      <c r="J306" s="303"/>
      <c r="K306" s="115"/>
      <c r="L306" s="675" t="s">
        <v>314</v>
      </c>
      <c r="M306" s="820"/>
      <c r="AH306" s="539">
        <v>0</v>
      </c>
    </row>
    <row r="307" spans="1:34" ht="18.75" hidden="1" customHeight="1">
      <c r="C307" s="826" t="s">
        <v>1339</v>
      </c>
      <c r="D307" s="1397"/>
      <c r="E307" s="1150"/>
      <c r="F307" s="1285"/>
      <c r="G307" s="1373"/>
      <c r="H307" s="304"/>
      <c r="I307" s="49" t="s">
        <v>1338</v>
      </c>
      <c r="J307" s="63"/>
      <c r="K307" s="304"/>
      <c r="L307" s="296"/>
      <c r="M307" s="820"/>
      <c r="AH307" s="539">
        <v>0</v>
      </c>
    </row>
    <row r="308" spans="1:34" ht="0.75" hidden="1" customHeight="1">
      <c r="C308" s="826" t="s">
        <v>1346</v>
      </c>
      <c r="D308" s="1397"/>
      <c r="E308" s="1150"/>
      <c r="F308" s="1285"/>
      <c r="G308" s="306"/>
      <c r="H308" s="304"/>
      <c r="I308" s="49"/>
      <c r="J308" s="63"/>
      <c r="K308" s="304"/>
      <c r="L308" s="296"/>
      <c r="M308" s="820"/>
      <c r="AH308" s="539">
        <v>0</v>
      </c>
    </row>
    <row r="309" spans="1:34" ht="18.75" hidden="1" customHeight="1">
      <c r="A309" s="79" t="s">
        <v>253</v>
      </c>
      <c r="B309" s="79" t="s">
        <v>254</v>
      </c>
      <c r="D309" s="1397"/>
      <c r="E309" s="1150"/>
      <c r="F309" s="12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373" t="str">
        <f>INDEX(PT_DIFFERENTIATION_NTAR,MATCH(B309,PT_DIFFERENTIATION_NTAR_ID,0))</f>
        <v/>
      </c>
      <c r="H309" s="675"/>
      <c r="I309" s="302"/>
      <c r="J309" s="303"/>
      <c r="K309" s="115"/>
      <c r="L309" s="675" t="s">
        <v>314</v>
      </c>
      <c r="M309" s="820"/>
      <c r="AH309" s="539">
        <v>0</v>
      </c>
    </row>
    <row r="310" spans="1:34" ht="18.75" hidden="1" customHeight="1">
      <c r="C310" s="826" t="s">
        <v>1339</v>
      </c>
      <c r="D310" s="1397"/>
      <c r="E310" s="1150"/>
      <c r="F310" s="1285"/>
      <c r="G310" s="1373"/>
      <c r="H310" s="304"/>
      <c r="I310" s="49" t="s">
        <v>1338</v>
      </c>
      <c r="J310" s="63"/>
      <c r="K310" s="304"/>
      <c r="L310" s="296"/>
      <c r="M310" s="820"/>
      <c r="AH310" s="539">
        <v>0</v>
      </c>
    </row>
    <row r="311" spans="1:34" ht="0.75" hidden="1" customHeight="1">
      <c r="C311" s="826" t="s">
        <v>1346</v>
      </c>
      <c r="D311" s="1397"/>
      <c r="E311" s="1150"/>
      <c r="F311" s="1285"/>
      <c r="G311" s="306"/>
      <c r="H311" s="304"/>
      <c r="I311" s="49"/>
      <c r="J311" s="63"/>
      <c r="K311" s="304"/>
      <c r="L311" s="296"/>
      <c r="M311" s="820"/>
      <c r="AH311" s="539">
        <v>0</v>
      </c>
    </row>
    <row r="312" spans="1:34" ht="18.75" hidden="1" customHeight="1">
      <c r="A312" s="79" t="s">
        <v>258</v>
      </c>
      <c r="B312" s="79" t="s">
        <v>259</v>
      </c>
      <c r="D312" s="1397"/>
      <c r="E312" s="1150"/>
      <c r="F312" s="1285" t="str">
        <f>INDEX(PT_DIFFERENTIATION_VTAR,MATCH(A312,PT_DIFFERENTIATION_VTAR_ID,0))</f>
        <v>Тариф на горячую воду (горячее водоснабжение)</v>
      </c>
      <c r="G312" s="1373" t="str">
        <f>INDEX(PT_DIFFERENTIATION_NTAR,MATCH(B312,PT_DIFFERENTIATION_NTAR_ID,0))</f>
        <v/>
      </c>
      <c r="H312" s="675"/>
      <c r="I312" s="302"/>
      <c r="J312" s="303"/>
      <c r="K312" s="115"/>
      <c r="L312" s="675" t="s">
        <v>314</v>
      </c>
      <c r="M312" s="820"/>
      <c r="AH312" s="539">
        <v>0</v>
      </c>
    </row>
    <row r="313" spans="1:34" ht="18.75" hidden="1" customHeight="1">
      <c r="C313" s="826" t="s">
        <v>1339</v>
      </c>
      <c r="D313" s="1397"/>
      <c r="E313" s="1150"/>
      <c r="F313" s="1285"/>
      <c r="G313" s="1373"/>
      <c r="H313" s="304"/>
      <c r="I313" s="49" t="s">
        <v>1338</v>
      </c>
      <c r="J313" s="63"/>
      <c r="K313" s="304"/>
      <c r="L313" s="296"/>
      <c r="M313" s="820"/>
      <c r="AH313" s="539">
        <v>0</v>
      </c>
    </row>
    <row r="314" spans="1:34" ht="0.75" hidden="1" customHeight="1">
      <c r="C314" s="826" t="s">
        <v>1346</v>
      </c>
      <c r="D314" s="1397"/>
      <c r="E314" s="1150"/>
      <c r="F314" s="1285"/>
      <c r="G314" s="306"/>
      <c r="H314" s="304"/>
      <c r="I314" s="49"/>
      <c r="J314" s="63"/>
      <c r="K314" s="304"/>
      <c r="L314" s="296"/>
      <c r="M314" s="820"/>
      <c r="AH314" s="539">
        <v>0</v>
      </c>
    </row>
    <row r="315" spans="1:34" ht="18.75" hidden="1" customHeight="1">
      <c r="A315" s="79" t="s">
        <v>263</v>
      </c>
      <c r="B315" s="79" t="s">
        <v>264</v>
      </c>
      <c r="D315" s="1397"/>
      <c r="E315" s="1150"/>
      <c r="F315" s="1285" t="str">
        <f>INDEX(PT_DIFFERENTIATION_VTAR,MATCH(A315,PT_DIFFERENTIATION_VTAR_ID,0))</f>
        <v>Тариф на транспортировку горячей воды</v>
      </c>
      <c r="G315" s="1373" t="str">
        <f>INDEX(PT_DIFFERENTIATION_NTAR,MATCH(B315,PT_DIFFERENTIATION_NTAR_ID,0))</f>
        <v/>
      </c>
      <c r="H315" s="675"/>
      <c r="I315" s="302"/>
      <c r="J315" s="303"/>
      <c r="K315" s="115"/>
      <c r="L315" s="675" t="s">
        <v>314</v>
      </c>
      <c r="M315" s="820"/>
      <c r="AH315" s="539">
        <v>0</v>
      </c>
    </row>
    <row r="316" spans="1:34" ht="18.75" hidden="1" customHeight="1">
      <c r="C316" s="826" t="s">
        <v>1339</v>
      </c>
      <c r="D316" s="1397"/>
      <c r="E316" s="1150"/>
      <c r="F316" s="1285"/>
      <c r="G316" s="1373"/>
      <c r="H316" s="304"/>
      <c r="I316" s="49" t="s">
        <v>1338</v>
      </c>
      <c r="J316" s="63"/>
      <c r="K316" s="304"/>
      <c r="L316" s="296"/>
      <c r="M316" s="820"/>
      <c r="AH316" s="539">
        <v>0</v>
      </c>
    </row>
    <row r="317" spans="1:34" ht="0.75" hidden="1" customHeight="1">
      <c r="C317" s="826" t="s">
        <v>1346</v>
      </c>
      <c r="D317" s="1397"/>
      <c r="E317" s="1150"/>
      <c r="F317" s="1285"/>
      <c r="G317" s="306"/>
      <c r="H317" s="304"/>
      <c r="I317" s="49"/>
      <c r="J317" s="63"/>
      <c r="K317" s="304"/>
      <c r="L317" s="296"/>
      <c r="M317" s="820"/>
      <c r="AH317" s="539">
        <v>0</v>
      </c>
    </row>
    <row r="318" spans="1:34" ht="18.75" hidden="1" customHeight="1">
      <c r="A318" s="79" t="s">
        <v>268</v>
      </c>
      <c r="B318" s="79" t="s">
        <v>269</v>
      </c>
      <c r="D318" s="1397"/>
      <c r="E318" s="1150"/>
      <c r="F318" s="12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1373" t="str">
        <f>INDEX(PT_DIFFERENTIATION_NTAR,MATCH(B318,PT_DIFFERENTIATION_NTAR_ID,0))</f>
        <v/>
      </c>
      <c r="H318" s="675"/>
      <c r="I318" s="302"/>
      <c r="J318" s="303"/>
      <c r="K318" s="115"/>
      <c r="L318" s="675" t="s">
        <v>314</v>
      </c>
      <c r="M318" s="820"/>
      <c r="AH318" s="539">
        <v>0</v>
      </c>
    </row>
    <row r="319" spans="1:34" ht="18.75" hidden="1" customHeight="1">
      <c r="C319" s="826" t="s">
        <v>1339</v>
      </c>
      <c r="D319" s="1397"/>
      <c r="E319" s="1150"/>
      <c r="F319" s="1285"/>
      <c r="G319" s="1373"/>
      <c r="H319" s="304"/>
      <c r="I319" s="49" t="s">
        <v>1338</v>
      </c>
      <c r="J319" s="63"/>
      <c r="K319" s="304"/>
      <c r="L319" s="296"/>
      <c r="M319" s="820"/>
      <c r="AH319" s="539">
        <v>0</v>
      </c>
    </row>
    <row r="320" spans="1:34" ht="0.75" hidden="1" customHeight="1">
      <c r="C320" s="826" t="s">
        <v>1346</v>
      </c>
      <c r="D320" s="1397"/>
      <c r="E320" s="1150"/>
      <c r="F320" s="1285"/>
      <c r="G320" s="306"/>
      <c r="H320" s="304"/>
      <c r="I320" s="49"/>
      <c r="J320" s="63"/>
      <c r="K320" s="304"/>
      <c r="L320" s="296"/>
      <c r="M320" s="820"/>
      <c r="AH320" s="539">
        <v>0</v>
      </c>
    </row>
    <row r="321" spans="1:34" ht="18.75" hidden="1" customHeight="1">
      <c r="A321" s="79" t="s">
        <v>273</v>
      </c>
      <c r="B321" s="79" t="s">
        <v>274</v>
      </c>
      <c r="D321" s="1397"/>
      <c r="E321" s="1150"/>
      <c r="F321" s="1285" t="str">
        <f>INDEX(PT_DIFFERENTIATION_VTAR,MATCH(A321,PT_DIFFERENTIATION_VTAR_ID,0))</f>
        <v>Тариф на водоотведение</v>
      </c>
      <c r="G321" s="1373" t="str">
        <f>INDEX(PT_DIFFERENTIATION_NTAR,MATCH(B321,PT_DIFFERENTIATION_NTAR_ID,0))</f>
        <v/>
      </c>
      <c r="H321" s="675"/>
      <c r="I321" s="302"/>
      <c r="J321" s="303"/>
      <c r="K321" s="115"/>
      <c r="L321" s="675" t="s">
        <v>314</v>
      </c>
      <c r="M321" s="820"/>
      <c r="AH321" s="539">
        <v>0</v>
      </c>
    </row>
    <row r="322" spans="1:34" ht="18.75" hidden="1" customHeight="1">
      <c r="C322" s="826" t="s">
        <v>1339</v>
      </c>
      <c r="D322" s="1397"/>
      <c r="E322" s="1150"/>
      <c r="F322" s="1285"/>
      <c r="G322" s="1373"/>
      <c r="H322" s="304"/>
      <c r="I322" s="49" t="s">
        <v>1338</v>
      </c>
      <c r="J322" s="63"/>
      <c r="K322" s="304"/>
      <c r="L322" s="296"/>
      <c r="M322" s="820"/>
      <c r="AH322" s="539">
        <v>0</v>
      </c>
    </row>
    <row r="323" spans="1:34" ht="0.75" hidden="1" customHeight="1">
      <c r="C323" s="826" t="s">
        <v>1346</v>
      </c>
      <c r="D323" s="1397"/>
      <c r="E323" s="1150"/>
      <c r="F323" s="1285"/>
      <c r="G323" s="306"/>
      <c r="H323" s="304"/>
      <c r="I323" s="49"/>
      <c r="J323" s="63"/>
      <c r="K323" s="304"/>
      <c r="L323" s="296"/>
      <c r="M323" s="820"/>
      <c r="AH323" s="539">
        <v>0</v>
      </c>
    </row>
    <row r="324" spans="1:34" ht="18.75" hidden="1" customHeight="1">
      <c r="A324" s="79" t="s">
        <v>278</v>
      </c>
      <c r="B324" s="79" t="s">
        <v>279</v>
      </c>
      <c r="D324" s="1397"/>
      <c r="E324" s="1150"/>
      <c r="F324" s="1285" t="str">
        <f>INDEX(PT_DIFFERENTIATION_VTAR,MATCH(A324,PT_DIFFERENTIATION_VTAR_ID,0))</f>
        <v>Тариф на транспортировку сточных вод</v>
      </c>
      <c r="G324" s="1373" t="str">
        <f>INDEX(PT_DIFFERENTIATION_NTAR,MATCH(B324,PT_DIFFERENTIATION_NTAR_ID,0))</f>
        <v/>
      </c>
      <c r="H324" s="675"/>
      <c r="I324" s="302"/>
      <c r="J324" s="303"/>
      <c r="K324" s="115"/>
      <c r="L324" s="675" t="s">
        <v>314</v>
      </c>
      <c r="M324" s="820"/>
      <c r="AH324" s="539">
        <v>0</v>
      </c>
    </row>
    <row r="325" spans="1:34" ht="18.75" hidden="1" customHeight="1">
      <c r="C325" s="826" t="s">
        <v>1339</v>
      </c>
      <c r="D325" s="1397"/>
      <c r="E325" s="1150"/>
      <c r="F325" s="1285"/>
      <c r="G325" s="1373"/>
      <c r="H325" s="304"/>
      <c r="I325" s="49" t="s">
        <v>1338</v>
      </c>
      <c r="J325" s="63"/>
      <c r="K325" s="304"/>
      <c r="L325" s="296"/>
      <c r="M325" s="820"/>
      <c r="AH325" s="539">
        <v>0</v>
      </c>
    </row>
    <row r="326" spans="1:34" ht="0.75" hidden="1" customHeight="1">
      <c r="C326" s="826" t="s">
        <v>1346</v>
      </c>
      <c r="D326" s="1397"/>
      <c r="E326" s="1150"/>
      <c r="F326" s="1285"/>
      <c r="G326" s="306"/>
      <c r="H326" s="304"/>
      <c r="I326" s="49"/>
      <c r="J326" s="63"/>
      <c r="K326" s="304"/>
      <c r="L326" s="296"/>
      <c r="M326" s="820"/>
      <c r="AH326" s="539">
        <v>0</v>
      </c>
    </row>
    <row r="327" spans="1:34" ht="18.75" hidden="1" customHeight="1">
      <c r="A327" s="79" t="s">
        <v>283</v>
      </c>
      <c r="B327" s="79" t="s">
        <v>284</v>
      </c>
      <c r="D327" s="1397"/>
      <c r="E327" s="1150"/>
      <c r="F327" s="1285" t="str">
        <f>INDEX(PT_DIFFERENTIATION_VTAR,MATCH(A327,PT_DIFFERENTIATION_VTAR_ID,0))</f>
        <v>Тариф на подключение (технологическое присоединение) к централизованной системе водоотведения</v>
      </c>
      <c r="G327" s="1373" t="str">
        <f>INDEX(PT_DIFFERENTIATION_NTAR,MATCH(B327,PT_DIFFERENTIATION_NTAR_ID,0))</f>
        <v/>
      </c>
      <c r="H327" s="675"/>
      <c r="I327" s="302"/>
      <c r="J327" s="303"/>
      <c r="K327" s="115"/>
      <c r="L327" s="675" t="s">
        <v>314</v>
      </c>
      <c r="M327" s="820"/>
      <c r="AH327" s="539">
        <v>0</v>
      </c>
    </row>
    <row r="328" spans="1:34" ht="18.75" hidden="1" customHeight="1">
      <c r="C328" s="826" t="s">
        <v>1339</v>
      </c>
      <c r="D328" s="1397"/>
      <c r="E328" s="1150"/>
      <c r="F328" s="1285"/>
      <c r="G328" s="1373"/>
      <c r="H328" s="304"/>
      <c r="I328" s="49" t="s">
        <v>1338</v>
      </c>
      <c r="J328" s="63"/>
      <c r="K328" s="304"/>
      <c r="L328" s="296"/>
      <c r="M328" s="820"/>
      <c r="AH328" s="539">
        <v>0</v>
      </c>
    </row>
    <row r="329" spans="1:34" ht="1.1499999999999999" customHeight="1">
      <c r="C329" s="826" t="s">
        <v>1346</v>
      </c>
      <c r="D329" s="1397"/>
      <c r="E329" s="1150"/>
      <c r="F329" s="1285"/>
      <c r="G329" s="306"/>
      <c r="H329" s="304"/>
      <c r="I329" s="49"/>
      <c r="J329" s="63"/>
      <c r="K329" s="304"/>
      <c r="L329" s="296"/>
      <c r="M329" s="820"/>
      <c r="AH329" s="539">
        <v>1</v>
      </c>
    </row>
    <row r="330" spans="1:34" ht="3" customHeight="1">
      <c r="E330" s="309"/>
      <c r="F330" s="309"/>
      <c r="G330" s="309"/>
      <c r="H330" s="309"/>
      <c r="I330" s="309"/>
      <c r="J330" s="309"/>
      <c r="K330" s="309"/>
      <c r="L330" s="309"/>
      <c r="M330" s="309"/>
      <c r="AH330" s="79">
        <v>3</v>
      </c>
    </row>
    <row r="331" spans="1:34" ht="26.25" customHeight="1">
      <c r="F331" s="1038"/>
      <c r="G331" s="1038"/>
      <c r="H331" s="1038"/>
      <c r="I331" s="1038"/>
      <c r="J331" s="1038"/>
      <c r="K331" s="1038"/>
      <c r="L331" s="1038"/>
      <c r="M331" s="1038"/>
      <c r="AH331" s="539">
        <v>25</v>
      </c>
    </row>
    <row r="332" spans="1:34" ht="14.25" hidden="1" customHeight="1">
      <c r="A332" s="310" t="s">
        <v>81</v>
      </c>
      <c r="B332" s="310">
        <v>0</v>
      </c>
      <c r="C332" s="826">
        <v>0</v>
      </c>
      <c r="D332" s="822">
        <v>3</v>
      </c>
      <c r="E332" s="539">
        <v>6</v>
      </c>
      <c r="F332" s="539">
        <v>46</v>
      </c>
      <c r="G332" s="539">
        <v>35</v>
      </c>
      <c r="H332" s="539">
        <v>3</v>
      </c>
      <c r="I332" s="539">
        <v>11</v>
      </c>
      <c r="J332" s="539">
        <v>11</v>
      </c>
      <c r="K332" s="539">
        <v>35</v>
      </c>
      <c r="L332" s="539">
        <v>35</v>
      </c>
      <c r="M332" s="539">
        <v>84</v>
      </c>
      <c r="N332" s="539">
        <v>10</v>
      </c>
      <c r="O332" s="583">
        <v>10</v>
      </c>
      <c r="P332" s="583">
        <v>10</v>
      </c>
      <c r="Q332" s="539">
        <v>10</v>
      </c>
      <c r="R332" s="539">
        <v>10</v>
      </c>
      <c r="S332" s="539">
        <v>10</v>
      </c>
      <c r="T332" s="539">
        <v>10</v>
      </c>
      <c r="U332" s="539">
        <v>10</v>
      </c>
      <c r="V332" s="539">
        <v>10</v>
      </c>
      <c r="W332" s="539">
        <v>10</v>
      </c>
      <c r="X332" s="539">
        <v>10</v>
      </c>
      <c r="Y332" s="539">
        <v>10</v>
      </c>
      <c r="Z332" s="539">
        <v>10</v>
      </c>
      <c r="AA332" s="539">
        <v>10</v>
      </c>
      <c r="AB332" s="539">
        <v>10</v>
      </c>
      <c r="AC332" s="539">
        <v>10</v>
      </c>
      <c r="AD332" s="539">
        <v>10</v>
      </c>
      <c r="AE332" s="539">
        <v>10</v>
      </c>
      <c r="AF332" s="539">
        <v>10</v>
      </c>
      <c r="AG332" s="539">
        <v>10</v>
      </c>
      <c r="AH332" s="53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2" width="9.140625" style="1030" hidden="1" customWidth="1"/>
    <col min="3" max="3" width="3" style="1030" customWidth="1"/>
    <col min="4" max="4" width="6" style="1030" customWidth="1"/>
    <col min="5" max="5" width="53" style="1030" customWidth="1"/>
    <col min="6" max="7" width="35" style="1030" customWidth="1"/>
    <col min="8" max="8" width="89" style="1030" customWidth="1"/>
    <col min="9" max="17" width="10" style="1030" customWidth="1"/>
    <col min="18" max="18" width="10.5703125" style="1030" hidden="1"/>
  </cols>
  <sheetData>
    <row r="1" spans="3:18" ht="22.5" hidden="1" customHeight="1">
      <c r="R1" s="539" t="s">
        <v>14</v>
      </c>
    </row>
    <row r="2" spans="3:18" ht="18.75" hidden="1" customHeight="1">
      <c r="C2" s="375" t="s">
        <v>103</v>
      </c>
      <c r="D2" s="91"/>
      <c r="E2" s="103"/>
      <c r="F2" s="798"/>
      <c r="G2" s="133"/>
      <c r="R2" s="539">
        <v>0</v>
      </c>
    </row>
    <row r="3" spans="3:18" ht="14.25" hidden="1" customHeight="1">
      <c r="R3" s="539">
        <v>0</v>
      </c>
    </row>
    <row r="4" spans="3:18" ht="6.4" customHeight="1">
      <c r="C4" s="757"/>
      <c r="D4" s="557"/>
      <c r="E4" s="557"/>
      <c r="F4" s="557"/>
      <c r="G4" s="814"/>
      <c r="H4" s="814"/>
      <c r="R4" s="539">
        <v>6</v>
      </c>
    </row>
    <row r="5" spans="3:18" ht="34.5" customHeight="1">
      <c r="C5" s="757"/>
      <c r="D5" s="1119"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120"/>
      <c r="F5" s="1120"/>
      <c r="G5" s="1121"/>
      <c r="R5" s="539">
        <v>33</v>
      </c>
    </row>
    <row r="6" spans="3:18" ht="18" customHeight="1">
      <c r="C6" s="757"/>
      <c r="D6" s="1169" t="str">
        <f>IF(org=0,"Не определено",org)</f>
        <v>АО "НИЖЕГОРОДСКИЙ ВОДОКАНАЛ"</v>
      </c>
      <c r="E6" s="1170"/>
      <c r="F6" s="1170"/>
      <c r="G6" s="1171"/>
      <c r="R6" s="539">
        <v>17</v>
      </c>
    </row>
    <row r="7" spans="3:18" ht="14.65" customHeight="1">
      <c r="C7" s="757"/>
      <c r="D7" s="557"/>
      <c r="E7" s="552"/>
      <c r="F7" s="552"/>
      <c r="G7" s="630"/>
      <c r="H7" s="815"/>
      <c r="R7" s="539">
        <v>14</v>
      </c>
    </row>
    <row r="8" spans="3:18" ht="14.65" customHeight="1">
      <c r="C8" s="757"/>
      <c r="D8" s="1155" t="s">
        <v>308</v>
      </c>
      <c r="E8" s="1155"/>
      <c r="F8" s="1155"/>
      <c r="G8" s="1155"/>
      <c r="H8" s="1296" t="s">
        <v>309</v>
      </c>
      <c r="R8" s="539">
        <v>14</v>
      </c>
    </row>
    <row r="9" spans="3:18" ht="24" customHeight="1">
      <c r="C9" s="757"/>
      <c r="D9" s="633" t="s">
        <v>87</v>
      </c>
      <c r="E9" s="603" t="s">
        <v>310</v>
      </c>
      <c r="F9" s="603" t="s">
        <v>311</v>
      </c>
      <c r="G9" s="603" t="s">
        <v>398</v>
      </c>
      <c r="H9" s="1296"/>
      <c r="R9" s="539">
        <v>23</v>
      </c>
    </row>
    <row r="10" spans="3:18" ht="14.65" customHeight="1">
      <c r="C10" s="757"/>
      <c r="D10" s="91" t="s">
        <v>114</v>
      </c>
      <c r="E10" s="89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798"/>
      <c r="G10" s="133"/>
      <c r="H10" s="1113" t="s">
        <v>1347</v>
      </c>
      <c r="R10" s="539">
        <v>14</v>
      </c>
    </row>
    <row r="11" spans="3:18" ht="14.65" customHeight="1">
      <c r="C11" s="757"/>
      <c r="D11" s="91" t="s">
        <v>102</v>
      </c>
      <c r="E11" s="89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798"/>
      <c r="G11" s="133"/>
      <c r="H11" s="1114"/>
      <c r="R11" s="539">
        <v>14</v>
      </c>
    </row>
    <row r="12" spans="3:18" ht="14.65" customHeight="1">
      <c r="C12" s="654"/>
      <c r="D12" s="91" t="s">
        <v>89</v>
      </c>
      <c r="E12" s="797" t="str">
        <f>"Сведения о планировании закупочных процедур"&amp;IF(TEMPLATE_SPHERE="TKO"," &lt;1&gt;","")</f>
        <v>Сведения о планировании закупочных процедур</v>
      </c>
      <c r="F12" s="798"/>
      <c r="G12" s="133"/>
      <c r="H12" s="111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R12" s="539">
        <v>14</v>
      </c>
    </row>
    <row r="13" spans="3:18" ht="14.65" customHeight="1">
      <c r="C13" s="654"/>
      <c r="D13" s="91" t="s">
        <v>90</v>
      </c>
      <c r="E13" s="797" t="str">
        <f>"Сведения о результатах проведения закупочных процедур"&amp;IF(TEMPLATE_SPHERE="TKO"," &lt;1&gt;","")</f>
        <v>Сведения о результатах проведения закупочных процедур</v>
      </c>
      <c r="F13" s="798"/>
      <c r="G13" s="133"/>
      <c r="H13" s="1114"/>
      <c r="R13" s="539">
        <v>14</v>
      </c>
    </row>
    <row r="14" spans="3:18" ht="14.65" customHeight="1">
      <c r="C14" s="757"/>
      <c r="D14" s="761"/>
      <c r="E14" s="49" t="s">
        <v>330</v>
      </c>
      <c r="F14" s="63"/>
      <c r="G14" s="296"/>
      <c r="H14" s="1115"/>
      <c r="R14" s="539">
        <v>14</v>
      </c>
    </row>
    <row r="15" spans="3:18" ht="14.65" customHeight="1">
      <c r="C15" s="757"/>
      <c r="D15" s="896"/>
      <c r="E15" s="378"/>
      <c r="F15" s="379"/>
      <c r="G15" s="380"/>
      <c r="H15" s="897"/>
      <c r="R15" s="539">
        <v>14</v>
      </c>
    </row>
    <row r="16" spans="3:18" ht="14.65" customHeight="1">
      <c r="E16" s="1038"/>
      <c r="F16" s="1038"/>
      <c r="G16" s="1038"/>
      <c r="H16" s="1038"/>
      <c r="R16" s="539">
        <v>14</v>
      </c>
    </row>
    <row r="17" spans="1:18" ht="22.5" hidden="1" customHeight="1">
      <c r="A17" s="301" t="s">
        <v>81</v>
      </c>
      <c r="B17" s="556">
        <v>0</v>
      </c>
      <c r="C17" s="822">
        <v>3</v>
      </c>
      <c r="D17" s="539">
        <v>6</v>
      </c>
      <c r="E17" s="539">
        <v>53</v>
      </c>
      <c r="F17" s="539">
        <v>35</v>
      </c>
      <c r="G17" s="539">
        <v>35</v>
      </c>
      <c r="H17" s="539">
        <v>89</v>
      </c>
      <c r="I17" s="539">
        <v>10</v>
      </c>
      <c r="J17" s="583">
        <v>10</v>
      </c>
      <c r="K17" s="583">
        <v>10</v>
      </c>
      <c r="L17" s="539">
        <v>10</v>
      </c>
      <c r="M17" s="539">
        <v>10</v>
      </c>
      <c r="N17" s="539">
        <v>10</v>
      </c>
      <c r="O17" s="539">
        <v>10</v>
      </c>
      <c r="P17" s="539">
        <v>10</v>
      </c>
      <c r="Q17" s="539">
        <v>10</v>
      </c>
      <c r="R17" s="53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030" hidden="1" customWidth="1"/>
    <col min="3" max="3" width="3" style="1030" customWidth="1"/>
    <col min="4" max="4" width="6" style="1030" customWidth="1"/>
    <col min="5" max="5" width="42" style="1030" customWidth="1"/>
    <col min="6" max="6" width="15" style="1030" customWidth="1"/>
    <col min="7" max="7" width="42" style="1030" customWidth="1"/>
    <col min="8" max="8" width="3" style="1030" customWidth="1"/>
    <col min="9" max="9" width="5" style="1030" customWidth="1"/>
    <col min="10" max="10" width="47" style="1030" customWidth="1"/>
    <col min="11" max="12" width="3" style="1030" customWidth="1"/>
    <col min="13" max="13" width="5" style="1030" customWidth="1"/>
    <col min="14" max="14" width="28" style="1030" customWidth="1"/>
    <col min="15" max="16" width="3" style="1030" customWidth="1"/>
    <col min="17" max="17" width="5" style="1030" customWidth="1"/>
    <col min="18" max="18" width="34" style="1030" customWidth="1"/>
    <col min="19" max="20" width="3.7109375" style="1030" hidden="1" customWidth="1"/>
    <col min="21" max="21" width="5.7109375" style="1030" hidden="1" customWidth="1"/>
    <col min="22" max="22" width="34.42578125" style="1030" hidden="1" customWidth="1"/>
    <col min="23" max="23" width="30" style="1030" customWidth="1"/>
    <col min="24" max="24" width="3" style="1030" customWidth="1"/>
    <col min="25" max="28" width="9.85546875" style="1030" hidden="1" customWidth="1"/>
    <col min="29" max="29" width="27" style="1030" hidden="1" customWidth="1"/>
    <col min="30" max="30" width="10.5703125" style="1030" hidden="1" customWidth="1"/>
    <col min="31" max="31" width="10.7109375" style="1030" hidden="1" customWidth="1"/>
    <col min="32" max="32" width="10" style="1030" hidden="1" customWidth="1"/>
    <col min="33" max="33" width="12.85546875" style="1030" hidden="1" customWidth="1"/>
    <col min="34" max="34" width="24.42578125" style="1030" hidden="1" customWidth="1"/>
    <col min="35" max="35" width="15.85546875" style="1030" hidden="1" customWidth="1"/>
    <col min="36" max="36" width="19.42578125" style="1030" hidden="1" customWidth="1"/>
    <col min="37" max="37" width="11" style="1030" hidden="1" customWidth="1"/>
    <col min="38" max="38" width="23.5703125" style="1030" hidden="1" customWidth="1"/>
    <col min="39" max="39" width="23.85546875" style="1030" hidden="1" customWidth="1"/>
    <col min="40" max="40" width="25.28515625" style="1030" hidden="1" customWidth="1"/>
    <col min="41" max="41" width="16.85546875" style="1030" hidden="1" customWidth="1"/>
    <col min="42" max="42" width="29.5703125" style="1030" hidden="1" customWidth="1"/>
    <col min="43" max="43" width="29.85546875" style="1030" hidden="1" customWidth="1"/>
    <col min="44" max="44" width="9.140625" style="1030" hidden="1"/>
  </cols>
  <sheetData>
    <row r="1" spans="4:44" ht="11.25" hidden="1" customHeight="1">
      <c r="AR1" s="593" t="s">
        <v>14</v>
      </c>
    </row>
    <row r="2" spans="4:44" ht="11.25" hidden="1" customHeight="1">
      <c r="AR2" s="593">
        <v>0</v>
      </c>
    </row>
    <row r="3" spans="4:44" ht="11.25" hidden="1" customHeight="1">
      <c r="AR3" s="593">
        <v>0</v>
      </c>
    </row>
    <row r="4" spans="4:44" ht="3" customHeight="1">
      <c r="AR4" s="593">
        <v>3</v>
      </c>
    </row>
    <row r="5" spans="4:44" ht="30.4" customHeight="1">
      <c r="D5" s="11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120"/>
      <c r="F5" s="1120"/>
      <c r="G5" s="1120"/>
      <c r="H5" s="1120"/>
      <c r="I5" s="1120"/>
      <c r="J5" s="1121"/>
      <c r="AR5" s="595">
        <v>29</v>
      </c>
    </row>
    <row r="6" spans="4:44" ht="14.65" customHeight="1">
      <c r="D6" s="1125" t="str">
        <f>IF(org=0,"Не определено",org)</f>
        <v>АО "НИЖЕГОРОДСКИЙ ВОДОКАНАЛ"</v>
      </c>
      <c r="E6" s="1125"/>
      <c r="F6" s="1125"/>
      <c r="G6" s="1125"/>
      <c r="H6" s="1125"/>
      <c r="I6" s="1125"/>
      <c r="J6" s="1125"/>
      <c r="AR6" s="595">
        <v>14</v>
      </c>
    </row>
    <row r="7" spans="4:44" ht="11.45" customHeight="1">
      <c r="D7" s="1122"/>
      <c r="E7" s="1123"/>
      <c r="F7" s="1123"/>
      <c r="G7" s="1123"/>
      <c r="H7" s="1123"/>
      <c r="I7" s="1123"/>
      <c r="J7" s="1124"/>
      <c r="AR7" s="602">
        <v>11</v>
      </c>
    </row>
    <row r="8" spans="4:44" ht="1.1499999999999999" customHeight="1">
      <c r="AR8" s="595">
        <v>1</v>
      </c>
    </row>
    <row r="9" spans="4:44" ht="28.5" customHeight="1">
      <c r="D9" s="1070" t="s">
        <v>87</v>
      </c>
      <c r="E9" s="1051" t="s">
        <v>132</v>
      </c>
      <c r="F9" s="1050"/>
      <c r="G9" s="1070" t="s">
        <v>110</v>
      </c>
      <c r="H9" s="1070" t="s">
        <v>87</v>
      </c>
      <c r="I9" s="1070"/>
      <c r="J9" s="1070" t="s">
        <v>133</v>
      </c>
      <c r="K9" s="1126" t="s">
        <v>134</v>
      </c>
      <c r="L9" s="1126"/>
      <c r="M9" s="1126"/>
      <c r="N9" s="1126"/>
      <c r="O9" s="1126" t="s">
        <v>135</v>
      </c>
      <c r="P9" s="1126"/>
      <c r="Q9" s="1126"/>
      <c r="R9" s="1126"/>
      <c r="S9" s="1126" t="s">
        <v>136</v>
      </c>
      <c r="T9" s="1126"/>
      <c r="U9" s="1126"/>
      <c r="V9" s="1126"/>
      <c r="W9" s="1070" t="s">
        <v>137</v>
      </c>
      <c r="AR9" s="593">
        <v>27</v>
      </c>
    </row>
    <row r="10" spans="4:44" ht="31.5" customHeight="1">
      <c r="D10" s="1070"/>
      <c r="E10" s="584" t="s">
        <v>88</v>
      </c>
      <c r="F10" s="584" t="s">
        <v>138</v>
      </c>
      <c r="G10" s="1070"/>
      <c r="H10" s="1070"/>
      <c r="I10" s="1070"/>
      <c r="J10" s="1070"/>
      <c r="K10" s="584" t="s">
        <v>113</v>
      </c>
      <c r="L10" s="1070" t="s">
        <v>87</v>
      </c>
      <c r="M10" s="1070"/>
      <c r="N10" s="584" t="s">
        <v>139</v>
      </c>
      <c r="O10" s="584" t="s">
        <v>113</v>
      </c>
      <c r="P10" s="1070" t="s">
        <v>87</v>
      </c>
      <c r="Q10" s="1070"/>
      <c r="R10" s="584" t="s">
        <v>139</v>
      </c>
      <c r="S10" s="584" t="s">
        <v>113</v>
      </c>
      <c r="T10" s="1070" t="s">
        <v>87</v>
      </c>
      <c r="U10" s="1070"/>
      <c r="V10" s="584" t="s">
        <v>88</v>
      </c>
      <c r="W10" s="1070"/>
      <c r="Z10" s="601" t="s">
        <v>140</v>
      </c>
      <c r="AA10" s="601" t="s">
        <v>141</v>
      </c>
      <c r="AB10" s="601" t="s">
        <v>142</v>
      </c>
      <c r="AC10" s="601" t="s">
        <v>143</v>
      </c>
      <c r="AD10" s="601" t="s">
        <v>144</v>
      </c>
      <c r="AE10" s="601" t="s">
        <v>145</v>
      </c>
      <c r="AF10" s="601" t="s">
        <v>146</v>
      </c>
      <c r="AG10" s="601" t="s">
        <v>147</v>
      </c>
      <c r="AH10" s="601" t="s">
        <v>148</v>
      </c>
      <c r="AI10" s="601" t="s">
        <v>149</v>
      </c>
      <c r="AJ10" s="601" t="s">
        <v>150</v>
      </c>
      <c r="AK10" s="601" t="s">
        <v>151</v>
      </c>
      <c r="AL10" s="601" t="s">
        <v>152</v>
      </c>
      <c r="AM10" s="601" t="s">
        <v>153</v>
      </c>
      <c r="AN10" s="601" t="s">
        <v>154</v>
      </c>
      <c r="AO10" s="601" t="s">
        <v>155</v>
      </c>
      <c r="AP10" s="601" t="s">
        <v>156</v>
      </c>
      <c r="AQ10" s="601" t="s">
        <v>157</v>
      </c>
      <c r="AR10" s="593">
        <v>30</v>
      </c>
    </row>
    <row r="11" spans="4:44" ht="12" hidden="1" customHeight="1">
      <c r="D11" s="64" t="s">
        <v>114</v>
      </c>
      <c r="E11" s="64" t="s">
        <v>102</v>
      </c>
      <c r="F11" s="64"/>
      <c r="G11" s="64" t="s">
        <v>89</v>
      </c>
      <c r="H11" s="1118" t="s">
        <v>115</v>
      </c>
      <c r="I11" s="1118"/>
      <c r="J11" s="64" t="s">
        <v>91</v>
      </c>
      <c r="K11" s="64" t="s">
        <v>92</v>
      </c>
      <c r="L11" s="1118" t="s">
        <v>116</v>
      </c>
      <c r="M11" s="1118"/>
      <c r="N11" s="64" t="s">
        <v>158</v>
      </c>
      <c r="O11" s="64" t="s">
        <v>159</v>
      </c>
      <c r="P11" s="1118" t="s">
        <v>160</v>
      </c>
      <c r="Q11" s="1118"/>
      <c r="R11" s="64" t="s">
        <v>161</v>
      </c>
      <c r="S11" s="64" t="s">
        <v>160</v>
      </c>
      <c r="T11" s="1118" t="s">
        <v>161</v>
      </c>
      <c r="U11" s="1118"/>
      <c r="V11" s="64" t="s">
        <v>162</v>
      </c>
      <c r="W11" s="64" t="s">
        <v>163</v>
      </c>
      <c r="AR11" s="583">
        <v>0</v>
      </c>
    </row>
    <row r="12" spans="4:44" ht="14.25" hidden="1" customHeight="1">
      <c r="D12" s="604">
        <v>0</v>
      </c>
      <c r="E12" s="584"/>
      <c r="F12" s="584"/>
      <c r="G12" s="584"/>
      <c r="H12" s="605"/>
      <c r="I12" s="605"/>
      <c r="J12" s="55"/>
      <c r="K12" s="55"/>
      <c r="L12" s="55"/>
      <c r="M12" s="55"/>
      <c r="N12" s="65"/>
      <c r="O12" s="55"/>
      <c r="P12" s="55"/>
      <c r="Q12" s="55"/>
      <c r="R12" s="66"/>
      <c r="S12" s="55"/>
      <c r="T12" s="55"/>
      <c r="U12" s="55"/>
      <c r="V12" s="66"/>
      <c r="W12" s="55"/>
      <c r="AR12" s="593">
        <v>0</v>
      </c>
    </row>
    <row r="13" spans="4:44" ht="17.25" hidden="1" customHeight="1">
      <c r="D13" s="1104">
        <v>1</v>
      </c>
      <c r="E13" s="1097" t="s">
        <v>164</v>
      </c>
      <c r="F13" s="1105" t="s">
        <v>19</v>
      </c>
      <c r="G13" s="1097"/>
      <c r="H13" s="1099"/>
      <c r="I13" s="1101"/>
      <c r="J13" s="1102"/>
      <c r="K13" s="1096"/>
      <c r="L13" s="1096"/>
      <c r="M13" s="1096"/>
      <c r="N13" s="1103"/>
      <c r="O13" s="1096"/>
      <c r="P13" s="1096"/>
      <c r="Q13" s="1096"/>
      <c r="R13" s="1095"/>
      <c r="S13" s="1096"/>
      <c r="T13" s="68"/>
      <c r="U13" s="68"/>
      <c r="V13" s="69"/>
      <c r="W13" s="70"/>
      <c r="AC13" s="607" t="s">
        <v>165</v>
      </c>
      <c r="AD13" s="607" t="s">
        <v>166</v>
      </c>
      <c r="AE13" s="607" t="s">
        <v>167</v>
      </c>
      <c r="AF13" s="607" t="s">
        <v>168</v>
      </c>
      <c r="AG13" s="607" t="s">
        <v>169</v>
      </c>
      <c r="AH13" s="60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607" t="str">
        <f>IF($G$13=0,"",$G$13)</f>
        <v/>
      </c>
      <c r="AJ13" s="607" t="str">
        <f>IF($J$13=0,"",$J$13)</f>
        <v/>
      </c>
      <c r="AK13" s="607" t="str">
        <f>IF($K$13="нет","без дифференциации",IF($N$13=0,"",$N$13))</f>
        <v/>
      </c>
      <c r="AL13" s="607" t="str">
        <f>IF($O$13="нет","без дифференциации",IF($R$13=0,"",$R$13))</f>
        <v/>
      </c>
      <c r="AM13" s="607" t="str">
        <f>IF($S$13="нет","без дифференциации",IF($V$13=0,"",$V$13))</f>
        <v/>
      </c>
      <c r="AN13" s="607">
        <f>$I$13</f>
        <v>0</v>
      </c>
      <c r="AO13" s="607" t="str">
        <f>$I$13&amp;"."&amp;$M$13</f>
        <v>.</v>
      </c>
      <c r="AP13" s="607" t="str">
        <f>$I$13&amp;"."&amp;$M$13&amp;"."&amp;$Q$13</f>
        <v>..</v>
      </c>
      <c r="AQ13" s="607" t="str">
        <f>$I$13&amp;"."&amp;$M$13&amp;"."&amp;$Q$13&amp;"."&amp;$U$13</f>
        <v>...</v>
      </c>
      <c r="AR13" s="593">
        <v>0</v>
      </c>
    </row>
    <row r="14" spans="4:44" ht="17.25" hidden="1" customHeight="1">
      <c r="D14" s="1104"/>
      <c r="E14" s="1097"/>
      <c r="F14" s="1106"/>
      <c r="G14" s="1097"/>
      <c r="H14" s="1100"/>
      <c r="I14" s="1038"/>
      <c r="J14" s="1038"/>
      <c r="K14" s="1038"/>
      <c r="L14" s="1038"/>
      <c r="M14" s="1038"/>
      <c r="N14" s="1038"/>
      <c r="O14" s="1038"/>
      <c r="P14" s="1038"/>
      <c r="Q14" s="1038"/>
      <c r="R14" s="1038"/>
      <c r="S14" s="1038"/>
      <c r="W14" s="609"/>
      <c r="AR14" s="593">
        <v>0</v>
      </c>
    </row>
    <row r="15" spans="4:44" ht="17.25" hidden="1" customHeight="1">
      <c r="D15" s="1104"/>
      <c r="E15" s="1097"/>
      <c r="F15" s="1106"/>
      <c r="G15" s="1097"/>
      <c r="H15" s="1100"/>
      <c r="I15" s="1038"/>
      <c r="J15" s="1038"/>
      <c r="K15" s="1038"/>
      <c r="L15" s="1038"/>
      <c r="M15" s="1038"/>
      <c r="N15" s="1038"/>
      <c r="O15" s="1038"/>
      <c r="W15" s="609"/>
      <c r="AR15" s="593">
        <v>0</v>
      </c>
    </row>
    <row r="16" spans="4:44" ht="17.25" hidden="1" customHeight="1">
      <c r="D16" s="1104"/>
      <c r="E16" s="1097"/>
      <c r="F16" s="1106"/>
      <c r="G16" s="1097"/>
      <c r="H16" s="1100"/>
      <c r="I16" s="1038"/>
      <c r="J16" s="1038"/>
      <c r="K16" s="1038"/>
      <c r="W16" s="609"/>
      <c r="AR16" s="593">
        <v>0</v>
      </c>
    </row>
    <row r="17" spans="4:44" ht="17.25" hidden="1" customHeight="1">
      <c r="D17" s="1081"/>
      <c r="E17" s="1098"/>
      <c r="F17" s="1107"/>
      <c r="G17" s="1098"/>
      <c r="H17" s="610"/>
      <c r="I17" s="611"/>
      <c r="J17" s="611"/>
      <c r="K17" s="611"/>
      <c r="L17" s="611"/>
      <c r="M17" s="611"/>
      <c r="N17" s="611"/>
      <c r="O17" s="611"/>
      <c r="P17" s="611"/>
      <c r="Q17" s="611"/>
      <c r="R17" s="611"/>
      <c r="S17" s="612"/>
      <c r="T17" s="612"/>
      <c r="U17" s="612"/>
      <c r="V17" s="612"/>
      <c r="W17" s="613"/>
      <c r="AR17" s="593">
        <v>0</v>
      </c>
    </row>
    <row r="18" spans="4:44" ht="17.25" hidden="1" customHeight="1">
      <c r="D18" s="1104">
        <v>2</v>
      </c>
      <c r="E18" s="1116"/>
      <c r="F18" s="1105" t="s">
        <v>19</v>
      </c>
      <c r="G18" s="1097"/>
      <c r="H18" s="1099"/>
      <c r="I18" s="1101"/>
      <c r="J18" s="1102"/>
      <c r="K18" s="1096"/>
      <c r="L18" s="1096"/>
      <c r="M18" s="1096"/>
      <c r="N18" s="1103"/>
      <c r="O18" s="1096"/>
      <c r="P18" s="1096"/>
      <c r="Q18" s="1096"/>
      <c r="R18" s="1095"/>
      <c r="S18" s="1096"/>
      <c r="T18" s="68"/>
      <c r="U18" s="68"/>
      <c r="V18" s="69"/>
      <c r="W18" s="70"/>
      <c r="AC18" s="607" t="s">
        <v>170</v>
      </c>
      <c r="AD18" s="607" t="s">
        <v>171</v>
      </c>
      <c r="AE18" s="607" t="s">
        <v>172</v>
      </c>
      <c r="AF18" s="607" t="s">
        <v>173</v>
      </c>
      <c r="AG18" s="607" t="s">
        <v>174</v>
      </c>
      <c r="AH18" s="607" t="str">
        <f>IF($E$18=0,"",$E$18)</f>
        <v/>
      </c>
      <c r="AI18" s="607" t="str">
        <f>IF($G$18=0,"",$G$18)</f>
        <v/>
      </c>
      <c r="AJ18" s="607" t="str">
        <f>IF($J$18=0,"",$J$18)</f>
        <v/>
      </c>
      <c r="AK18" s="607" t="str">
        <f>IF($K$18="нет","без дифференциации",IF($N$18=0,"",$N$18))</f>
        <v/>
      </c>
      <c r="AL18" s="607" t="str">
        <f>IF($O$18="нет","без дифференциации",IF($R$18=0,"",$R$18))</f>
        <v/>
      </c>
      <c r="AM18" s="607" t="str">
        <f>IF($S$18="нет","без дифференциации",IF($V$18=0,"",$V$18))</f>
        <v/>
      </c>
      <c r="AN18" s="72">
        <f>$I$18</f>
        <v>0</v>
      </c>
      <c r="AO18" s="607" t="str">
        <f>$I$18&amp;"."&amp;$M$18</f>
        <v>.</v>
      </c>
      <c r="AP18" s="601" t="str">
        <f>$I$18&amp;"."&amp;$M$18&amp;"."&amp;$Q$18</f>
        <v>..</v>
      </c>
      <c r="AQ18" s="601" t="str">
        <f>$I$18&amp;"."&amp;$M$18&amp;"."&amp;$Q$18&amp;"."&amp;$U$18</f>
        <v>...</v>
      </c>
      <c r="AR18" s="593">
        <v>0</v>
      </c>
    </row>
    <row r="19" spans="4:44" ht="17.25" hidden="1" customHeight="1">
      <c r="D19" s="1104"/>
      <c r="E19" s="1116"/>
      <c r="F19" s="1106"/>
      <c r="G19" s="1097"/>
      <c r="H19" s="1100"/>
      <c r="I19" s="1038"/>
      <c r="J19" s="1038"/>
      <c r="K19" s="1038"/>
      <c r="L19" s="1038"/>
      <c r="M19" s="1038"/>
      <c r="N19" s="1038"/>
      <c r="O19" s="1038"/>
      <c r="P19" s="1038"/>
      <c r="Q19" s="1038"/>
      <c r="R19" s="1038"/>
      <c r="S19" s="1038"/>
      <c r="W19" s="609"/>
      <c r="AR19" s="593">
        <v>0</v>
      </c>
    </row>
    <row r="20" spans="4:44" ht="17.25" hidden="1" customHeight="1">
      <c r="D20" s="1081"/>
      <c r="E20" s="1117"/>
      <c r="F20" s="1106"/>
      <c r="G20" s="1098"/>
      <c r="H20" s="1100"/>
      <c r="I20" s="1038"/>
      <c r="J20" s="1038"/>
      <c r="K20" s="1038"/>
      <c r="L20" s="1038"/>
      <c r="M20" s="1038"/>
      <c r="N20" s="1038"/>
      <c r="O20" s="1038"/>
      <c r="W20" s="609"/>
      <c r="AR20" s="593">
        <v>0</v>
      </c>
    </row>
    <row r="21" spans="4:44" ht="17.25" hidden="1" customHeight="1">
      <c r="D21" s="1081"/>
      <c r="E21" s="1117"/>
      <c r="F21" s="1106"/>
      <c r="G21" s="1098"/>
      <c r="H21" s="1100"/>
      <c r="I21" s="1038"/>
      <c r="J21" s="1038"/>
      <c r="K21" s="1038"/>
      <c r="W21" s="609"/>
      <c r="AR21" s="593">
        <v>0</v>
      </c>
    </row>
    <row r="22" spans="4:44" ht="17.25" hidden="1" customHeight="1">
      <c r="D22" s="1081"/>
      <c r="E22" s="1117"/>
      <c r="F22" s="1107"/>
      <c r="G22" s="1098"/>
      <c r="H22" s="610"/>
      <c r="I22" s="611"/>
      <c r="J22" s="611"/>
      <c r="K22" s="611"/>
      <c r="L22" s="611"/>
      <c r="M22" s="611"/>
      <c r="N22" s="611"/>
      <c r="O22" s="611"/>
      <c r="P22" s="611"/>
      <c r="Q22" s="611"/>
      <c r="R22" s="611"/>
      <c r="S22" s="612"/>
      <c r="T22" s="612"/>
      <c r="U22" s="612"/>
      <c r="V22" s="612"/>
      <c r="W22" s="613"/>
      <c r="AR22" s="593">
        <v>0</v>
      </c>
    </row>
    <row r="23" spans="4:44" ht="17.25" hidden="1" customHeight="1">
      <c r="D23" s="1104">
        <v>2</v>
      </c>
      <c r="E23" s="1097" t="s">
        <v>175</v>
      </c>
      <c r="F23" s="1105" t="s">
        <v>19</v>
      </c>
      <c r="G23" s="1097"/>
      <c r="H23" s="1099"/>
      <c r="I23" s="1101"/>
      <c r="J23" s="1102"/>
      <c r="K23" s="1096"/>
      <c r="L23" s="1096"/>
      <c r="M23" s="1096"/>
      <c r="N23" s="1103"/>
      <c r="O23" s="1096"/>
      <c r="P23" s="1096"/>
      <c r="Q23" s="1096"/>
      <c r="R23" s="1095"/>
      <c r="S23" s="1096"/>
      <c r="T23" s="68"/>
      <c r="U23" s="68"/>
      <c r="V23" s="69"/>
      <c r="W23" s="70"/>
      <c r="AC23" s="607" t="s">
        <v>170</v>
      </c>
      <c r="AD23" s="607" t="s">
        <v>171</v>
      </c>
      <c r="AE23" s="607" t="s">
        <v>172</v>
      </c>
      <c r="AF23" s="607" t="s">
        <v>173</v>
      </c>
      <c r="AG23" s="607" t="s">
        <v>174</v>
      </c>
      <c r="AH23" s="607" t="str">
        <f>IF($E$23=0,"",$E$23)</f>
        <v>Тарифы на тепловую энергию (мощность), поставляемую теплоснабжающими организациями потребителям, другим теплоснабжающим организациям</v>
      </c>
      <c r="AI23" s="607" t="str">
        <f>IF($G$23=0,"",$G$23)</f>
        <v/>
      </c>
      <c r="AJ23" s="607" t="str">
        <f>IF($J$23=0,"",$J$23)</f>
        <v/>
      </c>
      <c r="AK23" s="607" t="str">
        <f>IF($K$23="нет","без дифференциации",IF($N$23=0,"",$N$23))</f>
        <v/>
      </c>
      <c r="AL23" s="607" t="str">
        <f>IF($O$23="нет","без дифференциации",IF($R$23=0,"",$R$23))</f>
        <v/>
      </c>
      <c r="AM23" s="607" t="str">
        <f>IF($S$23="нет","без дифференциации",IF($V$23=0,"",$V$23))</f>
        <v/>
      </c>
      <c r="AN23" s="72">
        <f>$I$23</f>
        <v>0</v>
      </c>
      <c r="AO23" s="607" t="str">
        <f>$I$23&amp;"."&amp;$M$23</f>
        <v>.</v>
      </c>
      <c r="AP23" s="601" t="str">
        <f>$I$23&amp;"."&amp;$M$23&amp;"."&amp;$Q$23</f>
        <v>..</v>
      </c>
      <c r="AQ23" s="601" t="str">
        <f>$I$23&amp;"."&amp;$M$23&amp;"."&amp;$Q$23&amp;"."&amp;$U$23</f>
        <v>...</v>
      </c>
      <c r="AR23" s="593">
        <v>0</v>
      </c>
    </row>
    <row r="24" spans="4:44" ht="17.25" hidden="1" customHeight="1">
      <c r="D24" s="1104"/>
      <c r="E24" s="1097"/>
      <c r="F24" s="1106"/>
      <c r="G24" s="1097"/>
      <c r="H24" s="1100"/>
      <c r="I24" s="1038"/>
      <c r="J24" s="1038"/>
      <c r="K24" s="1038"/>
      <c r="L24" s="1038"/>
      <c r="M24" s="1038"/>
      <c r="N24" s="1038"/>
      <c r="O24" s="1038"/>
      <c r="P24" s="1038"/>
      <c r="Q24" s="1038"/>
      <c r="R24" s="1038"/>
      <c r="S24" s="1038"/>
      <c r="W24" s="609"/>
      <c r="AR24" s="593">
        <v>0</v>
      </c>
    </row>
    <row r="25" spans="4:44" ht="17.25" hidden="1" customHeight="1">
      <c r="D25" s="1081"/>
      <c r="E25" s="1098"/>
      <c r="F25" s="1106"/>
      <c r="G25" s="1098"/>
      <c r="H25" s="1100"/>
      <c r="I25" s="1038"/>
      <c r="J25" s="1038"/>
      <c r="K25" s="1038"/>
      <c r="L25" s="1038"/>
      <c r="M25" s="1038"/>
      <c r="N25" s="1038"/>
      <c r="O25" s="1038"/>
      <c r="W25" s="609"/>
      <c r="AR25" s="593">
        <v>0</v>
      </c>
    </row>
    <row r="26" spans="4:44" ht="17.25" hidden="1" customHeight="1">
      <c r="D26" s="1081"/>
      <c r="E26" s="1098"/>
      <c r="F26" s="1106"/>
      <c r="G26" s="1098"/>
      <c r="H26" s="1100"/>
      <c r="I26" s="1038"/>
      <c r="J26" s="1038"/>
      <c r="K26" s="1038"/>
      <c r="W26" s="609"/>
      <c r="AR26" s="593">
        <v>0</v>
      </c>
    </row>
    <row r="27" spans="4:44" ht="17.25" hidden="1" customHeight="1">
      <c r="D27" s="1081"/>
      <c r="E27" s="1098"/>
      <c r="F27" s="1107"/>
      <c r="G27" s="1098"/>
      <c r="H27" s="610"/>
      <c r="I27" s="611"/>
      <c r="J27" s="611"/>
      <c r="K27" s="611"/>
      <c r="L27" s="611"/>
      <c r="M27" s="611"/>
      <c r="N27" s="611"/>
      <c r="O27" s="611"/>
      <c r="P27" s="611"/>
      <c r="Q27" s="611"/>
      <c r="R27" s="611"/>
      <c r="S27" s="612"/>
      <c r="T27" s="612"/>
      <c r="U27" s="612"/>
      <c r="V27" s="612"/>
      <c r="W27" s="613"/>
      <c r="AR27" s="593">
        <v>0</v>
      </c>
    </row>
    <row r="28" spans="4:44" ht="17.25" hidden="1" customHeight="1">
      <c r="D28" s="1104">
        <v>3</v>
      </c>
      <c r="E28" s="1097" t="s">
        <v>176</v>
      </c>
      <c r="F28" s="1105" t="s">
        <v>19</v>
      </c>
      <c r="G28" s="1097"/>
      <c r="H28" s="1099"/>
      <c r="I28" s="1101"/>
      <c r="J28" s="1102"/>
      <c r="K28" s="1096"/>
      <c r="L28" s="1096"/>
      <c r="M28" s="1096"/>
      <c r="N28" s="1103"/>
      <c r="O28" s="1096"/>
      <c r="P28" s="1096"/>
      <c r="Q28" s="1096"/>
      <c r="R28" s="1095"/>
      <c r="S28" s="1096"/>
      <c r="T28" s="68"/>
      <c r="U28" s="68"/>
      <c r="V28" s="69"/>
      <c r="W28" s="70"/>
      <c r="AC28" s="607" t="s">
        <v>177</v>
      </c>
      <c r="AD28" s="607" t="s">
        <v>178</v>
      </c>
      <c r="AE28" s="607" t="s">
        <v>179</v>
      </c>
      <c r="AF28" s="607" t="s">
        <v>180</v>
      </c>
      <c r="AG28" s="607" t="s">
        <v>181</v>
      </c>
      <c r="AH28" s="607" t="str">
        <f>IF($E$28=0,"",$E$28)</f>
        <v>Тарифы на теплоноситель, поставляемый теплоснабжающими организациями потребителям, другим теплоснабжающим организациям</v>
      </c>
      <c r="AI28" s="607" t="str">
        <f>IF($G$28=0,"",$G$28)</f>
        <v/>
      </c>
      <c r="AJ28" s="607" t="str">
        <f>IF($J$28=0,"",$J$28)</f>
        <v/>
      </c>
      <c r="AK28" s="607" t="str">
        <f>IF($K$28="нет","без дифференциации",IF($N$28=0,"",$N$28))</f>
        <v/>
      </c>
      <c r="AL28" s="607" t="str">
        <f>IF($O$28="нет","без дифференциации",IF($R$28=0,"",$R$28))</f>
        <v/>
      </c>
      <c r="AM28" s="607" t="str">
        <f>IF($S$28="нет","без дифференциации",IF($V$28=0,"",$V$28))</f>
        <v/>
      </c>
      <c r="AN28" s="72">
        <f>$I$28</f>
        <v>0</v>
      </c>
      <c r="AO28" s="607" t="str">
        <f>$I$28&amp;"."&amp;$M$28</f>
        <v>.</v>
      </c>
      <c r="AP28" s="601" t="str">
        <f>$I$28&amp;"."&amp;$M$28&amp;"."&amp;$Q$28</f>
        <v>..</v>
      </c>
      <c r="AQ28" s="601" t="str">
        <f>$I$28&amp;"."&amp;$M$28&amp;"."&amp;$Q$28&amp;"."&amp;$U$28</f>
        <v>...</v>
      </c>
      <c r="AR28" s="593">
        <v>0</v>
      </c>
    </row>
    <row r="29" spans="4:44" ht="17.25" hidden="1" customHeight="1">
      <c r="D29" s="1104"/>
      <c r="E29" s="1097"/>
      <c r="F29" s="1106"/>
      <c r="G29" s="1097"/>
      <c r="H29" s="1100"/>
      <c r="I29" s="1038"/>
      <c r="J29" s="1038"/>
      <c r="K29" s="1038"/>
      <c r="L29" s="1038"/>
      <c r="M29" s="1038"/>
      <c r="N29" s="1038"/>
      <c r="O29" s="1038"/>
      <c r="P29" s="1038"/>
      <c r="Q29" s="1038"/>
      <c r="R29" s="1038"/>
      <c r="S29" s="1038"/>
      <c r="W29" s="609"/>
      <c r="AR29" s="593">
        <v>0</v>
      </c>
    </row>
    <row r="30" spans="4:44" ht="17.25" hidden="1" customHeight="1">
      <c r="D30" s="1081"/>
      <c r="E30" s="1098"/>
      <c r="F30" s="1106"/>
      <c r="G30" s="1098"/>
      <c r="H30" s="1100"/>
      <c r="I30" s="1038"/>
      <c r="J30" s="1038"/>
      <c r="K30" s="1038"/>
      <c r="L30" s="1038"/>
      <c r="M30" s="1038"/>
      <c r="N30" s="1038"/>
      <c r="O30" s="1038"/>
      <c r="W30" s="609"/>
      <c r="AR30" s="593">
        <v>0</v>
      </c>
    </row>
    <row r="31" spans="4:44" ht="17.25" hidden="1" customHeight="1">
      <c r="D31" s="1081"/>
      <c r="E31" s="1098"/>
      <c r="F31" s="1106"/>
      <c r="G31" s="1098"/>
      <c r="H31" s="1100"/>
      <c r="I31" s="1038"/>
      <c r="J31" s="1038"/>
      <c r="K31" s="1038"/>
      <c r="W31" s="609"/>
      <c r="AR31" s="593">
        <v>0</v>
      </c>
    </row>
    <row r="32" spans="4:44" ht="17.25" hidden="1" customHeight="1">
      <c r="D32" s="1081"/>
      <c r="E32" s="1098"/>
      <c r="F32" s="1107"/>
      <c r="G32" s="1098"/>
      <c r="H32" s="610"/>
      <c r="I32" s="611"/>
      <c r="J32" s="611"/>
      <c r="K32" s="611"/>
      <c r="L32" s="611"/>
      <c r="M32" s="611"/>
      <c r="N32" s="611"/>
      <c r="O32" s="611"/>
      <c r="P32" s="611"/>
      <c r="Q32" s="611"/>
      <c r="R32" s="611"/>
      <c r="S32" s="612"/>
      <c r="T32" s="612"/>
      <c r="U32" s="612"/>
      <c r="V32" s="612"/>
      <c r="W32" s="613"/>
      <c r="AR32" s="593">
        <v>0</v>
      </c>
    </row>
    <row r="33" spans="4:44" ht="17.25" hidden="1" customHeight="1">
      <c r="D33" s="1104">
        <v>4</v>
      </c>
      <c r="E33" s="1097" t="s">
        <v>182</v>
      </c>
      <c r="F33" s="1105" t="s">
        <v>19</v>
      </c>
      <c r="G33" s="1097"/>
      <c r="H33" s="1099"/>
      <c r="I33" s="1101"/>
      <c r="J33" s="1102"/>
      <c r="K33" s="1096"/>
      <c r="L33" s="1096"/>
      <c r="M33" s="1096"/>
      <c r="N33" s="1103"/>
      <c r="O33" s="1096"/>
      <c r="P33" s="1096"/>
      <c r="Q33" s="1096"/>
      <c r="R33" s="1095"/>
      <c r="S33" s="1096"/>
      <c r="T33" s="68"/>
      <c r="U33" s="68"/>
      <c r="V33" s="69"/>
      <c r="W33" s="70"/>
      <c r="AC33" s="607" t="s">
        <v>183</v>
      </c>
      <c r="AD33" s="607" t="s">
        <v>184</v>
      </c>
      <c r="AE33" s="607" t="s">
        <v>185</v>
      </c>
      <c r="AF33" s="607" t="s">
        <v>186</v>
      </c>
      <c r="AG33" s="607" t="s">
        <v>187</v>
      </c>
      <c r="AH33" s="60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607" t="str">
        <f>IF($G$33=0,"",$G$33)</f>
        <v/>
      </c>
      <c r="AJ33" s="607" t="str">
        <f>IF($J$33=0,"",$J$33)</f>
        <v/>
      </c>
      <c r="AK33" s="607" t="str">
        <f>IF($K$33="нет","без дифференциации",IF($N$33=0,"",$N$33))</f>
        <v/>
      </c>
      <c r="AL33" s="607" t="str">
        <f>IF($O$33="нет","без дифференциации",IF($R$33=0,"",$R$33))</f>
        <v/>
      </c>
      <c r="AM33" s="607" t="str">
        <f>IF($S$33="нет","без дифференциации",IF($V$33=0,"",$V$33))</f>
        <v/>
      </c>
      <c r="AN33" s="72">
        <f>$I$33</f>
        <v>0</v>
      </c>
      <c r="AO33" s="607" t="str">
        <f>$I$33&amp;"."&amp;$M$33</f>
        <v>.</v>
      </c>
      <c r="AP33" s="601" t="str">
        <f>$I$33&amp;"."&amp;$M$33&amp;"."&amp;$Q$33</f>
        <v>..</v>
      </c>
      <c r="AQ33" s="601" t="str">
        <f>$I$33&amp;"."&amp;$M$33&amp;"."&amp;$Q$33&amp;"."&amp;$U$33</f>
        <v>...</v>
      </c>
      <c r="AR33" s="593">
        <v>0</v>
      </c>
    </row>
    <row r="34" spans="4:44" ht="17.25" hidden="1" customHeight="1">
      <c r="D34" s="1104"/>
      <c r="E34" s="1097"/>
      <c r="F34" s="1106"/>
      <c r="G34" s="1097"/>
      <c r="H34" s="1100"/>
      <c r="I34" s="1038"/>
      <c r="J34" s="1038"/>
      <c r="K34" s="1038"/>
      <c r="L34" s="1038"/>
      <c r="M34" s="1038"/>
      <c r="N34" s="1038"/>
      <c r="O34" s="1038"/>
      <c r="P34" s="1038"/>
      <c r="Q34" s="1038"/>
      <c r="R34" s="1038"/>
      <c r="S34" s="1038"/>
      <c r="W34" s="609"/>
      <c r="AR34" s="593">
        <v>0</v>
      </c>
    </row>
    <row r="35" spans="4:44" ht="17.25" hidden="1" customHeight="1">
      <c r="D35" s="1081"/>
      <c r="E35" s="1098"/>
      <c r="F35" s="1106"/>
      <c r="G35" s="1098"/>
      <c r="H35" s="1100"/>
      <c r="I35" s="1038"/>
      <c r="J35" s="1038"/>
      <c r="K35" s="1038"/>
      <c r="L35" s="1038"/>
      <c r="M35" s="1038"/>
      <c r="N35" s="1038"/>
      <c r="O35" s="1038"/>
      <c r="W35" s="609"/>
      <c r="AR35" s="593">
        <v>0</v>
      </c>
    </row>
    <row r="36" spans="4:44" ht="17.25" hidden="1" customHeight="1">
      <c r="D36" s="1081"/>
      <c r="E36" s="1098"/>
      <c r="F36" s="1106"/>
      <c r="G36" s="1098"/>
      <c r="H36" s="1100"/>
      <c r="I36" s="1038"/>
      <c r="J36" s="1038"/>
      <c r="K36" s="1038"/>
      <c r="W36" s="609"/>
      <c r="AR36" s="593">
        <v>0</v>
      </c>
    </row>
    <row r="37" spans="4:44" ht="17.25" hidden="1" customHeight="1">
      <c r="D37" s="1081"/>
      <c r="E37" s="1098"/>
      <c r="F37" s="1107"/>
      <c r="G37" s="1098"/>
      <c r="H37" s="610"/>
      <c r="I37" s="611"/>
      <c r="J37" s="611"/>
      <c r="K37" s="611"/>
      <c r="L37" s="611"/>
      <c r="M37" s="611"/>
      <c r="N37" s="611"/>
      <c r="O37" s="611"/>
      <c r="P37" s="611"/>
      <c r="Q37" s="611"/>
      <c r="R37" s="611"/>
      <c r="S37" s="612"/>
      <c r="T37" s="612"/>
      <c r="U37" s="612"/>
      <c r="V37" s="612"/>
      <c r="W37" s="613"/>
      <c r="AR37" s="593">
        <v>0</v>
      </c>
    </row>
    <row r="38" spans="4:44" ht="17.25" hidden="1" customHeight="1">
      <c r="D38" s="1104">
        <v>5</v>
      </c>
      <c r="E38" s="1097" t="s">
        <v>188</v>
      </c>
      <c r="F38" s="1105" t="s">
        <v>19</v>
      </c>
      <c r="G38" s="1097"/>
      <c r="H38" s="1099"/>
      <c r="I38" s="1101"/>
      <c r="J38" s="1102"/>
      <c r="K38" s="1096"/>
      <c r="L38" s="1096"/>
      <c r="M38" s="1096"/>
      <c r="N38" s="1103"/>
      <c r="O38" s="1096"/>
      <c r="P38" s="1096"/>
      <c r="Q38" s="1096"/>
      <c r="R38" s="1095"/>
      <c r="S38" s="1096"/>
      <c r="T38" s="68"/>
      <c r="U38" s="68"/>
      <c r="V38" s="69"/>
      <c r="W38" s="70"/>
      <c r="AC38" s="607" t="s">
        <v>189</v>
      </c>
      <c r="AD38" s="607" t="s">
        <v>190</v>
      </c>
      <c r="AE38" s="607" t="s">
        <v>191</v>
      </c>
      <c r="AF38" s="607" t="s">
        <v>192</v>
      </c>
      <c r="AG38" s="607" t="s">
        <v>193</v>
      </c>
      <c r="AH38" s="607" t="str">
        <f>IF($E$38=0,"",$E$38)</f>
        <v>Тарифы на услуги по передаче тепловой энергии</v>
      </c>
      <c r="AI38" s="607" t="str">
        <f>IF($G$38=0,"",$G$38)</f>
        <v/>
      </c>
      <c r="AJ38" s="607" t="str">
        <f>IF($J$38=0,"",$J$38)</f>
        <v/>
      </c>
      <c r="AK38" s="607" t="str">
        <f>IF($K$38="нет","без дифференциации",IF($N$38=0,"",$N$38))</f>
        <v/>
      </c>
      <c r="AL38" s="607" t="str">
        <f>IF($O$38="нет","без дифференциации",IF($R$38=0,"",$R$38))</f>
        <v/>
      </c>
      <c r="AM38" s="607" t="str">
        <f>IF($S$38="нет","без дифференциации",IF($V$38=0,"",$V$38))</f>
        <v/>
      </c>
      <c r="AN38" s="72">
        <f>$I$38</f>
        <v>0</v>
      </c>
      <c r="AO38" s="607" t="str">
        <f>$I$38&amp;"."&amp;$M$38</f>
        <v>.</v>
      </c>
      <c r="AP38" s="601" t="str">
        <f>$I$38&amp;"."&amp;$M$38&amp;"."&amp;$Q$38</f>
        <v>..</v>
      </c>
      <c r="AQ38" s="601" t="str">
        <f>$I$38&amp;"."&amp;$M$38&amp;"."&amp;$Q$38&amp;"."&amp;$U$38</f>
        <v>...</v>
      </c>
      <c r="AR38" s="593">
        <v>0</v>
      </c>
    </row>
    <row r="39" spans="4:44" ht="17.25" hidden="1" customHeight="1">
      <c r="D39" s="1104"/>
      <c r="E39" s="1097"/>
      <c r="F39" s="1106"/>
      <c r="G39" s="1097"/>
      <c r="H39" s="1100"/>
      <c r="I39" s="1038"/>
      <c r="J39" s="1038"/>
      <c r="K39" s="1038"/>
      <c r="L39" s="1038"/>
      <c r="M39" s="1038"/>
      <c r="N39" s="1038"/>
      <c r="O39" s="1038"/>
      <c r="P39" s="1038"/>
      <c r="Q39" s="1038"/>
      <c r="R39" s="1038"/>
      <c r="S39" s="1038"/>
      <c r="W39" s="609"/>
      <c r="AR39" s="593">
        <v>0</v>
      </c>
    </row>
    <row r="40" spans="4:44" ht="17.25" hidden="1" customHeight="1">
      <c r="D40" s="1081"/>
      <c r="E40" s="1098"/>
      <c r="F40" s="1106"/>
      <c r="G40" s="1098"/>
      <c r="H40" s="1100"/>
      <c r="I40" s="1038"/>
      <c r="J40" s="1038"/>
      <c r="K40" s="1038"/>
      <c r="L40" s="1038"/>
      <c r="M40" s="1038"/>
      <c r="N40" s="1038"/>
      <c r="O40" s="1038"/>
      <c r="W40" s="609"/>
      <c r="AR40" s="593">
        <v>0</v>
      </c>
    </row>
    <row r="41" spans="4:44" ht="17.25" hidden="1" customHeight="1">
      <c r="D41" s="1081"/>
      <c r="E41" s="1098"/>
      <c r="F41" s="1106"/>
      <c r="G41" s="1098"/>
      <c r="H41" s="1100"/>
      <c r="I41" s="1038"/>
      <c r="J41" s="1038"/>
      <c r="K41" s="1038"/>
      <c r="W41" s="609"/>
      <c r="AR41" s="593">
        <v>0</v>
      </c>
    </row>
    <row r="42" spans="4:44" ht="17.25" hidden="1" customHeight="1">
      <c r="D42" s="1081"/>
      <c r="E42" s="1098"/>
      <c r="F42" s="1107"/>
      <c r="G42" s="1098"/>
      <c r="H42" s="610"/>
      <c r="I42" s="611"/>
      <c r="J42" s="611"/>
      <c r="K42" s="611"/>
      <c r="L42" s="611"/>
      <c r="M42" s="611"/>
      <c r="N42" s="611"/>
      <c r="O42" s="611"/>
      <c r="P42" s="611"/>
      <c r="Q42" s="611"/>
      <c r="R42" s="611"/>
      <c r="S42" s="612"/>
      <c r="T42" s="612"/>
      <c r="U42" s="612"/>
      <c r="V42" s="612"/>
      <c r="W42" s="613"/>
      <c r="AR42" s="593">
        <v>0</v>
      </c>
    </row>
    <row r="43" spans="4:44" ht="17.25" hidden="1" customHeight="1">
      <c r="D43" s="1104">
        <v>6</v>
      </c>
      <c r="E43" s="1097" t="s">
        <v>194</v>
      </c>
      <c r="F43" s="1105" t="s">
        <v>19</v>
      </c>
      <c r="G43" s="1097"/>
      <c r="H43" s="1099"/>
      <c r="I43" s="1101"/>
      <c r="J43" s="1102"/>
      <c r="K43" s="1096"/>
      <c r="L43" s="1096"/>
      <c r="M43" s="1096"/>
      <c r="N43" s="1103"/>
      <c r="O43" s="1096"/>
      <c r="P43" s="1096"/>
      <c r="Q43" s="1096"/>
      <c r="R43" s="1095"/>
      <c r="S43" s="1096"/>
      <c r="T43" s="68"/>
      <c r="U43" s="68"/>
      <c r="V43" s="69"/>
      <c r="W43" s="70"/>
      <c r="AC43" s="607" t="s">
        <v>195</v>
      </c>
      <c r="AD43" s="607" t="s">
        <v>196</v>
      </c>
      <c r="AE43" s="607" t="s">
        <v>197</v>
      </c>
      <c r="AF43" s="607" t="s">
        <v>198</v>
      </c>
      <c r="AG43" s="607" t="s">
        <v>199</v>
      </c>
      <c r="AH43" s="607" t="str">
        <f>IF($E$43=0,"",$E$43)</f>
        <v>Тарифы на услуги по передаче теплоносителя</v>
      </c>
      <c r="AI43" s="607" t="str">
        <f>IF($G$43=0,"",$G$43)</f>
        <v/>
      </c>
      <c r="AJ43" s="607" t="str">
        <f>IF($J$43=0,"",$J$43)</f>
        <v/>
      </c>
      <c r="AK43" s="607" t="str">
        <f>IF($K$43="нет","без дифференциации",IF($N$43=0,"",$N$43))</f>
        <v/>
      </c>
      <c r="AL43" s="607" t="str">
        <f>IF($O$43="нет","без дифференциации",IF($R$43=0,"",$R$43))</f>
        <v/>
      </c>
      <c r="AM43" s="607" t="str">
        <f>IF($S$43="нет","без дифференциации",IF($V$43=0,"",$V$43))</f>
        <v/>
      </c>
      <c r="AN43" s="72">
        <f>$I$43</f>
        <v>0</v>
      </c>
      <c r="AO43" s="607" t="str">
        <f>$I$43&amp;"."&amp;$M$43</f>
        <v>.</v>
      </c>
      <c r="AP43" s="601" t="str">
        <f>$I$43&amp;"."&amp;$M$43&amp;"."&amp;$Q$43</f>
        <v>..</v>
      </c>
      <c r="AQ43" s="601" t="str">
        <f>$I$43&amp;"."&amp;$M$43&amp;"."&amp;$Q$43&amp;"."&amp;$U$43</f>
        <v>...</v>
      </c>
      <c r="AR43" s="593">
        <v>0</v>
      </c>
    </row>
    <row r="44" spans="4:44" ht="17.25" hidden="1" customHeight="1">
      <c r="D44" s="1104"/>
      <c r="E44" s="1097"/>
      <c r="F44" s="1106"/>
      <c r="G44" s="1097"/>
      <c r="H44" s="1100"/>
      <c r="I44" s="1038"/>
      <c r="J44" s="1038"/>
      <c r="K44" s="1038"/>
      <c r="L44" s="1038"/>
      <c r="M44" s="1038"/>
      <c r="N44" s="1038"/>
      <c r="O44" s="1038"/>
      <c r="P44" s="1038"/>
      <c r="Q44" s="1038"/>
      <c r="R44" s="1038"/>
      <c r="S44" s="1038"/>
      <c r="W44" s="609"/>
      <c r="AR44" s="593">
        <v>0</v>
      </c>
    </row>
    <row r="45" spans="4:44" ht="17.25" hidden="1" customHeight="1">
      <c r="D45" s="1081"/>
      <c r="E45" s="1098"/>
      <c r="F45" s="1106"/>
      <c r="G45" s="1098"/>
      <c r="H45" s="1100"/>
      <c r="I45" s="1038"/>
      <c r="J45" s="1038"/>
      <c r="K45" s="1038"/>
      <c r="L45" s="1038"/>
      <c r="M45" s="1038"/>
      <c r="N45" s="1038"/>
      <c r="O45" s="1038"/>
      <c r="W45" s="609"/>
      <c r="AR45" s="593">
        <v>0</v>
      </c>
    </row>
    <row r="46" spans="4:44" ht="17.25" hidden="1" customHeight="1">
      <c r="D46" s="1081"/>
      <c r="E46" s="1098"/>
      <c r="F46" s="1106"/>
      <c r="G46" s="1098"/>
      <c r="H46" s="1100"/>
      <c r="I46" s="1038"/>
      <c r="J46" s="1038"/>
      <c r="K46" s="1038"/>
      <c r="W46" s="609"/>
      <c r="AR46" s="593">
        <v>0</v>
      </c>
    </row>
    <row r="47" spans="4:44" ht="17.25" hidden="1" customHeight="1">
      <c r="D47" s="1081"/>
      <c r="E47" s="1098"/>
      <c r="F47" s="1107"/>
      <c r="G47" s="1098"/>
      <c r="H47" s="610"/>
      <c r="I47" s="611"/>
      <c r="J47" s="611"/>
      <c r="K47" s="611"/>
      <c r="L47" s="611"/>
      <c r="M47" s="611"/>
      <c r="N47" s="611"/>
      <c r="O47" s="611"/>
      <c r="P47" s="611"/>
      <c r="Q47" s="611"/>
      <c r="R47" s="611"/>
      <c r="S47" s="612"/>
      <c r="T47" s="612"/>
      <c r="U47" s="612"/>
      <c r="V47" s="612"/>
      <c r="W47" s="613"/>
      <c r="AR47" s="593">
        <v>0</v>
      </c>
    </row>
    <row r="48" spans="4:44" ht="17.25" hidden="1" customHeight="1">
      <c r="D48" s="1110">
        <v>7</v>
      </c>
      <c r="E48" s="1113" t="s">
        <v>200</v>
      </c>
      <c r="F48" s="1105" t="s">
        <v>19</v>
      </c>
      <c r="G48" s="1113"/>
      <c r="H48" s="1099"/>
      <c r="I48" s="1101"/>
      <c r="J48" s="1102"/>
      <c r="K48" s="1096"/>
      <c r="L48" s="1096"/>
      <c r="M48" s="1096"/>
      <c r="N48" s="1103"/>
      <c r="O48" s="1096"/>
      <c r="P48" s="1096"/>
      <c r="Q48" s="1096"/>
      <c r="R48" s="1095"/>
      <c r="S48" s="1096"/>
      <c r="T48" s="68"/>
      <c r="U48" s="68"/>
      <c r="V48" s="69"/>
      <c r="W48" s="70"/>
      <c r="AC48" s="607" t="s">
        <v>201</v>
      </c>
      <c r="AD48" s="607" t="s">
        <v>202</v>
      </c>
      <c r="AE48" s="607" t="s">
        <v>203</v>
      </c>
      <c r="AF48" s="607" t="s">
        <v>204</v>
      </c>
      <c r="AG48" s="607" t="s">
        <v>205</v>
      </c>
      <c r="AH48" s="607" t="str">
        <f>IF($E$48=0,"",$E$48)</f>
        <v>Плата за услуги по поддержанию резервной тепловой мощности при отсутствии потребления тепловой энергии</v>
      </c>
      <c r="AI48" s="607" t="str">
        <f>IF($G$48=0,"",$G$48)</f>
        <v/>
      </c>
      <c r="AJ48" s="607" t="str">
        <f>IF($J$48=0,"",$J$48)</f>
        <v/>
      </c>
      <c r="AK48" s="607" t="str">
        <f>IF($K$48="нет","без дифференциации",IF($N$48=0,"",$N$48))</f>
        <v/>
      </c>
      <c r="AL48" s="607" t="str">
        <f>IF($O$48="нет","без дифференциации",IF($R$48=0,"",$R$48))</f>
        <v/>
      </c>
      <c r="AM48" s="607" t="str">
        <f>IF($S$48="нет","без дифференциации",IF($V$48=0,"",$V$48))</f>
        <v/>
      </c>
      <c r="AN48" s="72">
        <f>$I$48</f>
        <v>0</v>
      </c>
      <c r="AO48" s="607" t="str">
        <f>$I$48&amp;"."&amp;$M$48</f>
        <v>.</v>
      </c>
      <c r="AP48" s="601" t="str">
        <f>$I$48&amp;"."&amp;$M$48&amp;"."&amp;$Q$48</f>
        <v>..</v>
      </c>
      <c r="AQ48" s="601" t="str">
        <f>$I$48&amp;"."&amp;$M$48&amp;"."&amp;$Q$48&amp;"."&amp;$U$48</f>
        <v>...</v>
      </c>
      <c r="AR48" s="593">
        <v>0</v>
      </c>
    </row>
    <row r="49" spans="4:44" ht="17.25" hidden="1" customHeight="1">
      <c r="D49" s="1111"/>
      <c r="E49" s="1114"/>
      <c r="F49" s="1106"/>
      <c r="G49" s="1114"/>
      <c r="H49" s="1100"/>
      <c r="I49" s="1038"/>
      <c r="J49" s="1038"/>
      <c r="K49" s="1038"/>
      <c r="L49" s="1038"/>
      <c r="M49" s="1038"/>
      <c r="N49" s="1038"/>
      <c r="O49" s="1038"/>
      <c r="P49" s="1038"/>
      <c r="Q49" s="1038"/>
      <c r="R49" s="1038"/>
      <c r="S49" s="1038"/>
      <c r="W49" s="609"/>
      <c r="AR49" s="593">
        <v>0</v>
      </c>
    </row>
    <row r="50" spans="4:44" ht="17.25" hidden="1" customHeight="1">
      <c r="D50" s="1111"/>
      <c r="E50" s="1114"/>
      <c r="F50" s="1106"/>
      <c r="G50" s="1114"/>
      <c r="H50" s="1100"/>
      <c r="I50" s="1038"/>
      <c r="J50" s="1038"/>
      <c r="K50" s="1038"/>
      <c r="L50" s="1038"/>
      <c r="M50" s="1038"/>
      <c r="N50" s="1038"/>
      <c r="O50" s="1038"/>
      <c r="W50" s="609"/>
      <c r="AR50" s="593">
        <v>0</v>
      </c>
    </row>
    <row r="51" spans="4:44" ht="17.25" hidden="1" customHeight="1">
      <c r="D51" s="1111"/>
      <c r="E51" s="1114"/>
      <c r="F51" s="1106"/>
      <c r="G51" s="1114"/>
      <c r="H51" s="1100"/>
      <c r="I51" s="1038"/>
      <c r="J51" s="1038"/>
      <c r="K51" s="1038"/>
      <c r="W51" s="609"/>
      <c r="AR51" s="593">
        <v>0</v>
      </c>
    </row>
    <row r="52" spans="4:44" ht="17.25" hidden="1" customHeight="1">
      <c r="D52" s="1112"/>
      <c r="E52" s="1115"/>
      <c r="F52" s="1107"/>
      <c r="G52" s="1115"/>
      <c r="H52" s="610"/>
      <c r="I52" s="611"/>
      <c r="J52" s="611"/>
      <c r="K52" s="611"/>
      <c r="L52" s="611"/>
      <c r="M52" s="611"/>
      <c r="N52" s="611"/>
      <c r="O52" s="611"/>
      <c r="P52" s="611"/>
      <c r="Q52" s="611"/>
      <c r="R52" s="611"/>
      <c r="S52" s="612"/>
      <c r="T52" s="612"/>
      <c r="U52" s="612"/>
      <c r="V52" s="612"/>
      <c r="W52" s="613"/>
      <c r="AR52" s="593">
        <v>0</v>
      </c>
    </row>
    <row r="53" spans="4:44" ht="17.25" hidden="1" customHeight="1">
      <c r="D53" s="1104">
        <v>8</v>
      </c>
      <c r="E53" s="1097" t="s">
        <v>206</v>
      </c>
      <c r="F53" s="1105" t="s">
        <v>19</v>
      </c>
      <c r="G53" s="1097"/>
      <c r="H53" s="1099"/>
      <c r="I53" s="1101"/>
      <c r="J53" s="1102"/>
      <c r="K53" s="1096"/>
      <c r="L53" s="1096"/>
      <c r="M53" s="1096"/>
      <c r="N53" s="1103"/>
      <c r="O53" s="1096"/>
      <c r="P53" s="1096"/>
      <c r="Q53" s="1096"/>
      <c r="R53" s="1095"/>
      <c r="S53" s="1096"/>
      <c r="T53" s="68"/>
      <c r="U53" s="68"/>
      <c r="V53" s="69"/>
      <c r="W53" s="70"/>
      <c r="AC53" s="607" t="s">
        <v>207</v>
      </c>
      <c r="AD53" s="607" t="s">
        <v>208</v>
      </c>
      <c r="AE53" s="607" t="s">
        <v>209</v>
      </c>
      <c r="AF53" s="607" t="s">
        <v>210</v>
      </c>
      <c r="AG53" s="607" t="s">
        <v>211</v>
      </c>
      <c r="AH53" s="607" t="str">
        <f>IF($E$53=0,"",$E$53)</f>
        <v>Плата за подключение (технологическое присоединение) к системе теплоснабжения</v>
      </c>
      <c r="AI53" s="607" t="str">
        <f>IF($G$53=0,"",$G$53)</f>
        <v/>
      </c>
      <c r="AJ53" s="607" t="str">
        <f>IF($J$53=0,"",$J$53)</f>
        <v/>
      </c>
      <c r="AK53" s="607" t="str">
        <f>IF($K$53="нет","без дифференциации",IF($N$53=0,"",$N$53))</f>
        <v/>
      </c>
      <c r="AL53" s="607" t="str">
        <f>IF($O$53="нет","без дифференциации",IF($R$53=0,"",$R$53))</f>
        <v/>
      </c>
      <c r="AM53" s="607" t="str">
        <f>IF($S$53="нет","без дифференциации",IF($V$53=0,"",$V$53))</f>
        <v/>
      </c>
      <c r="AN53" s="72">
        <f>$I$53</f>
        <v>0</v>
      </c>
      <c r="AO53" s="607" t="str">
        <f>$I$53&amp;"."&amp;$M$53</f>
        <v>.</v>
      </c>
      <c r="AP53" s="601" t="str">
        <f>$I$53&amp;"."&amp;$M$53&amp;"."&amp;$Q$53</f>
        <v>..</v>
      </c>
      <c r="AQ53" s="601" t="str">
        <f>$I$53&amp;"."&amp;$M$53&amp;"."&amp;$Q$53&amp;"."&amp;$U$53</f>
        <v>...</v>
      </c>
      <c r="AR53" s="593">
        <v>0</v>
      </c>
    </row>
    <row r="54" spans="4:44" ht="17.25" hidden="1" customHeight="1">
      <c r="D54" s="1104"/>
      <c r="E54" s="1097"/>
      <c r="F54" s="1106"/>
      <c r="G54" s="1097"/>
      <c r="H54" s="1100"/>
      <c r="I54" s="1038"/>
      <c r="J54" s="1038"/>
      <c r="K54" s="1038"/>
      <c r="L54" s="1038"/>
      <c r="M54" s="1038"/>
      <c r="N54" s="1038"/>
      <c r="O54" s="1038"/>
      <c r="P54" s="1038"/>
      <c r="Q54" s="1038"/>
      <c r="R54" s="1038"/>
      <c r="S54" s="1038"/>
      <c r="W54" s="609"/>
      <c r="AR54" s="593">
        <v>0</v>
      </c>
    </row>
    <row r="55" spans="4:44" ht="17.25" hidden="1" customHeight="1">
      <c r="D55" s="1081"/>
      <c r="E55" s="1098"/>
      <c r="F55" s="1106"/>
      <c r="G55" s="1098"/>
      <c r="H55" s="1100"/>
      <c r="I55" s="1038"/>
      <c r="J55" s="1038"/>
      <c r="K55" s="1038"/>
      <c r="L55" s="1038"/>
      <c r="M55" s="1038"/>
      <c r="N55" s="1038"/>
      <c r="O55" s="1038"/>
      <c r="W55" s="609"/>
      <c r="AR55" s="593">
        <v>0</v>
      </c>
    </row>
    <row r="56" spans="4:44" ht="17.25" hidden="1" customHeight="1">
      <c r="D56" s="1081"/>
      <c r="E56" s="1098"/>
      <c r="F56" s="1106"/>
      <c r="G56" s="1098"/>
      <c r="H56" s="1100"/>
      <c r="I56" s="1038"/>
      <c r="J56" s="1038"/>
      <c r="K56" s="1038"/>
      <c r="W56" s="609"/>
      <c r="AR56" s="593">
        <v>0</v>
      </c>
    </row>
    <row r="57" spans="4:44" ht="17.25" hidden="1" customHeight="1">
      <c r="D57" s="1081"/>
      <c r="E57" s="1098"/>
      <c r="F57" s="1107"/>
      <c r="G57" s="1098"/>
      <c r="H57" s="610"/>
      <c r="I57" s="611"/>
      <c r="J57" s="611"/>
      <c r="K57" s="611"/>
      <c r="L57" s="611"/>
      <c r="M57" s="611"/>
      <c r="N57" s="611"/>
      <c r="O57" s="611"/>
      <c r="P57" s="611"/>
      <c r="Q57" s="611"/>
      <c r="R57" s="611"/>
      <c r="S57" s="612"/>
      <c r="T57" s="612"/>
      <c r="U57" s="612"/>
      <c r="V57" s="612"/>
      <c r="W57" s="613"/>
      <c r="AR57" s="593">
        <v>0</v>
      </c>
    </row>
    <row r="58" spans="4:44" ht="17.25" hidden="1" customHeight="1">
      <c r="D58" s="1104">
        <v>9</v>
      </c>
      <c r="E58" s="1097" t="s">
        <v>212</v>
      </c>
      <c r="F58" s="1105" t="s">
        <v>19</v>
      </c>
      <c r="G58" s="1097"/>
      <c r="H58" s="1099"/>
      <c r="I58" s="1101"/>
      <c r="J58" s="1102"/>
      <c r="K58" s="1096"/>
      <c r="L58" s="1096"/>
      <c r="M58" s="1096"/>
      <c r="N58" s="1103"/>
      <c r="O58" s="1096"/>
      <c r="P58" s="1096"/>
      <c r="Q58" s="1096"/>
      <c r="R58" s="1095"/>
      <c r="S58" s="1096"/>
      <c r="T58" s="68"/>
      <c r="U58" s="68"/>
      <c r="V58" s="69"/>
      <c r="W58" s="70"/>
      <c r="AC58" s="607" t="s">
        <v>213</v>
      </c>
      <c r="AD58" s="607" t="s">
        <v>214</v>
      </c>
      <c r="AE58" s="607" t="s">
        <v>215</v>
      </c>
      <c r="AF58" s="607" t="s">
        <v>216</v>
      </c>
      <c r="AG58" s="607" t="s">
        <v>217</v>
      </c>
      <c r="AH58" s="607" t="str">
        <f>IF($E$58=0,"",$E$58)</f>
        <v>Плата за подключение (технологическое присоединение) к системе теплоснабжения (индивидуальная)</v>
      </c>
      <c r="AI58" s="607" t="str">
        <f>IF($G$58=0,"",$G$58)</f>
        <v/>
      </c>
      <c r="AJ58" s="607" t="str">
        <f>IF($J$58=0,"",$J$58)</f>
        <v/>
      </c>
      <c r="AK58" s="607" t="str">
        <f>IF($K$58="нет","без дифференциации",IF($N$58=0,"",$N$58))</f>
        <v/>
      </c>
      <c r="AL58" s="607" t="str">
        <f>IF($O$58="нет","без дифференциации",IF($R$58=0,"",$R$58))</f>
        <v/>
      </c>
      <c r="AM58" s="607" t="str">
        <f>IF($S$58="нет","без дифференциации",IF($V$58=0,"",$V$58))</f>
        <v/>
      </c>
      <c r="AN58" s="72">
        <f>$I$58</f>
        <v>0</v>
      </c>
      <c r="AO58" s="607" t="str">
        <f>$I$58&amp;"."&amp;$M$58</f>
        <v>.</v>
      </c>
      <c r="AP58" s="601" t="str">
        <f>$I$58&amp;"."&amp;$M$58&amp;"."&amp;$Q$58</f>
        <v>..</v>
      </c>
      <c r="AQ58" s="601" t="str">
        <f>$I$58&amp;"."&amp;$M$58&amp;"."&amp;$Q$58&amp;"."&amp;$U$58</f>
        <v>...</v>
      </c>
      <c r="AR58" s="593">
        <v>0</v>
      </c>
    </row>
    <row r="59" spans="4:44" ht="17.25" hidden="1" customHeight="1">
      <c r="D59" s="1104"/>
      <c r="E59" s="1097"/>
      <c r="F59" s="1106"/>
      <c r="G59" s="1097"/>
      <c r="H59" s="1100"/>
      <c r="I59" s="1038"/>
      <c r="J59" s="1038"/>
      <c r="K59" s="1038"/>
      <c r="L59" s="1038"/>
      <c r="M59" s="1038"/>
      <c r="N59" s="1038"/>
      <c r="O59" s="1038"/>
      <c r="P59" s="1038"/>
      <c r="Q59" s="1038"/>
      <c r="R59" s="1038"/>
      <c r="S59" s="1038"/>
      <c r="W59" s="609"/>
      <c r="AR59" s="593">
        <v>0</v>
      </c>
    </row>
    <row r="60" spans="4:44" ht="17.25" hidden="1" customHeight="1">
      <c r="D60" s="1081"/>
      <c r="E60" s="1098"/>
      <c r="F60" s="1106"/>
      <c r="G60" s="1098"/>
      <c r="H60" s="1100"/>
      <c r="I60" s="1038"/>
      <c r="J60" s="1038"/>
      <c r="K60" s="1038"/>
      <c r="L60" s="1038"/>
      <c r="M60" s="1038"/>
      <c r="N60" s="1038"/>
      <c r="O60" s="1038"/>
      <c r="W60" s="609"/>
      <c r="AR60" s="593">
        <v>0</v>
      </c>
    </row>
    <row r="61" spans="4:44" ht="17.25" hidden="1" customHeight="1">
      <c r="D61" s="1081"/>
      <c r="E61" s="1098"/>
      <c r="F61" s="1106"/>
      <c r="G61" s="1098"/>
      <c r="H61" s="1100"/>
      <c r="I61" s="1038"/>
      <c r="J61" s="1038"/>
      <c r="K61" s="1038"/>
      <c r="W61" s="609"/>
      <c r="AR61" s="593">
        <v>0</v>
      </c>
    </row>
    <row r="62" spans="4:44" ht="17.25" hidden="1" customHeight="1">
      <c r="D62" s="1081"/>
      <c r="E62" s="1098"/>
      <c r="F62" s="1107"/>
      <c r="G62" s="1098"/>
      <c r="H62" s="610"/>
      <c r="I62" s="611"/>
      <c r="J62" s="611"/>
      <c r="K62" s="611"/>
      <c r="L62" s="611"/>
      <c r="M62" s="611"/>
      <c r="N62" s="611"/>
      <c r="O62" s="611"/>
      <c r="P62" s="611"/>
      <c r="Q62" s="611"/>
      <c r="R62" s="611"/>
      <c r="S62" s="612"/>
      <c r="T62" s="612"/>
      <c r="U62" s="612"/>
      <c r="V62" s="612"/>
      <c r="W62" s="613"/>
      <c r="AR62" s="593">
        <v>0</v>
      </c>
    </row>
    <row r="63" spans="4:44" ht="17.25" hidden="1" customHeight="1">
      <c r="D63" s="1104">
        <v>10</v>
      </c>
      <c r="E63" s="1097" t="s">
        <v>218</v>
      </c>
      <c r="F63" s="1105" t="s">
        <v>19</v>
      </c>
      <c r="G63" s="1097"/>
      <c r="H63" s="1099"/>
      <c r="I63" s="1101"/>
      <c r="J63" s="1102"/>
      <c r="K63" s="1096"/>
      <c r="L63" s="1096"/>
      <c r="M63" s="1096"/>
      <c r="N63" s="1103"/>
      <c r="O63" s="1096"/>
      <c r="P63" s="1096"/>
      <c r="Q63" s="1096"/>
      <c r="R63" s="1095"/>
      <c r="S63" s="1096"/>
      <c r="T63" s="68"/>
      <c r="U63" s="68"/>
      <c r="V63" s="69"/>
      <c r="W63" s="70"/>
      <c r="AC63" s="607" t="s">
        <v>219</v>
      </c>
      <c r="AD63" s="607" t="s">
        <v>220</v>
      </c>
      <c r="AE63" s="607" t="s">
        <v>221</v>
      </c>
      <c r="AF63" s="607" t="s">
        <v>222</v>
      </c>
      <c r="AG63" s="607" t="s">
        <v>223</v>
      </c>
      <c r="AH63" s="607" t="str">
        <f>IF($E$63=0,"",$E$63)</f>
        <v>Предельный уровень цены на тепловую энергию (мощность), поставляемую теплоснабжающими организациями потребителям</v>
      </c>
      <c r="AI63" s="607" t="str">
        <f>IF($G$63=0,"",$G$63)</f>
        <v/>
      </c>
      <c r="AJ63" s="607" t="str">
        <f>IF($J$63=0,"",$J$63)</f>
        <v/>
      </c>
      <c r="AK63" s="607" t="str">
        <f>IF($K$63="нет","без дифференциации",IF($N$63=0,"",$N$63))</f>
        <v/>
      </c>
      <c r="AL63" s="607" t="str">
        <f>IF($O$63="нет","без дифференциации",IF($R$63=0,"",$R$63))</f>
        <v/>
      </c>
      <c r="AM63" s="607" t="str">
        <f>IF($S$63="нет","без дифференциации",IF($V$63=0,"",$V$63))</f>
        <v/>
      </c>
      <c r="AN63" s="72">
        <f>$I$63</f>
        <v>0</v>
      </c>
      <c r="AO63" s="607" t="str">
        <f>$I$63&amp;"."&amp;$M$63</f>
        <v>.</v>
      </c>
      <c r="AP63" s="601" t="str">
        <f>$I$63&amp;"."&amp;$M$63&amp;"."&amp;$Q$63</f>
        <v>..</v>
      </c>
      <c r="AQ63" s="601" t="str">
        <f>$I$63&amp;"."&amp;$M$63&amp;"."&amp;$Q$63&amp;"."&amp;$U$63</f>
        <v>...</v>
      </c>
      <c r="AR63" s="593">
        <v>0</v>
      </c>
    </row>
    <row r="64" spans="4:44" ht="17.25" hidden="1" customHeight="1">
      <c r="D64" s="1104"/>
      <c r="E64" s="1097"/>
      <c r="F64" s="1106"/>
      <c r="G64" s="1097"/>
      <c r="H64" s="1100"/>
      <c r="I64" s="1038"/>
      <c r="J64" s="1038"/>
      <c r="K64" s="1038"/>
      <c r="L64" s="1038"/>
      <c r="M64" s="1038"/>
      <c r="N64" s="1038"/>
      <c r="O64" s="1038"/>
      <c r="P64" s="1038"/>
      <c r="Q64" s="1038"/>
      <c r="R64" s="1038"/>
      <c r="S64" s="1038"/>
      <c r="W64" s="609"/>
      <c r="AR64" s="593">
        <v>0</v>
      </c>
    </row>
    <row r="65" spans="4:44" ht="17.25" hidden="1" customHeight="1">
      <c r="D65" s="1081"/>
      <c r="E65" s="1098"/>
      <c r="F65" s="1106"/>
      <c r="G65" s="1098"/>
      <c r="H65" s="1100"/>
      <c r="I65" s="1038"/>
      <c r="J65" s="1038"/>
      <c r="K65" s="1038"/>
      <c r="L65" s="1038"/>
      <c r="M65" s="1038"/>
      <c r="N65" s="1038"/>
      <c r="O65" s="1038"/>
      <c r="W65" s="609"/>
      <c r="AR65" s="593">
        <v>0</v>
      </c>
    </row>
    <row r="66" spans="4:44" ht="17.25" hidden="1" customHeight="1">
      <c r="D66" s="1081"/>
      <c r="E66" s="1098"/>
      <c r="F66" s="1106"/>
      <c r="G66" s="1098"/>
      <c r="H66" s="1100"/>
      <c r="I66" s="1038"/>
      <c r="J66" s="1038"/>
      <c r="K66" s="1038"/>
      <c r="W66" s="609"/>
      <c r="AR66" s="593">
        <v>0</v>
      </c>
    </row>
    <row r="67" spans="4:44" ht="17.25" hidden="1" customHeight="1">
      <c r="D67" s="1081"/>
      <c r="E67" s="1098"/>
      <c r="F67" s="1107"/>
      <c r="G67" s="1098"/>
      <c r="H67" s="610"/>
      <c r="I67" s="611"/>
      <c r="J67" s="611"/>
      <c r="K67" s="611"/>
      <c r="L67" s="611"/>
      <c r="M67" s="611"/>
      <c r="N67" s="611"/>
      <c r="O67" s="611"/>
      <c r="P67" s="611"/>
      <c r="Q67" s="611"/>
      <c r="R67" s="611"/>
      <c r="S67" s="612"/>
      <c r="T67" s="612"/>
      <c r="U67" s="612"/>
      <c r="V67" s="612"/>
      <c r="W67" s="613"/>
      <c r="AR67" s="593">
        <v>0</v>
      </c>
    </row>
    <row r="68" spans="4:44" ht="11.25" hidden="1" customHeight="1">
      <c r="AR68" s="593">
        <v>0</v>
      </c>
    </row>
    <row r="69" spans="4:44" ht="11.25" hidden="1" customHeight="1">
      <c r="E69" s="1109" t="s">
        <v>224</v>
      </c>
      <c r="F69" s="1038"/>
      <c r="G69" s="1038"/>
      <c r="H69" s="1038"/>
      <c r="I69" s="1038"/>
      <c r="J69" s="1038"/>
      <c r="K69" s="1038"/>
      <c r="L69" s="1038"/>
      <c r="M69" s="1038"/>
      <c r="N69" s="1038"/>
      <c r="O69" s="1038"/>
      <c r="P69" s="1038"/>
      <c r="Q69" s="1038"/>
      <c r="R69" s="1038"/>
      <c r="S69" s="1038"/>
      <c r="T69" s="1038"/>
      <c r="U69" s="1038"/>
      <c r="V69" s="1038"/>
      <c r="W69" s="1038"/>
      <c r="AR69" s="593">
        <v>0</v>
      </c>
    </row>
    <row r="70" spans="4:44" ht="36.75" hidden="1" customHeight="1">
      <c r="E70" s="1108" t="s">
        <v>225</v>
      </c>
      <c r="F70" s="1038"/>
      <c r="G70" s="1038"/>
      <c r="H70" s="1038"/>
      <c r="I70" s="1038"/>
      <c r="J70" s="1038"/>
      <c r="K70" s="1038"/>
      <c r="L70" s="1038"/>
      <c r="M70" s="1038"/>
      <c r="N70" s="1038"/>
      <c r="O70" s="1038"/>
      <c r="P70" s="1038"/>
      <c r="Q70" s="1038"/>
      <c r="R70" s="1038"/>
      <c r="S70" s="1038"/>
      <c r="T70" s="1038"/>
      <c r="U70" s="1038"/>
      <c r="V70" s="1038"/>
      <c r="W70" s="1038"/>
      <c r="AR70" s="593">
        <v>0</v>
      </c>
    </row>
    <row r="71" spans="4:44" ht="28.5" hidden="1" customHeight="1">
      <c r="E71" s="1108" t="s">
        <v>226</v>
      </c>
      <c r="F71" s="1038"/>
      <c r="G71" s="1038"/>
      <c r="H71" s="1038"/>
      <c r="I71" s="1038"/>
      <c r="J71" s="1038"/>
      <c r="K71" s="1038"/>
      <c r="L71" s="1038"/>
      <c r="M71" s="1038"/>
      <c r="N71" s="1038"/>
      <c r="O71" s="1038"/>
      <c r="P71" s="1038"/>
      <c r="Q71" s="1038"/>
      <c r="R71" s="1038"/>
      <c r="S71" s="1038"/>
      <c r="T71" s="1038"/>
      <c r="U71" s="1038"/>
      <c r="V71" s="1038"/>
      <c r="W71" s="1038"/>
      <c r="AR71" s="593">
        <v>0</v>
      </c>
    </row>
    <row r="72" spans="4:44" ht="27" hidden="1" customHeight="1">
      <c r="E72" s="1108" t="s">
        <v>227</v>
      </c>
      <c r="F72" s="1038"/>
      <c r="G72" s="1038"/>
      <c r="H72" s="1038"/>
      <c r="I72" s="1038"/>
      <c r="J72" s="1038"/>
      <c r="K72" s="1038"/>
      <c r="L72" s="1038"/>
      <c r="M72" s="1038"/>
      <c r="N72" s="1038"/>
      <c r="O72" s="1038"/>
      <c r="P72" s="1038"/>
      <c r="Q72" s="1038"/>
      <c r="R72" s="1038"/>
      <c r="S72" s="1038"/>
      <c r="T72" s="1038"/>
      <c r="U72" s="1038"/>
      <c r="V72" s="1038"/>
      <c r="W72" s="1038"/>
      <c r="AR72" s="593">
        <v>0</v>
      </c>
    </row>
    <row r="73" spans="4:44" ht="17.25" hidden="1" customHeight="1">
      <c r="E73" s="1108" t="s">
        <v>228</v>
      </c>
      <c r="F73" s="1038"/>
      <c r="G73" s="1038"/>
      <c r="H73" s="1038"/>
      <c r="I73" s="1038"/>
      <c r="J73" s="1038"/>
      <c r="K73" s="1038"/>
      <c r="L73" s="1038"/>
      <c r="M73" s="1038"/>
      <c r="N73" s="1038"/>
      <c r="O73" s="1038"/>
      <c r="P73" s="1038"/>
      <c r="Q73" s="1038"/>
      <c r="R73" s="1038"/>
      <c r="S73" s="1038"/>
      <c r="T73" s="1038"/>
      <c r="U73" s="1038"/>
      <c r="V73" s="1038"/>
      <c r="W73" s="1038"/>
      <c r="AR73" s="593">
        <v>0</v>
      </c>
    </row>
    <row r="74" spans="4:44" ht="15" hidden="1" customHeight="1">
      <c r="AR74" s="593">
        <v>0</v>
      </c>
    </row>
    <row r="75" spans="4:44" ht="15" hidden="1" customHeight="1">
      <c r="E75" s="1109" t="s">
        <v>229</v>
      </c>
      <c r="F75" s="1038"/>
      <c r="G75" s="1038"/>
      <c r="H75" s="1038"/>
      <c r="I75" s="1038"/>
      <c r="J75" s="1038"/>
      <c r="K75" s="1038"/>
      <c r="L75" s="1038"/>
      <c r="M75" s="1038"/>
      <c r="N75" s="1038"/>
      <c r="O75" s="1038"/>
      <c r="P75" s="1038"/>
      <c r="Q75" s="1038"/>
      <c r="R75" s="1038"/>
      <c r="S75" s="1038"/>
      <c r="T75" s="1038"/>
      <c r="U75" s="1038"/>
      <c r="V75" s="1038"/>
      <c r="W75" s="1038"/>
      <c r="AR75" s="593">
        <v>0</v>
      </c>
    </row>
    <row r="76" spans="4:44" ht="17.25" hidden="1" customHeight="1">
      <c r="E76" s="1108" t="s">
        <v>230</v>
      </c>
      <c r="F76" s="1038"/>
      <c r="G76" s="1038"/>
      <c r="H76" s="1038"/>
      <c r="I76" s="1038"/>
      <c r="J76" s="1038"/>
      <c r="K76" s="1038"/>
      <c r="L76" s="1038"/>
      <c r="M76" s="1038"/>
      <c r="N76" s="1038"/>
      <c r="O76" s="1038"/>
      <c r="P76" s="1038"/>
      <c r="Q76" s="1038"/>
      <c r="R76" s="1038"/>
      <c r="S76" s="1038"/>
      <c r="T76" s="1038"/>
      <c r="U76" s="1038"/>
      <c r="V76" s="1038"/>
      <c r="W76" s="1038"/>
      <c r="AR76" s="593">
        <v>0</v>
      </c>
    </row>
    <row r="77" spans="4:44" ht="17.25" hidden="1" customHeight="1">
      <c r="E77" s="1108" t="s">
        <v>231</v>
      </c>
      <c r="F77" s="1038"/>
      <c r="G77" s="1038"/>
      <c r="H77" s="1038"/>
      <c r="I77" s="1038"/>
      <c r="J77" s="1038"/>
      <c r="K77" s="1038"/>
      <c r="L77" s="1038"/>
      <c r="M77" s="1038"/>
      <c r="N77" s="1038"/>
      <c r="O77" s="1038"/>
      <c r="P77" s="1038"/>
      <c r="Q77" s="1038"/>
      <c r="R77" s="1038"/>
      <c r="S77" s="1038"/>
      <c r="T77" s="1038"/>
      <c r="U77" s="1038"/>
      <c r="V77" s="1038"/>
      <c r="W77" s="1038"/>
      <c r="AR77" s="593">
        <v>0</v>
      </c>
    </row>
    <row r="78" spans="4:44" ht="11.25" hidden="1" customHeight="1">
      <c r="AR78" s="593">
        <v>0</v>
      </c>
    </row>
    <row r="79" spans="4:44" ht="17.25" hidden="1" customHeight="1">
      <c r="D79" s="1104">
        <v>1</v>
      </c>
      <c r="E79" s="1097" t="s">
        <v>232</v>
      </c>
      <c r="F79" s="1105" t="s">
        <v>19</v>
      </c>
      <c r="G79" s="1097"/>
      <c r="H79" s="1099"/>
      <c r="I79" s="1101"/>
      <c r="J79" s="1102"/>
      <c r="K79" s="1096"/>
      <c r="L79" s="1096"/>
      <c r="M79" s="1096"/>
      <c r="N79" s="1103"/>
      <c r="O79" s="1096"/>
      <c r="P79" s="1096"/>
      <c r="Q79" s="1096"/>
      <c r="R79" s="1095"/>
      <c r="S79" s="1096"/>
      <c r="T79" s="68"/>
      <c r="U79" s="68"/>
      <c r="V79" s="69"/>
      <c r="W79" s="70"/>
      <c r="AC79" s="607" t="s">
        <v>233</v>
      </c>
      <c r="AD79" s="607" t="s">
        <v>234</v>
      </c>
      <c r="AE79" s="607" t="s">
        <v>235</v>
      </c>
      <c r="AF79" s="607" t="s">
        <v>236</v>
      </c>
      <c r="AH79" s="607" t="str">
        <f>IF($E$79=0,"",$E$79)</f>
        <v>Тариф на питьевую воду (питьевое водоснабжение)</v>
      </c>
      <c r="AI79" s="607" t="str">
        <f>IF($G$79=0,"",$G$79)</f>
        <v/>
      </c>
      <c r="AJ79" s="607" t="str">
        <f>IF($J$79=0,"",$J$79)</f>
        <v/>
      </c>
      <c r="AK79" s="607" t="str">
        <f>IF($K$79="нет","без дифференциации",IF($N$79=0,"",$N$79))</f>
        <v/>
      </c>
      <c r="AL79" s="607" t="str">
        <f>IF($O$79="нет","без дифференциации",IF($R$79=0,"",$R$79))</f>
        <v/>
      </c>
      <c r="AM79" s="607" t="str">
        <f>IF($S$79="нет","без дифференциации",IF($V$79=0,"",$V$79))</f>
        <v/>
      </c>
      <c r="AN79" s="607">
        <f>$I$79</f>
        <v>0</v>
      </c>
      <c r="AO79" s="607" t="str">
        <f>$I$79&amp;"."&amp;$M$79</f>
        <v>.</v>
      </c>
      <c r="AP79" s="607" t="str">
        <f>$I$79&amp;"."&amp;$M$79&amp;"."&amp;$Q$79</f>
        <v>..</v>
      </c>
      <c r="AQ79" s="607" t="str">
        <f>$I$79&amp;"."&amp;$M$79&amp;"."&amp;$Q$79&amp;"."&amp;$U$79</f>
        <v>...</v>
      </c>
      <c r="AR79" s="593">
        <v>0</v>
      </c>
    </row>
    <row r="80" spans="4:44" ht="17.25" hidden="1" customHeight="1">
      <c r="D80" s="1104"/>
      <c r="E80" s="1097"/>
      <c r="F80" s="1106"/>
      <c r="G80" s="1097"/>
      <c r="H80" s="1100"/>
      <c r="I80" s="1038"/>
      <c r="J80" s="1038"/>
      <c r="K80" s="1038"/>
      <c r="L80" s="1038"/>
      <c r="M80" s="1038"/>
      <c r="N80" s="1038"/>
      <c r="O80" s="1038"/>
      <c r="P80" s="1038"/>
      <c r="Q80" s="1038"/>
      <c r="R80" s="1038"/>
      <c r="S80" s="1038"/>
      <c r="W80" s="609"/>
      <c r="AR80" s="593">
        <v>0</v>
      </c>
    </row>
    <row r="81" spans="4:44" ht="17.25" hidden="1" customHeight="1">
      <c r="D81" s="1104"/>
      <c r="E81" s="1097"/>
      <c r="F81" s="1106"/>
      <c r="G81" s="1097"/>
      <c r="H81" s="1100"/>
      <c r="I81" s="1038"/>
      <c r="J81" s="1038"/>
      <c r="K81" s="1038"/>
      <c r="L81" s="1038"/>
      <c r="M81" s="1038"/>
      <c r="N81" s="1038"/>
      <c r="O81" s="1038"/>
      <c r="W81" s="609"/>
      <c r="AR81" s="593">
        <v>0</v>
      </c>
    </row>
    <row r="82" spans="4:44" ht="17.25" hidden="1" customHeight="1">
      <c r="D82" s="1104"/>
      <c r="E82" s="1097"/>
      <c r="F82" s="1106"/>
      <c r="G82" s="1097"/>
      <c r="H82" s="1100"/>
      <c r="I82" s="1038"/>
      <c r="J82" s="1038"/>
      <c r="K82" s="1038"/>
      <c r="W82" s="609"/>
      <c r="AR82" s="593">
        <v>0</v>
      </c>
    </row>
    <row r="83" spans="4:44" ht="17.25" hidden="1" customHeight="1">
      <c r="D83" s="1081"/>
      <c r="E83" s="1098"/>
      <c r="F83" s="1107"/>
      <c r="G83" s="1098"/>
      <c r="H83" s="610"/>
      <c r="I83" s="611"/>
      <c r="J83" s="611"/>
      <c r="K83" s="611"/>
      <c r="L83" s="611"/>
      <c r="M83" s="611"/>
      <c r="N83" s="611"/>
      <c r="O83" s="611"/>
      <c r="P83" s="611"/>
      <c r="Q83" s="611"/>
      <c r="R83" s="611"/>
      <c r="S83" s="612"/>
      <c r="T83" s="612"/>
      <c r="U83" s="612"/>
      <c r="V83" s="612"/>
      <c r="W83" s="613"/>
      <c r="AR83" s="593">
        <v>0</v>
      </c>
    </row>
    <row r="84" spans="4:44" ht="17.25" hidden="1" customHeight="1">
      <c r="D84" s="1104">
        <v>2</v>
      </c>
      <c r="E84" s="1097" t="s">
        <v>237</v>
      </c>
      <c r="F84" s="1105" t="s">
        <v>19</v>
      </c>
      <c r="G84" s="1097"/>
      <c r="H84" s="1099"/>
      <c r="I84" s="1101"/>
      <c r="J84" s="1102"/>
      <c r="K84" s="1096"/>
      <c r="L84" s="1096"/>
      <c r="M84" s="1096"/>
      <c r="N84" s="1103"/>
      <c r="O84" s="1096"/>
      <c r="P84" s="1096"/>
      <c r="Q84" s="1096"/>
      <c r="R84" s="1095"/>
      <c r="S84" s="1096"/>
      <c r="T84" s="68"/>
      <c r="U84" s="68"/>
      <c r="V84" s="69"/>
      <c r="W84" s="70"/>
      <c r="AC84" s="607" t="s">
        <v>238</v>
      </c>
      <c r="AD84" s="607" t="s">
        <v>239</v>
      </c>
      <c r="AE84" s="607" t="s">
        <v>240</v>
      </c>
      <c r="AF84" s="607" t="s">
        <v>241</v>
      </c>
      <c r="AH84" s="607" t="str">
        <f>IF($E$84=0,"",$E$84)</f>
        <v>Тариф на техническую воду</v>
      </c>
      <c r="AI84" s="607" t="str">
        <f>IF($G$84=0,"",$G$84)</f>
        <v/>
      </c>
      <c r="AJ84" s="607" t="str">
        <f>IF($J$84=0,"",$J$84)</f>
        <v/>
      </c>
      <c r="AK84" s="607" t="str">
        <f>IF($K$84="нет","без дифференциации",IF($N$84=0,"",$N$84))</f>
        <v/>
      </c>
      <c r="AL84" s="607" t="str">
        <f>IF($O$84="нет","без дифференциации",IF($R$84=0,"",$R$84))</f>
        <v/>
      </c>
      <c r="AM84" s="607" t="str">
        <f>IF($S$84="нет","без дифференциации",IF($V$84=0,"",$V$84))</f>
        <v/>
      </c>
      <c r="AN84" s="72">
        <f>$I$84</f>
        <v>0</v>
      </c>
      <c r="AO84" s="607" t="str">
        <f>$I$84&amp;"."&amp;$M$84</f>
        <v>.</v>
      </c>
      <c r="AP84" s="601" t="str">
        <f>$I$84&amp;"."&amp;$M$84&amp;"."&amp;$Q$84</f>
        <v>..</v>
      </c>
      <c r="AQ84" s="601" t="str">
        <f>$I$84&amp;"."&amp;$M$84&amp;"."&amp;$Q$84&amp;"."&amp;$U$84</f>
        <v>...</v>
      </c>
      <c r="AR84" s="593">
        <v>0</v>
      </c>
    </row>
    <row r="85" spans="4:44" ht="17.25" hidden="1" customHeight="1">
      <c r="D85" s="1104"/>
      <c r="E85" s="1097"/>
      <c r="F85" s="1106"/>
      <c r="G85" s="1097"/>
      <c r="H85" s="1100"/>
      <c r="I85" s="1038"/>
      <c r="J85" s="1038"/>
      <c r="K85" s="1038"/>
      <c r="L85" s="1038"/>
      <c r="M85" s="1038"/>
      <c r="N85" s="1038"/>
      <c r="O85" s="1038"/>
      <c r="P85" s="1038"/>
      <c r="Q85" s="1038"/>
      <c r="R85" s="1038"/>
      <c r="S85" s="1038"/>
      <c r="W85" s="609"/>
      <c r="AR85" s="593">
        <v>0</v>
      </c>
    </row>
    <row r="86" spans="4:44" ht="17.25" hidden="1" customHeight="1">
      <c r="D86" s="1081"/>
      <c r="E86" s="1098"/>
      <c r="F86" s="1106"/>
      <c r="G86" s="1098"/>
      <c r="H86" s="1100"/>
      <c r="I86" s="1038"/>
      <c r="J86" s="1038"/>
      <c r="K86" s="1038"/>
      <c r="L86" s="1038"/>
      <c r="M86" s="1038"/>
      <c r="N86" s="1038"/>
      <c r="O86" s="1038"/>
      <c r="W86" s="609"/>
      <c r="AR86" s="593">
        <v>0</v>
      </c>
    </row>
    <row r="87" spans="4:44" ht="17.25" hidden="1" customHeight="1">
      <c r="D87" s="1081"/>
      <c r="E87" s="1098"/>
      <c r="F87" s="1106"/>
      <c r="G87" s="1098"/>
      <c r="H87" s="1100"/>
      <c r="I87" s="1038"/>
      <c r="J87" s="1038"/>
      <c r="K87" s="1038"/>
      <c r="W87" s="609"/>
      <c r="AR87" s="593">
        <v>0</v>
      </c>
    </row>
    <row r="88" spans="4:44" ht="17.25" hidden="1" customHeight="1">
      <c r="D88" s="1081"/>
      <c r="E88" s="1098"/>
      <c r="F88" s="1107"/>
      <c r="G88" s="1098"/>
      <c r="H88" s="610"/>
      <c r="I88" s="611"/>
      <c r="J88" s="611"/>
      <c r="K88" s="611"/>
      <c r="L88" s="611"/>
      <c r="M88" s="611"/>
      <c r="N88" s="611"/>
      <c r="O88" s="611"/>
      <c r="P88" s="611"/>
      <c r="Q88" s="611"/>
      <c r="R88" s="611"/>
      <c r="S88" s="612"/>
      <c r="T88" s="612"/>
      <c r="U88" s="612"/>
      <c r="V88" s="612"/>
      <c r="W88" s="613"/>
      <c r="AR88" s="593">
        <v>0</v>
      </c>
    </row>
    <row r="89" spans="4:44" ht="17.25" hidden="1" customHeight="1">
      <c r="D89" s="1104">
        <v>3</v>
      </c>
      <c r="E89" s="1097" t="s">
        <v>242</v>
      </c>
      <c r="F89" s="1105" t="s">
        <v>19</v>
      </c>
      <c r="G89" s="1097"/>
      <c r="H89" s="1099"/>
      <c r="I89" s="1101"/>
      <c r="J89" s="1102"/>
      <c r="K89" s="1096"/>
      <c r="L89" s="1096"/>
      <c r="M89" s="1096"/>
      <c r="N89" s="1103"/>
      <c r="O89" s="1096"/>
      <c r="P89" s="1096"/>
      <c r="Q89" s="1096"/>
      <c r="R89" s="1095"/>
      <c r="S89" s="1096"/>
      <c r="T89" s="68"/>
      <c r="U89" s="68"/>
      <c r="V89" s="69"/>
      <c r="W89" s="70"/>
      <c r="AC89" s="607" t="s">
        <v>243</v>
      </c>
      <c r="AD89" s="607" t="s">
        <v>244</v>
      </c>
      <c r="AE89" s="607" t="s">
        <v>245</v>
      </c>
      <c r="AF89" s="607" t="s">
        <v>246</v>
      </c>
      <c r="AH89" s="607" t="str">
        <f>IF($E$89=0,"",$E$89)</f>
        <v>Тариф на транспортировку воды</v>
      </c>
      <c r="AI89" s="607" t="str">
        <f>IF($G$89=0,"",$G$89)</f>
        <v/>
      </c>
      <c r="AJ89" s="607" t="str">
        <f>IF($J$89=0,"",$J$89)</f>
        <v/>
      </c>
      <c r="AK89" s="607" t="str">
        <f>IF($K$89="нет","без дифференциации",IF($N$89=0,"",$N$89))</f>
        <v/>
      </c>
      <c r="AL89" s="607" t="str">
        <f>IF($O$89="нет","без дифференциации",IF($R$89=0,"",$R$89))</f>
        <v/>
      </c>
      <c r="AM89" s="607" t="str">
        <f>IF($S$89="нет","без дифференциации",IF($V$89=0,"",$V$89))</f>
        <v/>
      </c>
      <c r="AN89" s="72">
        <f>$I$89</f>
        <v>0</v>
      </c>
      <c r="AO89" s="607" t="str">
        <f>$I$89&amp;"."&amp;$M$89</f>
        <v>.</v>
      </c>
      <c r="AP89" s="601" t="str">
        <f>$I$89&amp;"."&amp;$M$89&amp;"."&amp;$Q$89</f>
        <v>..</v>
      </c>
      <c r="AQ89" s="601" t="str">
        <f>$I$89&amp;"."&amp;$M$89&amp;"."&amp;$Q$89&amp;"."&amp;$U$89</f>
        <v>...</v>
      </c>
      <c r="AR89" s="593">
        <v>0</v>
      </c>
    </row>
    <row r="90" spans="4:44" ht="17.25" hidden="1" customHeight="1">
      <c r="D90" s="1104"/>
      <c r="E90" s="1097"/>
      <c r="F90" s="1106"/>
      <c r="G90" s="1097"/>
      <c r="H90" s="1100"/>
      <c r="I90" s="1038"/>
      <c r="J90" s="1038"/>
      <c r="K90" s="1038"/>
      <c r="L90" s="1038"/>
      <c r="M90" s="1038"/>
      <c r="N90" s="1038"/>
      <c r="O90" s="1038"/>
      <c r="P90" s="1038"/>
      <c r="Q90" s="1038"/>
      <c r="R90" s="1038"/>
      <c r="S90" s="1038"/>
      <c r="W90" s="609"/>
      <c r="AR90" s="593">
        <v>0</v>
      </c>
    </row>
    <row r="91" spans="4:44" ht="17.25" hidden="1" customHeight="1">
      <c r="D91" s="1081"/>
      <c r="E91" s="1098"/>
      <c r="F91" s="1106"/>
      <c r="G91" s="1098"/>
      <c r="H91" s="1100"/>
      <c r="I91" s="1038"/>
      <c r="J91" s="1038"/>
      <c r="K91" s="1038"/>
      <c r="L91" s="1038"/>
      <c r="M91" s="1038"/>
      <c r="N91" s="1038"/>
      <c r="O91" s="1038"/>
      <c r="W91" s="609"/>
      <c r="AR91" s="593">
        <v>0</v>
      </c>
    </row>
    <row r="92" spans="4:44" ht="17.25" hidden="1" customHeight="1">
      <c r="D92" s="1081"/>
      <c r="E92" s="1098"/>
      <c r="F92" s="1106"/>
      <c r="G92" s="1098"/>
      <c r="H92" s="1100"/>
      <c r="I92" s="1038"/>
      <c r="J92" s="1038"/>
      <c r="K92" s="1038"/>
      <c r="W92" s="609"/>
      <c r="AR92" s="593">
        <v>0</v>
      </c>
    </row>
    <row r="93" spans="4:44" ht="17.25" hidden="1" customHeight="1">
      <c r="D93" s="1081"/>
      <c r="E93" s="1098"/>
      <c r="F93" s="1107"/>
      <c r="G93" s="1098"/>
      <c r="H93" s="610"/>
      <c r="I93" s="611"/>
      <c r="J93" s="611"/>
      <c r="K93" s="611"/>
      <c r="L93" s="611"/>
      <c r="M93" s="611"/>
      <c r="N93" s="611"/>
      <c r="O93" s="611"/>
      <c r="P93" s="611"/>
      <c r="Q93" s="611"/>
      <c r="R93" s="611"/>
      <c r="S93" s="612"/>
      <c r="T93" s="612"/>
      <c r="U93" s="612"/>
      <c r="V93" s="612"/>
      <c r="W93" s="613"/>
      <c r="AR93" s="593">
        <v>0</v>
      </c>
    </row>
    <row r="94" spans="4:44" ht="17.25" hidden="1" customHeight="1">
      <c r="D94" s="1104">
        <v>4</v>
      </c>
      <c r="E94" s="1097" t="s">
        <v>247</v>
      </c>
      <c r="F94" s="1105" t="s">
        <v>19</v>
      </c>
      <c r="G94" s="1097"/>
      <c r="H94" s="1099"/>
      <c r="I94" s="1101"/>
      <c r="J94" s="1102"/>
      <c r="K94" s="1096"/>
      <c r="L94" s="1096"/>
      <c r="M94" s="1096"/>
      <c r="N94" s="1103"/>
      <c r="O94" s="1096"/>
      <c r="P94" s="1096"/>
      <c r="Q94" s="1096"/>
      <c r="R94" s="1095"/>
      <c r="S94" s="1096"/>
      <c r="T94" s="68"/>
      <c r="U94" s="68"/>
      <c r="V94" s="69"/>
      <c r="W94" s="70"/>
      <c r="AC94" s="607" t="s">
        <v>248</v>
      </c>
      <c r="AD94" s="607" t="s">
        <v>249</v>
      </c>
      <c r="AE94" s="607" t="s">
        <v>250</v>
      </c>
      <c r="AF94" s="607" t="s">
        <v>251</v>
      </c>
      <c r="AH94" s="607" t="str">
        <f>IF($E$94=0,"",$E$94)</f>
        <v>Тариф на подвоз воды</v>
      </c>
      <c r="AI94" s="607" t="str">
        <f>IF($G$94=0,"",$G$94)</f>
        <v/>
      </c>
      <c r="AJ94" s="607" t="str">
        <f>IF($J$94=0,"",$J$94)</f>
        <v/>
      </c>
      <c r="AK94" s="607" t="str">
        <f>IF($K$94="нет","без дифференциации",IF($N$94=0,"",$N$94))</f>
        <v/>
      </c>
      <c r="AL94" s="607" t="str">
        <f>IF($O$94="нет","без дифференциации",IF($R$94=0,"",$R$94))</f>
        <v/>
      </c>
      <c r="AM94" s="607" t="str">
        <f>IF($S$94="нет","без дифференциации",IF($V$94=0,"",$V$94))</f>
        <v/>
      </c>
      <c r="AN94" s="72">
        <f>$I$94</f>
        <v>0</v>
      </c>
      <c r="AO94" s="607" t="str">
        <f>$I$94&amp;"."&amp;$M$94</f>
        <v>.</v>
      </c>
      <c r="AP94" s="601" t="str">
        <f>$I$94&amp;"."&amp;$M$94&amp;"."&amp;$Q$94</f>
        <v>..</v>
      </c>
      <c r="AQ94" s="601" t="str">
        <f>$I$94&amp;"."&amp;$M$94&amp;"."&amp;$Q$94&amp;"."&amp;$U$94</f>
        <v>...</v>
      </c>
      <c r="AR94" s="593">
        <v>0</v>
      </c>
    </row>
    <row r="95" spans="4:44" ht="17.25" hidden="1" customHeight="1">
      <c r="D95" s="1104"/>
      <c r="E95" s="1097"/>
      <c r="F95" s="1106"/>
      <c r="G95" s="1097"/>
      <c r="H95" s="1100"/>
      <c r="I95" s="1038"/>
      <c r="J95" s="1038"/>
      <c r="K95" s="1038"/>
      <c r="L95" s="1038"/>
      <c r="M95" s="1038"/>
      <c r="N95" s="1038"/>
      <c r="O95" s="1038"/>
      <c r="P95" s="1038"/>
      <c r="Q95" s="1038"/>
      <c r="R95" s="1038"/>
      <c r="S95" s="1038"/>
      <c r="W95" s="609"/>
      <c r="AR95" s="593">
        <v>0</v>
      </c>
    </row>
    <row r="96" spans="4:44" ht="17.25" hidden="1" customHeight="1">
      <c r="D96" s="1081"/>
      <c r="E96" s="1098"/>
      <c r="F96" s="1106"/>
      <c r="G96" s="1098"/>
      <c r="H96" s="1100"/>
      <c r="I96" s="1038"/>
      <c r="J96" s="1038"/>
      <c r="K96" s="1038"/>
      <c r="L96" s="1038"/>
      <c r="M96" s="1038"/>
      <c r="N96" s="1038"/>
      <c r="O96" s="1038"/>
      <c r="W96" s="609"/>
      <c r="AR96" s="593">
        <v>0</v>
      </c>
    </row>
    <row r="97" spans="4:44" ht="17.25" hidden="1" customHeight="1">
      <c r="D97" s="1081"/>
      <c r="E97" s="1098"/>
      <c r="F97" s="1106"/>
      <c r="G97" s="1098"/>
      <c r="H97" s="1100"/>
      <c r="I97" s="1038"/>
      <c r="J97" s="1038"/>
      <c r="K97" s="1038"/>
      <c r="W97" s="609"/>
      <c r="AR97" s="593">
        <v>0</v>
      </c>
    </row>
    <row r="98" spans="4:44" ht="17.25" hidden="1" customHeight="1">
      <c r="D98" s="1081"/>
      <c r="E98" s="1098"/>
      <c r="F98" s="1107"/>
      <c r="G98" s="1098"/>
      <c r="H98" s="610"/>
      <c r="I98" s="611"/>
      <c r="J98" s="611"/>
      <c r="K98" s="611"/>
      <c r="L98" s="611"/>
      <c r="M98" s="611"/>
      <c r="N98" s="611"/>
      <c r="O98" s="611"/>
      <c r="P98" s="611"/>
      <c r="Q98" s="611"/>
      <c r="R98" s="611"/>
      <c r="S98" s="612"/>
      <c r="T98" s="612"/>
      <c r="U98" s="612"/>
      <c r="V98" s="612"/>
      <c r="W98" s="613"/>
      <c r="AR98" s="593">
        <v>0</v>
      </c>
    </row>
    <row r="99" spans="4:44" ht="17.25" hidden="1" customHeight="1">
      <c r="D99" s="1104">
        <v>5</v>
      </c>
      <c r="E99" s="1097" t="s">
        <v>252</v>
      </c>
      <c r="F99" s="1105" t="s">
        <v>19</v>
      </c>
      <c r="G99" s="1097"/>
      <c r="H99" s="1099"/>
      <c r="I99" s="1101"/>
      <c r="J99" s="1102"/>
      <c r="K99" s="1096"/>
      <c r="L99" s="1096"/>
      <c r="M99" s="1096"/>
      <c r="N99" s="1103"/>
      <c r="O99" s="1096"/>
      <c r="P99" s="1096"/>
      <c r="Q99" s="1096"/>
      <c r="R99" s="1095"/>
      <c r="S99" s="1096"/>
      <c r="T99" s="68"/>
      <c r="U99" s="68"/>
      <c r="V99" s="69"/>
      <c r="W99" s="70"/>
      <c r="AC99" s="607" t="s">
        <v>253</v>
      </c>
      <c r="AD99" s="607" t="s">
        <v>254</v>
      </c>
      <c r="AE99" s="607" t="s">
        <v>255</v>
      </c>
      <c r="AF99" s="607" t="s">
        <v>256</v>
      </c>
      <c r="AH99" s="607" t="str">
        <f>IF($E$99=0,"",$E$99)</f>
        <v>Тариф на подключение (технологическое присоединение) к централизованной системе холодного водоснабжения</v>
      </c>
      <c r="AI99" s="607" t="str">
        <f>IF($G$99=0,"",$G$99)</f>
        <v/>
      </c>
      <c r="AJ99" s="607" t="str">
        <f>IF($J$99=0,"",$J$99)</f>
        <v/>
      </c>
      <c r="AK99" s="607" t="str">
        <f>IF($K$99="нет","без дифференциации",IF($N$99=0,"",$N$99))</f>
        <v/>
      </c>
      <c r="AL99" s="607" t="str">
        <f>IF($O$99="нет","без дифференциации",IF($R$99=0,"",$R$99))</f>
        <v/>
      </c>
      <c r="AM99" s="607" t="str">
        <f>IF($S$99="нет","без дифференциации",IF($V$99=0,"",$V$99))</f>
        <v/>
      </c>
      <c r="AN99" s="72">
        <f>$I$99</f>
        <v>0</v>
      </c>
      <c r="AO99" s="607" t="str">
        <f>$I$99&amp;"."&amp;$M$99</f>
        <v>.</v>
      </c>
      <c r="AP99" s="601" t="str">
        <f>$I$99&amp;"."&amp;$M$99&amp;"."&amp;$Q$99</f>
        <v>..</v>
      </c>
      <c r="AQ99" s="601" t="str">
        <f>$I$99&amp;"."&amp;$M$99&amp;"."&amp;$Q$99&amp;"."&amp;$U$99</f>
        <v>...</v>
      </c>
      <c r="AR99" s="593">
        <v>0</v>
      </c>
    </row>
    <row r="100" spans="4:44" ht="17.25" hidden="1" customHeight="1">
      <c r="D100" s="1104"/>
      <c r="E100" s="1097"/>
      <c r="F100" s="1106"/>
      <c r="G100" s="1097"/>
      <c r="H100" s="1100"/>
      <c r="I100" s="1038"/>
      <c r="J100" s="1038"/>
      <c r="K100" s="1038"/>
      <c r="L100" s="1038"/>
      <c r="M100" s="1038"/>
      <c r="N100" s="1038"/>
      <c r="O100" s="1038"/>
      <c r="P100" s="1038"/>
      <c r="Q100" s="1038"/>
      <c r="R100" s="1038"/>
      <c r="S100" s="1038"/>
      <c r="W100" s="609"/>
      <c r="AR100" s="593">
        <v>0</v>
      </c>
    </row>
    <row r="101" spans="4:44" ht="17.25" hidden="1" customHeight="1">
      <c r="D101" s="1081"/>
      <c r="E101" s="1098"/>
      <c r="F101" s="1106"/>
      <c r="G101" s="1098"/>
      <c r="H101" s="1100"/>
      <c r="I101" s="1038"/>
      <c r="J101" s="1038"/>
      <c r="K101" s="1038"/>
      <c r="L101" s="1038"/>
      <c r="M101" s="1038"/>
      <c r="N101" s="1038"/>
      <c r="O101" s="1038"/>
      <c r="W101" s="609"/>
      <c r="AR101" s="593">
        <v>0</v>
      </c>
    </row>
    <row r="102" spans="4:44" ht="17.25" hidden="1" customHeight="1">
      <c r="D102" s="1081"/>
      <c r="E102" s="1098"/>
      <c r="F102" s="1106"/>
      <c r="G102" s="1098"/>
      <c r="H102" s="1100"/>
      <c r="I102" s="1038"/>
      <c r="J102" s="1038"/>
      <c r="K102" s="1038"/>
      <c r="W102" s="609"/>
      <c r="AR102" s="593">
        <v>0</v>
      </c>
    </row>
    <row r="103" spans="4:44" ht="17.25" hidden="1" customHeight="1">
      <c r="D103" s="1081"/>
      <c r="E103" s="1098"/>
      <c r="F103" s="1107"/>
      <c r="G103" s="1098"/>
      <c r="H103" s="610"/>
      <c r="I103" s="611"/>
      <c r="J103" s="611"/>
      <c r="K103" s="611"/>
      <c r="L103" s="611"/>
      <c r="M103" s="611"/>
      <c r="N103" s="611"/>
      <c r="O103" s="611"/>
      <c r="P103" s="611"/>
      <c r="Q103" s="611"/>
      <c r="R103" s="611"/>
      <c r="S103" s="612"/>
      <c r="T103" s="612"/>
      <c r="U103" s="612"/>
      <c r="V103" s="612"/>
      <c r="W103" s="613"/>
      <c r="AR103" s="593">
        <v>0</v>
      </c>
    </row>
    <row r="104" spans="4:44" ht="11.25" hidden="1" customHeight="1">
      <c r="AR104" s="593">
        <v>0</v>
      </c>
    </row>
    <row r="105" spans="4:44" ht="17.25" hidden="1" customHeight="1">
      <c r="D105" s="1104">
        <v>1</v>
      </c>
      <c r="E105" s="1097" t="s">
        <v>257</v>
      </c>
      <c r="F105" s="1105" t="s">
        <v>19</v>
      </c>
      <c r="G105" s="1097"/>
      <c r="H105" s="1099"/>
      <c r="I105" s="1101"/>
      <c r="J105" s="1102"/>
      <c r="K105" s="1096"/>
      <c r="L105" s="1096"/>
      <c r="M105" s="1096"/>
      <c r="N105" s="1103"/>
      <c r="O105" s="1096"/>
      <c r="P105" s="1096"/>
      <c r="Q105" s="1096"/>
      <c r="R105" s="1095"/>
      <c r="S105" s="1096"/>
      <c r="T105" s="68"/>
      <c r="U105" s="68"/>
      <c r="V105" s="69"/>
      <c r="W105" s="70"/>
      <c r="AC105" s="607" t="s">
        <v>258</v>
      </c>
      <c r="AD105" s="607" t="s">
        <v>259</v>
      </c>
      <c r="AE105" s="607" t="s">
        <v>260</v>
      </c>
      <c r="AF105" s="607" t="s">
        <v>261</v>
      </c>
      <c r="AH105" s="607" t="str">
        <f>IF($E$105=0,"",$E$105)</f>
        <v>Тариф на горячую воду (горячее водоснабжение)</v>
      </c>
      <c r="AI105" s="607" t="str">
        <f>IF($G$105=0,"",$G$105)</f>
        <v/>
      </c>
      <c r="AJ105" s="607" t="str">
        <f>IF($J$105=0,"",$J$105)</f>
        <v/>
      </c>
      <c r="AK105" s="607" t="str">
        <f>IF($K$105="нет","без дифференциации",IF($N$105=0,"",$N$105))</f>
        <v/>
      </c>
      <c r="AL105" s="607" t="str">
        <f>IF($O$105="нет","без дифференциации",IF($R$105=0,"",$R$105))</f>
        <v/>
      </c>
      <c r="AM105" s="607" t="str">
        <f>IF($S$105="нет","без дифференциации",IF($V$105=0,"",$V$105))</f>
        <v/>
      </c>
      <c r="AN105" s="607">
        <f>$I$105</f>
        <v>0</v>
      </c>
      <c r="AO105" s="607" t="str">
        <f>$I$105&amp;"."&amp;$M$105</f>
        <v>.</v>
      </c>
      <c r="AP105" s="607" t="str">
        <f>$I$105&amp;"."&amp;$M$105&amp;"."&amp;$Q$105</f>
        <v>..</v>
      </c>
      <c r="AQ105" s="607" t="str">
        <f>$I$105&amp;"."&amp;$M$105&amp;"."&amp;$Q$105&amp;"."&amp;$U$105</f>
        <v>...</v>
      </c>
      <c r="AR105" s="593">
        <v>0</v>
      </c>
    </row>
    <row r="106" spans="4:44" ht="17.25" hidden="1" customHeight="1">
      <c r="D106" s="1104"/>
      <c r="E106" s="1097"/>
      <c r="F106" s="1106"/>
      <c r="G106" s="1097"/>
      <c r="H106" s="1100"/>
      <c r="I106" s="1038"/>
      <c r="J106" s="1038"/>
      <c r="K106" s="1038"/>
      <c r="L106" s="1038"/>
      <c r="M106" s="1038"/>
      <c r="N106" s="1038"/>
      <c r="O106" s="1038"/>
      <c r="P106" s="1038"/>
      <c r="Q106" s="1038"/>
      <c r="R106" s="1038"/>
      <c r="S106" s="1038"/>
      <c r="W106" s="609"/>
      <c r="AR106" s="593">
        <v>0</v>
      </c>
    </row>
    <row r="107" spans="4:44" ht="17.25" hidden="1" customHeight="1">
      <c r="D107" s="1104"/>
      <c r="E107" s="1097"/>
      <c r="F107" s="1106"/>
      <c r="G107" s="1097"/>
      <c r="H107" s="1100"/>
      <c r="I107" s="1038"/>
      <c r="J107" s="1038"/>
      <c r="K107" s="1038"/>
      <c r="L107" s="1038"/>
      <c r="M107" s="1038"/>
      <c r="N107" s="1038"/>
      <c r="O107" s="1038"/>
      <c r="W107" s="609"/>
      <c r="AR107" s="593">
        <v>0</v>
      </c>
    </row>
    <row r="108" spans="4:44" ht="17.25" hidden="1" customHeight="1">
      <c r="D108" s="1104"/>
      <c r="E108" s="1097"/>
      <c r="F108" s="1106"/>
      <c r="G108" s="1097"/>
      <c r="H108" s="1100"/>
      <c r="I108" s="1038"/>
      <c r="J108" s="1038"/>
      <c r="K108" s="1038"/>
      <c r="W108" s="609"/>
      <c r="AR108" s="593">
        <v>0</v>
      </c>
    </row>
    <row r="109" spans="4:44" ht="17.25" hidden="1" customHeight="1">
      <c r="D109" s="1081"/>
      <c r="E109" s="1098"/>
      <c r="F109" s="1107"/>
      <c r="G109" s="1098"/>
      <c r="H109" s="610"/>
      <c r="I109" s="611"/>
      <c r="J109" s="611"/>
      <c r="K109" s="611"/>
      <c r="L109" s="611"/>
      <c r="M109" s="611"/>
      <c r="N109" s="611"/>
      <c r="O109" s="611"/>
      <c r="P109" s="611"/>
      <c r="Q109" s="611"/>
      <c r="R109" s="611"/>
      <c r="S109" s="612"/>
      <c r="T109" s="612"/>
      <c r="U109" s="612"/>
      <c r="V109" s="612"/>
      <c r="W109" s="613"/>
      <c r="AR109" s="593">
        <v>0</v>
      </c>
    </row>
    <row r="110" spans="4:44" ht="17.25" hidden="1" customHeight="1">
      <c r="D110" s="1104">
        <v>2</v>
      </c>
      <c r="E110" s="1097" t="s">
        <v>262</v>
      </c>
      <c r="F110" s="1105" t="s">
        <v>19</v>
      </c>
      <c r="G110" s="1097"/>
      <c r="H110" s="1099"/>
      <c r="I110" s="1101"/>
      <c r="J110" s="1102"/>
      <c r="K110" s="1096"/>
      <c r="L110" s="1096"/>
      <c r="M110" s="1096"/>
      <c r="N110" s="1103"/>
      <c r="O110" s="1096"/>
      <c r="P110" s="1096"/>
      <c r="Q110" s="1096"/>
      <c r="R110" s="1095"/>
      <c r="S110" s="1096"/>
      <c r="T110" s="68"/>
      <c r="U110" s="68"/>
      <c r="V110" s="69"/>
      <c r="W110" s="70"/>
      <c r="AC110" s="607" t="s">
        <v>263</v>
      </c>
      <c r="AD110" s="607" t="s">
        <v>264</v>
      </c>
      <c r="AE110" s="607" t="s">
        <v>265</v>
      </c>
      <c r="AF110" s="607" t="s">
        <v>266</v>
      </c>
      <c r="AH110" s="607" t="str">
        <f>IF($E$110=0,"",$E$110)</f>
        <v>Тариф на транспортировку горячей воды</v>
      </c>
      <c r="AI110" s="607" t="str">
        <f>IF($G$110=0,"",$G$110)</f>
        <v/>
      </c>
      <c r="AJ110" s="607" t="str">
        <f>IF($J$110=0,"",$J$110)</f>
        <v/>
      </c>
      <c r="AK110" s="607" t="str">
        <f>IF($K$110="нет","без дифференциации",IF($N$110=0,"",$N$110))</f>
        <v/>
      </c>
      <c r="AL110" s="607" t="str">
        <f>IF($O$110="нет","без дифференциации",IF($R$110=0,"",$R$110))</f>
        <v/>
      </c>
      <c r="AM110" s="607" t="str">
        <f>IF($S$110="нет","без дифференциации",IF($V$110=0,"",$V$110))</f>
        <v/>
      </c>
      <c r="AN110" s="72">
        <f>$I$110</f>
        <v>0</v>
      </c>
      <c r="AO110" s="607" t="str">
        <f>$I$110&amp;"."&amp;$M$110</f>
        <v>.</v>
      </c>
      <c r="AP110" s="601" t="str">
        <f>$I$110&amp;"."&amp;$M$110&amp;"."&amp;$Q$110</f>
        <v>..</v>
      </c>
      <c r="AQ110" s="601" t="str">
        <f>$I$110&amp;"."&amp;$M$110&amp;"."&amp;$Q$110&amp;"."&amp;$U$110</f>
        <v>...</v>
      </c>
      <c r="AR110" s="593">
        <v>0</v>
      </c>
    </row>
    <row r="111" spans="4:44" ht="17.25" hidden="1" customHeight="1">
      <c r="D111" s="1104"/>
      <c r="E111" s="1097"/>
      <c r="F111" s="1106"/>
      <c r="G111" s="1097"/>
      <c r="H111" s="1100"/>
      <c r="I111" s="1038"/>
      <c r="J111" s="1038"/>
      <c r="K111" s="1038"/>
      <c r="L111" s="1038"/>
      <c r="M111" s="1038"/>
      <c r="N111" s="1038"/>
      <c r="O111" s="1038"/>
      <c r="P111" s="1038"/>
      <c r="Q111" s="1038"/>
      <c r="R111" s="1038"/>
      <c r="S111" s="1038"/>
      <c r="W111" s="609"/>
      <c r="AR111" s="593">
        <v>0</v>
      </c>
    </row>
    <row r="112" spans="4:44" ht="17.25" hidden="1" customHeight="1">
      <c r="D112" s="1081"/>
      <c r="E112" s="1098"/>
      <c r="F112" s="1106"/>
      <c r="G112" s="1098"/>
      <c r="H112" s="1100"/>
      <c r="I112" s="1038"/>
      <c r="J112" s="1038"/>
      <c r="K112" s="1038"/>
      <c r="L112" s="1038"/>
      <c r="M112" s="1038"/>
      <c r="N112" s="1038"/>
      <c r="O112" s="1038"/>
      <c r="W112" s="609"/>
      <c r="AR112" s="593">
        <v>0</v>
      </c>
    </row>
    <row r="113" spans="4:44" ht="17.25" hidden="1" customHeight="1">
      <c r="D113" s="1081"/>
      <c r="E113" s="1098"/>
      <c r="F113" s="1106"/>
      <c r="G113" s="1098"/>
      <c r="H113" s="1100"/>
      <c r="I113" s="1038"/>
      <c r="J113" s="1038"/>
      <c r="K113" s="1038"/>
      <c r="W113" s="609"/>
      <c r="AR113" s="593">
        <v>0</v>
      </c>
    </row>
    <row r="114" spans="4:44" ht="17.25" hidden="1" customHeight="1">
      <c r="D114" s="1081"/>
      <c r="E114" s="1098"/>
      <c r="F114" s="1107"/>
      <c r="G114" s="1098"/>
      <c r="H114" s="610"/>
      <c r="I114" s="611"/>
      <c r="J114" s="611"/>
      <c r="K114" s="611"/>
      <c r="L114" s="611"/>
      <c r="M114" s="611"/>
      <c r="N114" s="611"/>
      <c r="O114" s="611"/>
      <c r="P114" s="611"/>
      <c r="Q114" s="611"/>
      <c r="R114" s="611"/>
      <c r="S114" s="612"/>
      <c r="T114" s="612"/>
      <c r="U114" s="612"/>
      <c r="V114" s="612"/>
      <c r="W114" s="613"/>
      <c r="AR114" s="593">
        <v>0</v>
      </c>
    </row>
    <row r="115" spans="4:44" ht="17.25" hidden="1" customHeight="1">
      <c r="D115" s="1104">
        <v>3</v>
      </c>
      <c r="E115" s="1097" t="s">
        <v>267</v>
      </c>
      <c r="F115" s="1105" t="s">
        <v>19</v>
      </c>
      <c r="G115" s="1097"/>
      <c r="H115" s="1099"/>
      <c r="I115" s="1101"/>
      <c r="J115" s="1102"/>
      <c r="K115" s="1096"/>
      <c r="L115" s="1096"/>
      <c r="M115" s="1096"/>
      <c r="N115" s="1103"/>
      <c r="O115" s="1096"/>
      <c r="P115" s="1096"/>
      <c r="Q115" s="1096"/>
      <c r="R115" s="1095"/>
      <c r="S115" s="1096"/>
      <c r="T115" s="68"/>
      <c r="U115" s="68"/>
      <c r="V115" s="69"/>
      <c r="W115" s="70"/>
      <c r="AC115" s="607" t="s">
        <v>268</v>
      </c>
      <c r="AD115" s="607" t="s">
        <v>269</v>
      </c>
      <c r="AE115" s="607" t="s">
        <v>270</v>
      </c>
      <c r="AF115" s="607" t="s">
        <v>271</v>
      </c>
      <c r="AH115" s="607" t="str">
        <f>IF($E$115=0,"",$E$115)</f>
        <v>Тариф на подключение (технологическое присоединение) к централизованной системе горячего водоснабжения</v>
      </c>
      <c r="AI115" s="607" t="str">
        <f>IF($G$115=0,"",$G$115)</f>
        <v/>
      </c>
      <c r="AJ115" s="607" t="str">
        <f>IF($J$115=0,"",$J$115)</f>
        <v/>
      </c>
      <c r="AK115" s="607" t="str">
        <f>IF($K$115="нет","без дифференциации",IF($N$115=0,"",$N$115))</f>
        <v/>
      </c>
      <c r="AL115" s="607" t="str">
        <f>IF($O$115="нет","без дифференциации",IF($R$115=0,"",$R$115))</f>
        <v/>
      </c>
      <c r="AM115" s="607" t="str">
        <f>IF($S$115="нет","без дифференциации",IF($V$115=0,"",$V$115))</f>
        <v/>
      </c>
      <c r="AN115" s="72">
        <f>$I$115</f>
        <v>0</v>
      </c>
      <c r="AO115" s="607" t="str">
        <f>$I$115&amp;"."&amp;$M$115</f>
        <v>.</v>
      </c>
      <c r="AP115" s="601" t="str">
        <f>$I$115&amp;"."&amp;$M$115&amp;"."&amp;$Q$115</f>
        <v>..</v>
      </c>
      <c r="AQ115" s="601" t="str">
        <f>$I$115&amp;"."&amp;$M$115&amp;"."&amp;$Q$115&amp;"."&amp;$U$115</f>
        <v>...</v>
      </c>
      <c r="AR115" s="593">
        <v>0</v>
      </c>
    </row>
    <row r="116" spans="4:44" ht="17.25" hidden="1" customHeight="1">
      <c r="D116" s="1104"/>
      <c r="E116" s="1097"/>
      <c r="F116" s="1106"/>
      <c r="G116" s="1097"/>
      <c r="H116" s="1100"/>
      <c r="I116" s="1038"/>
      <c r="J116" s="1038"/>
      <c r="K116" s="1038"/>
      <c r="L116" s="1038"/>
      <c r="M116" s="1038"/>
      <c r="N116" s="1038"/>
      <c r="O116" s="1038"/>
      <c r="P116" s="1038"/>
      <c r="Q116" s="1038"/>
      <c r="R116" s="1038"/>
      <c r="S116" s="1038"/>
      <c r="W116" s="609"/>
      <c r="AR116" s="593">
        <v>0</v>
      </c>
    </row>
    <row r="117" spans="4:44" ht="17.25" hidden="1" customHeight="1">
      <c r="D117" s="1081"/>
      <c r="E117" s="1098"/>
      <c r="F117" s="1106"/>
      <c r="G117" s="1098"/>
      <c r="H117" s="1100"/>
      <c r="I117" s="1038"/>
      <c r="J117" s="1038"/>
      <c r="K117" s="1038"/>
      <c r="L117" s="1038"/>
      <c r="M117" s="1038"/>
      <c r="N117" s="1038"/>
      <c r="O117" s="1038"/>
      <c r="W117" s="609"/>
      <c r="AR117" s="593">
        <v>0</v>
      </c>
    </row>
    <row r="118" spans="4:44" ht="17.25" hidden="1" customHeight="1">
      <c r="D118" s="1081"/>
      <c r="E118" s="1098"/>
      <c r="F118" s="1106"/>
      <c r="G118" s="1098"/>
      <c r="H118" s="1100"/>
      <c r="I118" s="1038"/>
      <c r="J118" s="1038"/>
      <c r="K118" s="1038"/>
      <c r="W118" s="609"/>
      <c r="AR118" s="593">
        <v>0</v>
      </c>
    </row>
    <row r="119" spans="4:44" ht="17.25" hidden="1" customHeight="1">
      <c r="D119" s="1081"/>
      <c r="E119" s="1098"/>
      <c r="F119" s="1107"/>
      <c r="G119" s="1098"/>
      <c r="H119" s="610"/>
      <c r="I119" s="611"/>
      <c r="J119" s="611"/>
      <c r="K119" s="611"/>
      <c r="L119" s="611"/>
      <c r="M119" s="611"/>
      <c r="N119" s="611"/>
      <c r="O119" s="611"/>
      <c r="P119" s="611"/>
      <c r="Q119" s="611"/>
      <c r="R119" s="611"/>
      <c r="S119" s="612"/>
      <c r="T119" s="612"/>
      <c r="U119" s="612"/>
      <c r="V119" s="612"/>
      <c r="W119" s="613"/>
      <c r="AR119" s="593">
        <v>0</v>
      </c>
    </row>
    <row r="120" spans="4:44" ht="11.25" hidden="1" customHeight="1">
      <c r="AR120" s="593">
        <v>0</v>
      </c>
    </row>
    <row r="121" spans="4:44" ht="17.25" hidden="1" customHeight="1">
      <c r="D121" s="1104">
        <v>1</v>
      </c>
      <c r="E121" s="1097" t="s">
        <v>272</v>
      </c>
      <c r="F121" s="1105" t="s">
        <v>19</v>
      </c>
      <c r="G121" s="1097"/>
      <c r="H121" s="1099"/>
      <c r="I121" s="1101"/>
      <c r="J121" s="1102"/>
      <c r="K121" s="1096"/>
      <c r="L121" s="1096"/>
      <c r="M121" s="1096"/>
      <c r="N121" s="1103"/>
      <c r="O121" s="1096"/>
      <c r="P121" s="1096"/>
      <c r="Q121" s="1096"/>
      <c r="R121" s="1095"/>
      <c r="S121" s="1096"/>
      <c r="T121" s="68"/>
      <c r="U121" s="68"/>
      <c r="V121" s="69"/>
      <c r="W121" s="70"/>
      <c r="AC121" s="607" t="s">
        <v>273</v>
      </c>
      <c r="AD121" s="607" t="s">
        <v>274</v>
      </c>
      <c r="AE121" s="607" t="s">
        <v>275</v>
      </c>
      <c r="AF121" s="607" t="s">
        <v>276</v>
      </c>
      <c r="AH121" s="607" t="str">
        <f>IF($E$121=0,"",$E$121)</f>
        <v>Тариф на водоотведение</v>
      </c>
      <c r="AI121" s="607" t="str">
        <f>IF($G$121=0,"",$G$121)</f>
        <v/>
      </c>
      <c r="AJ121" s="607" t="str">
        <f>IF($J$121=0,"",$J$121)</f>
        <v/>
      </c>
      <c r="AK121" s="607" t="str">
        <f>IF($K$121="нет","без дифференциации",IF($N$121=0,"",$N$121))</f>
        <v/>
      </c>
      <c r="AL121" s="607" t="str">
        <f>IF($O$121="нет","без дифференциации",IF($R$121=0,"",$R$121))</f>
        <v/>
      </c>
      <c r="AM121" s="607" t="str">
        <f>IF($S$121="нет","без дифференциации",IF($V$121=0,"",$V$121))</f>
        <v/>
      </c>
      <c r="AN121" s="607">
        <f>$I$121</f>
        <v>0</v>
      </c>
      <c r="AO121" s="607" t="str">
        <f>$I$121&amp;"."&amp;$M$121</f>
        <v>.</v>
      </c>
      <c r="AP121" s="607" t="str">
        <f>$I$121&amp;"."&amp;$M$121&amp;"."&amp;$Q$121</f>
        <v>..</v>
      </c>
      <c r="AQ121" s="607" t="str">
        <f>$I$121&amp;"."&amp;$M$121&amp;"."&amp;$Q$121&amp;"."&amp;$U$121</f>
        <v>...</v>
      </c>
      <c r="AR121" s="593">
        <v>0</v>
      </c>
    </row>
    <row r="122" spans="4:44" ht="17.25" hidden="1" customHeight="1">
      <c r="D122" s="1104"/>
      <c r="E122" s="1097"/>
      <c r="F122" s="1106"/>
      <c r="G122" s="1097"/>
      <c r="H122" s="1100"/>
      <c r="I122" s="1038"/>
      <c r="J122" s="1038"/>
      <c r="K122" s="1038"/>
      <c r="L122" s="1038"/>
      <c r="M122" s="1038"/>
      <c r="N122" s="1038"/>
      <c r="O122" s="1038"/>
      <c r="P122" s="1038"/>
      <c r="Q122" s="1038"/>
      <c r="R122" s="1038"/>
      <c r="S122" s="1038"/>
      <c r="W122" s="609"/>
      <c r="AR122" s="593">
        <v>0</v>
      </c>
    </row>
    <row r="123" spans="4:44" ht="17.25" hidden="1" customHeight="1">
      <c r="D123" s="1104"/>
      <c r="E123" s="1097"/>
      <c r="F123" s="1106"/>
      <c r="G123" s="1097"/>
      <c r="H123" s="1100"/>
      <c r="I123" s="1038"/>
      <c r="J123" s="1038"/>
      <c r="K123" s="1038"/>
      <c r="L123" s="1038"/>
      <c r="M123" s="1038"/>
      <c r="N123" s="1038"/>
      <c r="O123" s="1038"/>
      <c r="W123" s="609"/>
      <c r="AR123" s="593">
        <v>0</v>
      </c>
    </row>
    <row r="124" spans="4:44" ht="17.25" hidden="1" customHeight="1">
      <c r="D124" s="1104"/>
      <c r="E124" s="1097"/>
      <c r="F124" s="1106"/>
      <c r="G124" s="1097"/>
      <c r="H124" s="1100"/>
      <c r="I124" s="1038"/>
      <c r="J124" s="1038"/>
      <c r="K124" s="1038"/>
      <c r="W124" s="609"/>
      <c r="AR124" s="593">
        <v>0</v>
      </c>
    </row>
    <row r="125" spans="4:44" ht="17.25" hidden="1" customHeight="1">
      <c r="D125" s="1081"/>
      <c r="E125" s="1098"/>
      <c r="F125" s="1107"/>
      <c r="G125" s="1098"/>
      <c r="H125" s="610"/>
      <c r="I125" s="611"/>
      <c r="J125" s="611"/>
      <c r="K125" s="611"/>
      <c r="L125" s="611"/>
      <c r="M125" s="611"/>
      <c r="N125" s="611"/>
      <c r="O125" s="611"/>
      <c r="P125" s="611"/>
      <c r="Q125" s="611"/>
      <c r="R125" s="611"/>
      <c r="S125" s="612"/>
      <c r="T125" s="612"/>
      <c r="U125" s="612"/>
      <c r="V125" s="612"/>
      <c r="W125" s="613"/>
      <c r="AR125" s="593">
        <v>0</v>
      </c>
    </row>
    <row r="126" spans="4:44" ht="17.25" hidden="1" customHeight="1">
      <c r="D126" s="1104">
        <v>2</v>
      </c>
      <c r="E126" s="1097" t="s">
        <v>277</v>
      </c>
      <c r="F126" s="1105" t="s">
        <v>19</v>
      </c>
      <c r="G126" s="1097"/>
      <c r="H126" s="1099"/>
      <c r="I126" s="1101"/>
      <c r="J126" s="1102"/>
      <c r="K126" s="1096"/>
      <c r="L126" s="1096"/>
      <c r="M126" s="1096"/>
      <c r="N126" s="1103"/>
      <c r="O126" s="1096"/>
      <c r="P126" s="1096"/>
      <c r="Q126" s="1096"/>
      <c r="R126" s="1095"/>
      <c r="S126" s="1096"/>
      <c r="T126" s="68"/>
      <c r="U126" s="68"/>
      <c r="V126" s="69"/>
      <c r="W126" s="70"/>
      <c r="AC126" s="607" t="s">
        <v>278</v>
      </c>
      <c r="AD126" s="607" t="s">
        <v>279</v>
      </c>
      <c r="AE126" s="607" t="s">
        <v>280</v>
      </c>
      <c r="AF126" s="607" t="s">
        <v>281</v>
      </c>
      <c r="AH126" s="607" t="str">
        <f>IF($E$126=0,"",$E$126)</f>
        <v>Тариф на транспортировку сточных вод</v>
      </c>
      <c r="AI126" s="607" t="str">
        <f>IF($G$126=0,"",$G$126)</f>
        <v/>
      </c>
      <c r="AJ126" s="607" t="str">
        <f>IF($J$126=0,"",$J$126)</f>
        <v/>
      </c>
      <c r="AK126" s="607" t="str">
        <f>IF($K$126="нет","без дифференциации",IF($N$126=0,"",$N$126))</f>
        <v/>
      </c>
      <c r="AL126" s="607" t="str">
        <f>IF($O$126="нет","без дифференциации",IF($R$126=0,"",$R$126))</f>
        <v/>
      </c>
      <c r="AM126" s="607" t="str">
        <f>IF($S$126="нет","без дифференциации",IF($V$126=0,"",$V$126))</f>
        <v/>
      </c>
      <c r="AN126" s="72">
        <f>$I$126</f>
        <v>0</v>
      </c>
      <c r="AO126" s="607" t="str">
        <f>$I$126&amp;"."&amp;$M$126</f>
        <v>.</v>
      </c>
      <c r="AP126" s="601" t="str">
        <f>$I$126&amp;"."&amp;$M$126&amp;"."&amp;$Q$126</f>
        <v>..</v>
      </c>
      <c r="AQ126" s="601" t="str">
        <f>$I$126&amp;"."&amp;$M$126&amp;"."&amp;$Q$126&amp;"."&amp;$U$126</f>
        <v>...</v>
      </c>
      <c r="AR126" s="593">
        <v>0</v>
      </c>
    </row>
    <row r="127" spans="4:44" ht="17.25" hidden="1" customHeight="1">
      <c r="D127" s="1104"/>
      <c r="E127" s="1097"/>
      <c r="F127" s="1106"/>
      <c r="G127" s="1097"/>
      <c r="H127" s="1100"/>
      <c r="I127" s="1038"/>
      <c r="J127" s="1038"/>
      <c r="K127" s="1038"/>
      <c r="L127" s="1038"/>
      <c r="M127" s="1038"/>
      <c r="N127" s="1038"/>
      <c r="O127" s="1038"/>
      <c r="P127" s="1038"/>
      <c r="Q127" s="1038"/>
      <c r="R127" s="1038"/>
      <c r="S127" s="1038"/>
      <c r="W127" s="609"/>
      <c r="AR127" s="593">
        <v>0</v>
      </c>
    </row>
    <row r="128" spans="4:44" ht="17.25" hidden="1" customHeight="1">
      <c r="D128" s="1081"/>
      <c r="E128" s="1098"/>
      <c r="F128" s="1106"/>
      <c r="G128" s="1098"/>
      <c r="H128" s="1100"/>
      <c r="I128" s="1038"/>
      <c r="J128" s="1038"/>
      <c r="K128" s="1038"/>
      <c r="L128" s="1038"/>
      <c r="M128" s="1038"/>
      <c r="N128" s="1038"/>
      <c r="O128" s="1038"/>
      <c r="W128" s="609"/>
      <c r="AR128" s="593">
        <v>0</v>
      </c>
    </row>
    <row r="129" spans="4:44" ht="17.25" hidden="1" customHeight="1">
      <c r="D129" s="1081"/>
      <c r="E129" s="1098"/>
      <c r="F129" s="1106"/>
      <c r="G129" s="1098"/>
      <c r="H129" s="1100"/>
      <c r="I129" s="1038"/>
      <c r="J129" s="1038"/>
      <c r="K129" s="1038"/>
      <c r="W129" s="609"/>
      <c r="AR129" s="593">
        <v>0</v>
      </c>
    </row>
    <row r="130" spans="4:44" ht="17.25" hidden="1" customHeight="1">
      <c r="D130" s="1081"/>
      <c r="E130" s="1098"/>
      <c r="F130" s="1107"/>
      <c r="G130" s="1098"/>
      <c r="H130" s="610"/>
      <c r="I130" s="611"/>
      <c r="J130" s="611"/>
      <c r="K130" s="611"/>
      <c r="L130" s="611"/>
      <c r="M130" s="611"/>
      <c r="N130" s="611"/>
      <c r="O130" s="611"/>
      <c r="P130" s="611"/>
      <c r="Q130" s="611"/>
      <c r="R130" s="611"/>
      <c r="S130" s="612"/>
      <c r="T130" s="612"/>
      <c r="U130" s="612"/>
      <c r="V130" s="612"/>
      <c r="W130" s="613"/>
      <c r="AR130" s="593">
        <v>0</v>
      </c>
    </row>
    <row r="131" spans="4:44" ht="17.25" hidden="1" customHeight="1">
      <c r="D131" s="1104">
        <v>3</v>
      </c>
      <c r="E131" s="1097" t="s">
        <v>282</v>
      </c>
      <c r="F131" s="1105" t="s">
        <v>19</v>
      </c>
      <c r="G131" s="1097"/>
      <c r="H131" s="1099"/>
      <c r="I131" s="1101"/>
      <c r="J131" s="1102"/>
      <c r="K131" s="1096"/>
      <c r="L131" s="1096"/>
      <c r="M131" s="1096"/>
      <c r="N131" s="1103"/>
      <c r="O131" s="1096"/>
      <c r="P131" s="1096"/>
      <c r="Q131" s="1096"/>
      <c r="R131" s="1095"/>
      <c r="S131" s="1096"/>
      <c r="T131" s="68"/>
      <c r="U131" s="68"/>
      <c r="V131" s="69"/>
      <c r="W131" s="70"/>
      <c r="AC131" s="607" t="s">
        <v>283</v>
      </c>
      <c r="AD131" s="607" t="s">
        <v>284</v>
      </c>
      <c r="AE131" s="607" t="s">
        <v>285</v>
      </c>
      <c r="AF131" s="607" t="s">
        <v>286</v>
      </c>
      <c r="AH131" s="607" t="str">
        <f>IF($E$131=0,"",$E$131)</f>
        <v>Тариф на подключение (технологическое присоединение) к централизованной системе водоотведения</v>
      </c>
      <c r="AI131" s="607" t="str">
        <f>IF($G$131=0,"",$G$131)</f>
        <v/>
      </c>
      <c r="AJ131" s="607" t="str">
        <f>IF($J$131=0,"",$J$131)</f>
        <v/>
      </c>
      <c r="AK131" s="607" t="str">
        <f>IF($K$131="нет","без дифференциации",IF($N$131=0,"",$N$131))</f>
        <v/>
      </c>
      <c r="AL131" s="607" t="str">
        <f>IF($O$131="нет","без дифференциации",IF($R$131=0,"",$R$131))</f>
        <v/>
      </c>
      <c r="AM131" s="607" t="str">
        <f>IF($S$131="нет","без дифференциации",IF($V$131=0,"",$V$131))</f>
        <v/>
      </c>
      <c r="AN131" s="72">
        <f>$I$131</f>
        <v>0</v>
      </c>
      <c r="AO131" s="607" t="str">
        <f>$I$131&amp;"."&amp;$M$131</f>
        <v>.</v>
      </c>
      <c r="AP131" s="601" t="str">
        <f>$I$131&amp;"."&amp;$M$131&amp;"."&amp;$Q$131</f>
        <v>..</v>
      </c>
      <c r="AQ131" s="601" t="str">
        <f>$I$131&amp;"."&amp;$M$131&amp;"."&amp;$Q$131&amp;"."&amp;$U$131</f>
        <v>...</v>
      </c>
      <c r="AR131" s="593">
        <v>0</v>
      </c>
    </row>
    <row r="132" spans="4:44" ht="17.25" hidden="1" customHeight="1">
      <c r="D132" s="1104"/>
      <c r="E132" s="1097"/>
      <c r="F132" s="1106"/>
      <c r="G132" s="1097"/>
      <c r="H132" s="1100"/>
      <c r="I132" s="1038"/>
      <c r="J132" s="1038"/>
      <c r="K132" s="1038"/>
      <c r="L132" s="1038"/>
      <c r="M132" s="1038"/>
      <c r="N132" s="1038"/>
      <c r="O132" s="1038"/>
      <c r="P132" s="1038"/>
      <c r="Q132" s="1038"/>
      <c r="R132" s="1038"/>
      <c r="S132" s="1038"/>
      <c r="W132" s="609"/>
      <c r="AR132" s="593">
        <v>0</v>
      </c>
    </row>
    <row r="133" spans="4:44" ht="17.25" hidden="1" customHeight="1">
      <c r="D133" s="1081"/>
      <c r="E133" s="1098"/>
      <c r="F133" s="1106"/>
      <c r="G133" s="1098"/>
      <c r="H133" s="1100"/>
      <c r="I133" s="1038"/>
      <c r="J133" s="1038"/>
      <c r="K133" s="1038"/>
      <c r="L133" s="1038"/>
      <c r="M133" s="1038"/>
      <c r="N133" s="1038"/>
      <c r="O133" s="1038"/>
      <c r="W133" s="609"/>
      <c r="AR133" s="593">
        <v>0</v>
      </c>
    </row>
    <row r="134" spans="4:44" ht="17.25" hidden="1" customHeight="1">
      <c r="D134" s="1081"/>
      <c r="E134" s="1098"/>
      <c r="F134" s="1106"/>
      <c r="G134" s="1098"/>
      <c r="H134" s="1100"/>
      <c r="I134" s="1038"/>
      <c r="J134" s="1038"/>
      <c r="K134" s="1038"/>
      <c r="W134" s="609"/>
      <c r="AR134" s="593">
        <v>0</v>
      </c>
    </row>
    <row r="135" spans="4:44" ht="17.25" hidden="1" customHeight="1">
      <c r="D135" s="1081"/>
      <c r="E135" s="1098"/>
      <c r="F135" s="1107"/>
      <c r="G135" s="1098"/>
      <c r="H135" s="610"/>
      <c r="I135" s="611"/>
      <c r="J135" s="611"/>
      <c r="K135" s="611"/>
      <c r="L135" s="611"/>
      <c r="M135" s="611"/>
      <c r="N135" s="611"/>
      <c r="O135" s="611"/>
      <c r="P135" s="611"/>
      <c r="Q135" s="611"/>
      <c r="R135" s="611"/>
      <c r="S135" s="612"/>
      <c r="T135" s="612"/>
      <c r="U135" s="612"/>
      <c r="V135" s="612"/>
      <c r="W135" s="613"/>
      <c r="AR135" s="593">
        <v>0</v>
      </c>
    </row>
    <row r="136" spans="4:44" ht="11.45" customHeight="1">
      <c r="AR136" s="593">
        <v>11</v>
      </c>
    </row>
    <row r="137" spans="4:44" ht="11.45" customHeight="1">
      <c r="AR137" s="593">
        <v>11</v>
      </c>
    </row>
    <row r="138" spans="4:44" ht="11.45" customHeight="1">
      <c r="AR138" s="593">
        <v>11</v>
      </c>
    </row>
    <row r="139" spans="4:44" ht="11.45" customHeight="1">
      <c r="AR139" s="593">
        <v>11</v>
      </c>
    </row>
    <row r="140" spans="4:44" ht="11.45" customHeight="1">
      <c r="AR140" s="593">
        <v>11</v>
      </c>
    </row>
    <row r="141" spans="4:44" ht="11.45" customHeight="1">
      <c r="AR141" s="593">
        <v>11</v>
      </c>
    </row>
    <row r="142" spans="4:44" ht="11.45" customHeight="1">
      <c r="AR142" s="593">
        <v>11</v>
      </c>
    </row>
    <row r="143" spans="4:44" ht="11.45" customHeight="1">
      <c r="AR143" s="593">
        <v>11</v>
      </c>
    </row>
    <row r="144" spans="4:44" ht="11.45" customHeight="1">
      <c r="AR144" s="593">
        <v>11</v>
      </c>
    </row>
    <row r="145" spans="1:44" ht="11.45" customHeight="1">
      <c r="AR145" s="593">
        <v>11</v>
      </c>
    </row>
    <row r="146" spans="1:44" ht="11.25" hidden="1" customHeight="1">
      <c r="A146" s="583" t="s">
        <v>81</v>
      </c>
      <c r="B146" s="583">
        <v>0</v>
      </c>
      <c r="C146" s="593">
        <v>3</v>
      </c>
      <c r="D146" s="593">
        <v>6</v>
      </c>
      <c r="E146" s="593">
        <v>42</v>
      </c>
      <c r="F146" s="593">
        <v>14</v>
      </c>
      <c r="G146" s="593">
        <v>42</v>
      </c>
      <c r="H146" s="593">
        <v>3</v>
      </c>
      <c r="I146" s="593">
        <v>5</v>
      </c>
      <c r="J146" s="593">
        <v>47</v>
      </c>
      <c r="K146" s="593">
        <v>3</v>
      </c>
      <c r="L146" s="593">
        <v>3</v>
      </c>
      <c r="M146" s="593">
        <v>5</v>
      </c>
      <c r="N146" s="593">
        <v>28</v>
      </c>
      <c r="O146" s="593">
        <v>3</v>
      </c>
      <c r="P146" s="593">
        <v>3</v>
      </c>
      <c r="Q146" s="593">
        <v>5</v>
      </c>
      <c r="R146" s="593">
        <v>34</v>
      </c>
      <c r="S146" s="593">
        <v>0</v>
      </c>
      <c r="T146" s="593">
        <v>0</v>
      </c>
      <c r="U146" s="593">
        <v>0</v>
      </c>
      <c r="V146" s="593">
        <v>0</v>
      </c>
      <c r="W146" s="593">
        <v>30</v>
      </c>
      <c r="X146" s="593">
        <v>3</v>
      </c>
      <c r="Y146" s="601">
        <v>0</v>
      </c>
      <c r="Z146" s="601">
        <v>0</v>
      </c>
      <c r="AA146" s="601">
        <v>0</v>
      </c>
      <c r="AB146" s="601">
        <v>0</v>
      </c>
      <c r="AC146" s="601">
        <v>0</v>
      </c>
      <c r="AD146" s="601">
        <v>0</v>
      </c>
      <c r="AE146" s="601">
        <v>0</v>
      </c>
      <c r="AF146" s="601">
        <v>0</v>
      </c>
      <c r="AG146" s="601">
        <v>0</v>
      </c>
      <c r="AH146" s="601">
        <v>0</v>
      </c>
      <c r="AI146" s="601">
        <v>0</v>
      </c>
      <c r="AJ146" s="601">
        <v>0</v>
      </c>
      <c r="AK146" s="601">
        <v>0</v>
      </c>
      <c r="AL146" s="601">
        <v>0</v>
      </c>
      <c r="AM146" s="601">
        <v>0</v>
      </c>
      <c r="AN146" s="601">
        <v>0</v>
      </c>
      <c r="AO146" s="601">
        <v>0</v>
      </c>
      <c r="AP146" s="601">
        <v>0</v>
      </c>
      <c r="AQ146" s="601">
        <v>0</v>
      </c>
      <c r="AR146" s="59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2" width="9.140625" style="1030" hidden="1" customWidth="1"/>
    <col min="3" max="3" width="4" style="1030" customWidth="1"/>
    <col min="4" max="4" width="6" style="1030" customWidth="1"/>
    <col min="5" max="5" width="47" style="1030" customWidth="1"/>
    <col min="6" max="6" width="9" style="1030" customWidth="1"/>
    <col min="7" max="7" width="25.7109375" style="1030" hidden="1" customWidth="1"/>
    <col min="8" max="8" width="34" style="1030" hidden="1" customWidth="1"/>
    <col min="9" max="9" width="25.7109375" style="1030" customWidth="1"/>
    <col min="10" max="10" width="33" style="1030" customWidth="1"/>
    <col min="11" max="11" width="25.7109375" style="1030" customWidth="1"/>
    <col min="12" max="12" width="34" style="1030" customWidth="1"/>
    <col min="13" max="13" width="25.7109375" style="1030" customWidth="1"/>
    <col min="14" max="14" width="34" style="1030" customWidth="1"/>
    <col min="15" max="15" width="50" style="1030" customWidth="1"/>
    <col min="16" max="25" width="10" style="1030" customWidth="1"/>
    <col min="26" max="26" width="10.5703125" style="1030" hidden="1"/>
  </cols>
  <sheetData>
    <row r="1" spans="4:26" ht="22.5" hidden="1" customHeight="1">
      <c r="G1" s="556">
        <v>4</v>
      </c>
      <c r="I1" s="556">
        <v>4</v>
      </c>
      <c r="K1" s="9">
        <v>4</v>
      </c>
      <c r="L1"/>
      <c r="M1" s="9">
        <v>4</v>
      </c>
      <c r="N1"/>
      <c r="Z1" s="556" t="s">
        <v>14</v>
      </c>
    </row>
    <row r="2" spans="4:26" ht="15" hidden="1" customHeight="1">
      <c r="K2"/>
      <c r="L2"/>
      <c r="M2"/>
      <c r="N2"/>
      <c r="Z2" s="539">
        <v>0</v>
      </c>
    </row>
    <row r="3" spans="4:26" ht="15" hidden="1" customHeight="1">
      <c r="K3"/>
      <c r="L3"/>
      <c r="M3"/>
      <c r="N3"/>
      <c r="Z3" s="556">
        <v>0</v>
      </c>
    </row>
    <row r="4" spans="4:26" ht="15.75" customHeight="1">
      <c r="K4"/>
      <c r="L4"/>
      <c r="M4"/>
      <c r="N4"/>
      <c r="Z4" s="539">
        <v>15</v>
      </c>
    </row>
    <row r="5" spans="4:26" ht="66" customHeight="1">
      <c r="D5" s="1174" t="s">
        <v>1348</v>
      </c>
      <c r="E5" s="1174"/>
      <c r="F5" s="1174"/>
      <c r="G5" s="1174"/>
      <c r="H5" s="1174"/>
      <c r="I5" s="1174"/>
      <c r="J5" s="1174"/>
      <c r="K5" s="125"/>
      <c r="L5" s="125"/>
      <c r="M5" s="125"/>
      <c r="N5" s="125"/>
      <c r="Z5" s="539">
        <v>63</v>
      </c>
    </row>
    <row r="6" spans="4:26" ht="15.75" customHeight="1">
      <c r="D6" s="1148" t="str">
        <f>IF(org=0,"Не определено",org)</f>
        <v>АО "НИЖЕГОРОДСКИЙ ВОДОКАНАЛ"</v>
      </c>
      <c r="E6" s="1148"/>
      <c r="F6" s="1148"/>
      <c r="G6" s="1148"/>
      <c r="H6" s="1148"/>
      <c r="I6" s="1148"/>
      <c r="J6" s="1148"/>
      <c r="K6" s="77"/>
      <c r="L6" s="77"/>
      <c r="M6" s="77"/>
      <c r="N6" s="77"/>
      <c r="Z6" s="539">
        <v>15</v>
      </c>
    </row>
    <row r="7" spans="4:26" ht="15.75" customHeight="1">
      <c r="D7" s="630"/>
      <c r="G7" s="556">
        <v>22</v>
      </c>
      <c r="I7" s="556">
        <v>1</v>
      </c>
      <c r="J7" s="630"/>
      <c r="K7" s="9" t="s">
        <v>22</v>
      </c>
      <c r="L7"/>
      <c r="M7" s="9" t="s">
        <v>22</v>
      </c>
      <c r="N7"/>
      <c r="Z7" s="539">
        <v>15</v>
      </c>
    </row>
    <row r="8" spans="4:26" ht="1.1499999999999999" customHeight="1">
      <c r="H8" s="630"/>
      <c r="I8" s="556" t="s">
        <v>122</v>
      </c>
      <c r="J8" s="630"/>
      <c r="K8" t="s">
        <v>127</v>
      </c>
      <c r="L8" s="90"/>
      <c r="M8" t="s">
        <v>129</v>
      </c>
      <c r="N8" s="90"/>
      <c r="Z8" s="539">
        <v>1</v>
      </c>
    </row>
    <row r="9" spans="4:26" ht="15.75" customHeight="1">
      <c r="D9" s="898"/>
      <c r="E9" s="1278" t="s">
        <v>110</v>
      </c>
      <c r="F9" s="1279"/>
      <c r="G9" s="1303" t="str">
        <f>IF(G8="","",INDEX(DIFFERENTIATION_UNMERGE_VD,MATCH(G8,DIFFERENTIATION_ID_DIFF,0)))</f>
        <v/>
      </c>
      <c r="H9" s="1304"/>
      <c r="I9" s="1303" t="str">
        <f>IF(I8="","",INDEX(DIFFERENTIATION_UNMERGE_VD,MATCH(I8,DIFFERENTIATION_ID_DIFF,0)))</f>
        <v>Водоотведение</v>
      </c>
      <c r="J9" s="1304"/>
      <c r="K9" s="1303" t="str">
        <f>IF(K8="","",INDEX(DIFFERENTIATION_UNMERGE_VD,MATCH(K8,DIFFERENTIATION_ID_DIFF,0)))</f>
        <v>Водоотведение</v>
      </c>
      <c r="L9" s="1304"/>
      <c r="M9" s="1303" t="str">
        <f>IF(M8="","",INDEX(DIFFERENTIATION_UNMERGE_VD,MATCH(M8,DIFFERENTIATION_ID_DIFF,0)))</f>
        <v>Подключение (технологическое присоединение) к централизованной системе водоотведения</v>
      </c>
      <c r="N9" s="1304"/>
      <c r="O9" s="1128" t="s">
        <v>309</v>
      </c>
      <c r="Z9" s="539">
        <v>15</v>
      </c>
    </row>
    <row r="10" spans="4:26" ht="15.75" customHeight="1">
      <c r="D10" s="898"/>
      <c r="E10" s="1278" t="s">
        <v>572</v>
      </c>
      <c r="F10" s="1279"/>
      <c r="G10" s="1303" t="str">
        <f>IF(G8="","",INDEX(DIFFERENTIATION_UNMERGE_AREA,MATCH(G8,DIFFERENTIATION_ID_DIFF,0)))</f>
        <v/>
      </c>
      <c r="H10" s="1304"/>
      <c r="I10" s="1303" t="str">
        <f>IF(I8="","",INDEX(DIFFERENTIATION_UNMERGE_AREA,MATCH(I8,DIFFERENTIATION_ID_DIFF,0)))</f>
        <v>Территория 1</v>
      </c>
      <c r="J10" s="1304"/>
      <c r="K10" s="1303" t="str">
        <f>IF(K8="","",INDEX(DIFFERENTIATION_UNMERGE_AREA,MATCH(K8,DIFFERENTIATION_ID_DIFF,0)))</f>
        <v>Территория 2</v>
      </c>
      <c r="L10" s="1304"/>
      <c r="M10" s="1303" t="str">
        <f>IF(M8="","",INDEX(DIFFERENTIATION_UNMERGE_AREA,MATCH(M8,DIFFERENTIATION_ID_DIFF,0)))</f>
        <v>без дифференциации</v>
      </c>
      <c r="N10" s="1304"/>
      <c r="O10" s="1133"/>
      <c r="Z10" s="539">
        <v>15</v>
      </c>
    </row>
    <row r="11" spans="4:26" ht="15.75" customHeight="1">
      <c r="D11" s="898"/>
      <c r="E11" s="1278" t="s">
        <v>573</v>
      </c>
      <c r="F11" s="1279"/>
      <c r="G11" s="1303" t="str">
        <f>IF(G8="","",INDEX(DIFFERENTIATION_UNMERGE_SYSTEM,MATCH(G8,DIFFERENTIATION_ID_DIFF,0)))</f>
        <v/>
      </c>
      <c r="H11" s="1304"/>
      <c r="I11" s="1303" t="str">
        <f>IF(I8="","",INDEX(DIFFERENTIATION_UNMERGE_SYSTEM,MATCH(I8,DIFFERENTIATION_ID_DIFF,0)))</f>
        <v>Централизованная система водоотведения города Нижнего Новгорода</v>
      </c>
      <c r="J11" s="1304"/>
      <c r="K11" s="1303" t="str">
        <f>IF(K8="","",INDEX(DIFFERENTIATION_UNMERGE_SYSTEM,MATCH(K8,DIFFERENTIATION_ID_DIFF,0)))</f>
        <v>Централизованная система водоотведения Кстовского муниципального района</v>
      </c>
      <c r="L11" s="1304"/>
      <c r="M11" s="1303" t="str">
        <f>IF(M8="","",INDEX(DIFFERENTIATION_UNMERGE_SYSTEM,MATCH(M8,DIFFERENTIATION_ID_DIFF,0)))</f>
        <v>без дифференциации</v>
      </c>
      <c r="N11" s="1304"/>
      <c r="O11" s="1133"/>
      <c r="Z11" s="539">
        <v>15</v>
      </c>
    </row>
    <row r="12" spans="4:26" ht="15.75" customHeight="1">
      <c r="D12" s="1280" t="s">
        <v>308</v>
      </c>
      <c r="E12" s="1281"/>
      <c r="F12" s="1281"/>
      <c r="G12" s="899"/>
      <c r="H12" s="899"/>
      <c r="I12" s="899"/>
      <c r="J12" s="899"/>
      <c r="K12" s="381"/>
      <c r="L12" s="381"/>
      <c r="M12" s="381"/>
      <c r="N12" s="381"/>
      <c r="O12" s="1133"/>
      <c r="Z12" s="539">
        <v>15</v>
      </c>
    </row>
    <row r="13" spans="4:26" ht="35.65" customHeight="1">
      <c r="D13" s="584" t="s">
        <v>87</v>
      </c>
      <c r="E13" s="584" t="s">
        <v>310</v>
      </c>
      <c r="F13" s="584" t="s">
        <v>574</v>
      </c>
      <c r="G13" s="544" t="s">
        <v>311</v>
      </c>
      <c r="H13" s="584" t="s">
        <v>398</v>
      </c>
      <c r="I13" s="544" t="s">
        <v>311</v>
      </c>
      <c r="J13" s="584" t="s">
        <v>398</v>
      </c>
      <c r="K13" s="5" t="s">
        <v>311</v>
      </c>
      <c r="L13" s="35" t="s">
        <v>398</v>
      </c>
      <c r="M13" s="5" t="s">
        <v>311</v>
      </c>
      <c r="N13" s="35" t="s">
        <v>398</v>
      </c>
      <c r="O13" s="1179"/>
      <c r="Z13" s="539">
        <v>34</v>
      </c>
    </row>
    <row r="14" spans="4:26" ht="15" hidden="1" customHeight="1">
      <c r="D14" s="383" t="s">
        <v>114</v>
      </c>
      <c r="E14" s="383" t="s">
        <v>102</v>
      </c>
      <c r="F14" s="383" t="s">
        <v>89</v>
      </c>
      <c r="G14" s="732" t="str">
        <f>G1&amp;".1"</f>
        <v>4.1</v>
      </c>
      <c r="I14" s="732" t="str">
        <f>I1&amp;".1"</f>
        <v>4.1</v>
      </c>
      <c r="K14" s="181" t="str">
        <f>K1&amp;".1"</f>
        <v>4.1</v>
      </c>
      <c r="L14"/>
      <c r="M14" s="181" t="str">
        <f>M1&amp;".1"</f>
        <v>4.1</v>
      </c>
      <c r="N14"/>
      <c r="O14" s="796"/>
      <c r="Z14" s="539">
        <v>0</v>
      </c>
    </row>
    <row r="15" spans="4:26" ht="22.5" hidden="1" customHeight="1">
      <c r="D15" s="584">
        <v>1</v>
      </c>
      <c r="E15" s="620" t="s">
        <v>825</v>
      </c>
      <c r="F15" s="584" t="s">
        <v>826</v>
      </c>
      <c r="G15" s="384"/>
      <c r="H15" s="384"/>
      <c r="I15" s="384"/>
      <c r="J15" s="384"/>
      <c r="K15" s="384"/>
      <c r="L15" s="384"/>
      <c r="M15" s="384"/>
      <c r="N15" s="384"/>
      <c r="O15" s="796" t="s">
        <v>827</v>
      </c>
      <c r="Z15" s="539">
        <v>0</v>
      </c>
    </row>
    <row r="16" spans="4:26" ht="22.5" hidden="1" customHeight="1">
      <c r="D16" s="584">
        <v>2</v>
      </c>
      <c r="E16" s="620" t="s">
        <v>828</v>
      </c>
      <c r="F16" s="584" t="s">
        <v>829</v>
      </c>
      <c r="G16" s="384"/>
      <c r="H16" s="384"/>
      <c r="I16" s="384"/>
      <c r="J16" s="384"/>
      <c r="K16" s="384"/>
      <c r="L16" s="384"/>
      <c r="M16" s="384"/>
      <c r="N16" s="384"/>
      <c r="O16" s="796" t="s">
        <v>830</v>
      </c>
      <c r="Z16" s="539">
        <v>0</v>
      </c>
    </row>
    <row r="17" spans="1:26" ht="123.75" hidden="1" customHeight="1">
      <c r="D17" s="584">
        <v>3</v>
      </c>
      <c r="E17" s="620" t="s">
        <v>1349</v>
      </c>
      <c r="F17" s="584" t="s">
        <v>314</v>
      </c>
      <c r="G17" s="384"/>
      <c r="H17" s="384"/>
      <c r="I17" s="384"/>
      <c r="J17" s="384"/>
      <c r="K17" s="384"/>
      <c r="L17" s="384"/>
      <c r="M17" s="384"/>
      <c r="N17" s="384"/>
      <c r="O17" s="796" t="s">
        <v>1350</v>
      </c>
      <c r="Z17" s="539">
        <v>0</v>
      </c>
    </row>
    <row r="18" spans="1:26" ht="48.2" customHeight="1">
      <c r="D18" s="584">
        <v>3</v>
      </c>
      <c r="E18" s="620" t="s">
        <v>831</v>
      </c>
      <c r="F18" s="584" t="s">
        <v>314</v>
      </c>
      <c r="G18" s="584" t="s">
        <v>314</v>
      </c>
      <c r="H18" s="618" t="s">
        <v>314</v>
      </c>
      <c r="I18" s="584" t="s">
        <v>314</v>
      </c>
      <c r="J18" s="618" t="s">
        <v>314</v>
      </c>
      <c r="K18" s="35" t="s">
        <v>314</v>
      </c>
      <c r="L18" s="78" t="s">
        <v>314</v>
      </c>
      <c r="M18" s="35" t="s">
        <v>314</v>
      </c>
      <c r="N18" s="78" t="s">
        <v>314</v>
      </c>
      <c r="O18" s="796" t="s">
        <v>1351</v>
      </c>
      <c r="Z18" s="539">
        <v>46</v>
      </c>
    </row>
    <row r="19" spans="1:26" ht="35.65" customHeight="1">
      <c r="D19" s="55" t="s">
        <v>332</v>
      </c>
      <c r="E19" s="889" t="s">
        <v>833</v>
      </c>
      <c r="F19" s="584" t="s">
        <v>834</v>
      </c>
      <c r="G19" s="385"/>
      <c r="H19" s="106"/>
      <c r="I19" s="385"/>
      <c r="J19" s="308"/>
      <c r="K19" s="385"/>
      <c r="L19" s="106"/>
      <c r="M19" s="385"/>
      <c r="N19" s="106"/>
      <c r="O19" s="902"/>
      <c r="Z19" s="539">
        <v>34</v>
      </c>
    </row>
    <row r="20" spans="1:26" ht="35.65" customHeight="1">
      <c r="D20" s="55" t="s">
        <v>340</v>
      </c>
      <c r="E20" s="889" t="s">
        <v>835</v>
      </c>
      <c r="F20" s="584" t="s">
        <v>836</v>
      </c>
      <c r="G20" s="385"/>
      <c r="H20" s="106"/>
      <c r="I20" s="385"/>
      <c r="J20" s="106"/>
      <c r="K20" s="385"/>
      <c r="L20" s="106"/>
      <c r="M20" s="385"/>
      <c r="N20" s="106"/>
      <c r="O20" s="902"/>
      <c r="Z20" s="539">
        <v>34</v>
      </c>
    </row>
    <row r="21" spans="1:26" ht="48.2" customHeight="1">
      <c r="D21" s="55" t="s">
        <v>342</v>
      </c>
      <c r="E21" s="889" t="s">
        <v>837</v>
      </c>
      <c r="F21" s="584" t="s">
        <v>579</v>
      </c>
      <c r="G21" s="386"/>
      <c r="H21" s="106"/>
      <c r="I21" s="386"/>
      <c r="J21" s="106"/>
      <c r="K21" s="386"/>
      <c r="L21" s="106"/>
      <c r="M21" s="386"/>
      <c r="N21" s="106"/>
      <c r="O21" s="902"/>
      <c r="Z21" s="539">
        <v>46</v>
      </c>
    </row>
    <row r="22" spans="1:26" ht="67.5" hidden="1" customHeight="1">
      <c r="D22" s="584">
        <v>5</v>
      </c>
      <c r="E22" s="620" t="s">
        <v>1352</v>
      </c>
      <c r="F22" s="584" t="s">
        <v>566</v>
      </c>
      <c r="G22" s="387"/>
      <c r="H22" s="388"/>
      <c r="I22" s="387"/>
      <c r="J22" s="388"/>
      <c r="K22" s="387"/>
      <c r="L22" s="388"/>
      <c r="M22" s="387"/>
      <c r="N22" s="388"/>
      <c r="O22" s="796" t="s">
        <v>1353</v>
      </c>
      <c r="Z22" s="539">
        <v>0</v>
      </c>
    </row>
    <row r="23" spans="1:26" ht="33.75" hidden="1" customHeight="1">
      <c r="D23" s="584">
        <v>6</v>
      </c>
      <c r="E23" s="620" t="s">
        <v>1354</v>
      </c>
      <c r="F23" s="584" t="s">
        <v>1355</v>
      </c>
      <c r="G23" s="387"/>
      <c r="H23" s="387"/>
      <c r="I23" s="387"/>
      <c r="J23" s="387"/>
      <c r="K23" s="387"/>
      <c r="L23" s="387"/>
      <c r="M23" s="387"/>
      <c r="N23" s="387"/>
      <c r="O23" s="796" t="s">
        <v>1356</v>
      </c>
      <c r="Z23" s="539">
        <v>0</v>
      </c>
    </row>
    <row r="24" spans="1:26" ht="15.75" customHeight="1">
      <c r="K24"/>
      <c r="L24"/>
      <c r="M24"/>
      <c r="N24"/>
      <c r="Z24" s="539">
        <v>15</v>
      </c>
    </row>
    <row r="25" spans="1:26" ht="15.75" customHeight="1">
      <c r="K25"/>
      <c r="L25"/>
      <c r="M25"/>
      <c r="N25"/>
      <c r="Z25" s="539">
        <v>15</v>
      </c>
    </row>
    <row r="26" spans="1:26" ht="15.75" customHeight="1">
      <c r="K26"/>
      <c r="L26"/>
      <c r="M26"/>
      <c r="N26"/>
      <c r="Z26" s="539">
        <v>15</v>
      </c>
    </row>
    <row r="27" spans="1:26" ht="15.75" customHeight="1">
      <c r="Z27" s="539">
        <v>15</v>
      </c>
    </row>
    <row r="28" spans="1:26" ht="15.75" customHeight="1">
      <c r="Z28" s="539">
        <v>15</v>
      </c>
    </row>
    <row r="29" spans="1:26" ht="15.75" customHeight="1">
      <c r="Z29" s="539">
        <v>15</v>
      </c>
    </row>
    <row r="30" spans="1:26" ht="22.5" hidden="1" customHeight="1">
      <c r="A30" s="537" t="s">
        <v>81</v>
      </c>
      <c r="B30" s="539">
        <v>0</v>
      </c>
      <c r="C30" s="732">
        <v>4</v>
      </c>
      <c r="D30" s="539">
        <v>6</v>
      </c>
      <c r="E30" s="539">
        <v>47</v>
      </c>
      <c r="F30" s="539">
        <v>9</v>
      </c>
      <c r="G30" s="539">
        <v>0</v>
      </c>
      <c r="H30" s="539">
        <v>0</v>
      </c>
      <c r="I30" s="539">
        <v>25</v>
      </c>
      <c r="J30" s="539">
        <v>33</v>
      </c>
      <c r="K30" s="3">
        <v>0</v>
      </c>
      <c r="L30" s="3">
        <v>0</v>
      </c>
      <c r="M30" s="3">
        <v>0</v>
      </c>
      <c r="N30" s="3">
        <v>0</v>
      </c>
      <c r="O30" s="556">
        <v>50</v>
      </c>
      <c r="P30" s="539">
        <v>10</v>
      </c>
      <c r="Q30" s="539">
        <v>10</v>
      </c>
      <c r="R30" s="539">
        <v>10</v>
      </c>
      <c r="S30" s="539">
        <v>10</v>
      </c>
      <c r="T30" s="539">
        <v>10</v>
      </c>
      <c r="U30" s="539">
        <v>10</v>
      </c>
      <c r="V30" s="539">
        <v>10</v>
      </c>
      <c r="W30" s="539">
        <v>10</v>
      </c>
      <c r="X30" s="539">
        <v>10</v>
      </c>
      <c r="Y30" s="903">
        <v>10</v>
      </c>
      <c r="Z30" s="539">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030" customWidth="1"/>
    <col min="2" max="2" width="11" style="1030" customWidth="1"/>
    <col min="4" max="4" width="26.5703125" style="1030" customWidth="1"/>
    <col min="5" max="5" width="36.85546875" style="1030" customWidth="1"/>
    <col min="6" max="6" width="23.5703125" style="1030" customWidth="1"/>
    <col min="7" max="7" width="31.42578125" style="1030" customWidth="1"/>
    <col min="8" max="8" width="40.85546875" style="1030" customWidth="1"/>
    <col min="9" max="9" width="14.5703125" style="1030" customWidth="1"/>
    <col min="10" max="10" width="26.85546875" style="1030" customWidth="1"/>
    <col min="11" max="11" width="50" style="1030" customWidth="1"/>
    <col min="12" max="12" width="52.42578125" style="1030" customWidth="1"/>
    <col min="13" max="13" width="10.7109375" style="1030" customWidth="1"/>
    <col min="14" max="14" width="55.140625" style="1030" customWidth="1"/>
    <col min="15" max="15" width="31.85546875" style="1030" customWidth="1"/>
    <col min="16" max="16" width="23.85546875" style="1030" customWidth="1"/>
    <col min="17" max="17" width="46.5703125" style="1030" customWidth="1"/>
    <col min="18" max="18" width="24" style="1030" customWidth="1"/>
    <col min="19" max="19" width="20.5703125" style="1030" customWidth="1"/>
    <col min="20" max="20" width="22" style="1030" customWidth="1"/>
    <col min="21" max="22" width="26.42578125" style="1030" customWidth="1"/>
    <col min="23" max="23" width="8.28515625" style="1030" hidden="1" customWidth="1"/>
    <col min="24" max="24" width="59.7109375" style="1030" customWidth="1"/>
    <col min="25" max="25" width="49.140625" style="1030" customWidth="1"/>
    <col min="26" max="26" width="11.140625" style="1030" customWidth="1"/>
    <col min="27" max="30" width="29" style="1030" customWidth="1"/>
    <col min="32" max="32" width="34.7109375" style="1030" customWidth="1"/>
    <col min="34" max="35" width="34.42578125" style="1030" customWidth="1"/>
    <col min="37" max="37" width="24.5703125" style="1030" customWidth="1"/>
    <col min="39" max="39" width="26.140625" style="1030" customWidth="1"/>
    <col min="40" max="40" width="1.7109375" style="1030" customWidth="1"/>
    <col min="42" max="43" width="47.85546875" style="1030" customWidth="1"/>
    <col min="44" max="44" width="1.7109375" style="1030" customWidth="1"/>
    <col min="45" max="45" width="21.42578125" style="1030" customWidth="1"/>
    <col min="46" max="46" width="1.7109375" style="1030" customWidth="1"/>
    <col min="47" max="47" width="31.28515625" style="1030" customWidth="1"/>
    <col min="48" max="48" width="1.7109375" style="1030" customWidth="1"/>
    <col min="51" max="51" width="3.7109375" style="1030" customWidth="1"/>
    <col min="52" max="52" width="60.85546875" style="1030" customWidth="1"/>
    <col min="53" max="53" width="49.28515625" style="1030" customWidth="1"/>
    <col min="54" max="54" width="35.140625" style="1030" customWidth="1"/>
    <col min="56" max="56" width="1.7109375" style="1030" customWidth="1"/>
    <col min="57" max="57" width="12.5703125" style="1030" customWidth="1"/>
    <col min="58" max="58" width="14.28515625" style="1030" customWidth="1"/>
    <col min="59" max="59" width="30.7109375" style="1030" customWidth="1"/>
    <col min="60" max="60" width="40.7109375" style="1030" customWidth="1"/>
    <col min="61" max="61" width="15" style="1030" customWidth="1"/>
    <col min="62" max="62" width="40.7109375" style="1030" customWidth="1"/>
    <col min="63" max="63" width="2.7109375" style="1030" customWidth="1"/>
    <col min="64" max="64" width="44.7109375" style="1030" customWidth="1"/>
    <col min="65" max="65" width="2.7109375" style="1030" customWidth="1"/>
    <col min="66" max="66" width="40.7109375" style="1030" customWidth="1"/>
    <col min="69" max="69" width="18.140625" style="1030" customWidth="1"/>
    <col min="70" max="70" width="57.85546875" style="1030" customWidth="1"/>
    <col min="71" max="71" width="1.7109375" style="1030" customWidth="1"/>
    <col min="72" max="72" width="22.5703125" style="1030" customWidth="1"/>
    <col min="73" max="73" width="57.85546875" style="1030" customWidth="1"/>
    <col min="74" max="74" width="1.7109375" style="1030" customWidth="1"/>
    <col min="75" max="75" width="22.5703125" style="1030" customWidth="1"/>
    <col min="76" max="76" width="57.85546875" style="1030" customWidth="1"/>
    <col min="77" max="77" width="1.7109375" style="1030" customWidth="1"/>
    <col min="78" max="78" width="22.5703125" style="1030" customWidth="1"/>
    <col min="79" max="79" width="57.85546875" style="1030" customWidth="1"/>
    <col min="82" max="82" width="49.5703125" style="1030" customWidth="1"/>
  </cols>
  <sheetData>
    <row r="1" spans="1:79" ht="11.25" customHeight="1">
      <c r="A1" s="160" t="s">
        <v>1357</v>
      </c>
      <c r="B1" s="160" t="s">
        <v>1358</v>
      </c>
      <c r="C1" s="160" t="s">
        <v>1359</v>
      </c>
      <c r="D1" s="160" t="s">
        <v>1360</v>
      </c>
      <c r="E1" s="160" t="s">
        <v>1361</v>
      </c>
      <c r="F1" s="160" t="s">
        <v>1362</v>
      </c>
      <c r="G1" s="160" t="s">
        <v>1363</v>
      </c>
      <c r="H1" s="160" t="s">
        <v>1364</v>
      </c>
      <c r="I1" s="160" t="s">
        <v>1365</v>
      </c>
      <c r="J1" s="160" t="s">
        <v>1366</v>
      </c>
      <c r="K1" s="160" t="s">
        <v>1367</v>
      </c>
      <c r="L1" s="160" t="s">
        <v>1368</v>
      </c>
      <c r="M1" s="160"/>
      <c r="N1" s="160" t="s">
        <v>1369</v>
      </c>
      <c r="O1" s="160" t="s">
        <v>1370</v>
      </c>
      <c r="P1" s="160" t="s">
        <v>1371</v>
      </c>
      <c r="Q1" s="160" t="s">
        <v>1372</v>
      </c>
      <c r="R1" s="160" t="s">
        <v>1373</v>
      </c>
      <c r="S1" s="160" t="s">
        <v>1374</v>
      </c>
      <c r="T1" s="160" t="s">
        <v>1375</v>
      </c>
      <c r="U1" s="160" t="s">
        <v>1376</v>
      </c>
      <c r="V1" s="160"/>
      <c r="W1" s="161" t="s">
        <v>1377</v>
      </c>
      <c r="X1" s="160" t="s">
        <v>1378</v>
      </c>
      <c r="Y1" s="160" t="s">
        <v>1379</v>
      </c>
      <c r="Z1" s="160"/>
      <c r="AA1" s="160" t="s">
        <v>1380</v>
      </c>
      <c r="AB1" s="160"/>
      <c r="AC1" s="160" t="s">
        <v>1381</v>
      </c>
      <c r="AD1" s="160"/>
      <c r="AF1" s="160" t="s">
        <v>1382</v>
      </c>
      <c r="AH1" s="160" t="s">
        <v>1383</v>
      </c>
      <c r="AI1" s="160" t="s">
        <v>1384</v>
      </c>
      <c r="AK1" s="160" t="s">
        <v>1385</v>
      </c>
      <c r="AM1" s="160" t="s">
        <v>1386</v>
      </c>
      <c r="AP1" s="160" t="s">
        <v>1387</v>
      </c>
      <c r="AQ1" s="160" t="s">
        <v>1388</v>
      </c>
      <c r="AS1" s="160" t="s">
        <v>1389</v>
      </c>
      <c r="AU1" s="160" t="s">
        <v>1390</v>
      </c>
      <c r="AW1" s="160" t="s">
        <v>1391</v>
      </c>
      <c r="AX1" s="160" t="s">
        <v>1392</v>
      </c>
      <c r="AZ1" s="162" t="s">
        <v>1393</v>
      </c>
      <c r="BB1" s="160" t="s">
        <v>1394</v>
      </c>
      <c r="BC1" s="160"/>
      <c r="BE1" s="160" t="s">
        <v>1395</v>
      </c>
      <c r="BF1" s="160" t="s">
        <v>1396</v>
      </c>
      <c r="BH1" s="711" t="s">
        <v>824</v>
      </c>
      <c r="BJ1" s="163" t="s">
        <v>1397</v>
      </c>
      <c r="BL1" s="164" t="s">
        <v>923</v>
      </c>
      <c r="BN1" s="165" t="s">
        <v>1398</v>
      </c>
    </row>
    <row r="2" spans="1:79" ht="11.25" customHeight="1">
      <c r="A2" s="79" t="s">
        <v>1399</v>
      </c>
      <c r="B2" s="712">
        <v>2000</v>
      </c>
      <c r="C2" s="712">
        <v>2022</v>
      </c>
      <c r="D2" s="712" t="s">
        <v>61</v>
      </c>
      <c r="E2" s="713" t="s">
        <v>1400</v>
      </c>
      <c r="F2" s="713" t="s">
        <v>1401</v>
      </c>
      <c r="G2" s="713" t="s">
        <v>1402</v>
      </c>
      <c r="H2" s="713" t="s">
        <v>53</v>
      </c>
      <c r="I2" s="713" t="s">
        <v>114</v>
      </c>
      <c r="J2" s="713" t="s">
        <v>1403</v>
      </c>
      <c r="K2" s="714" t="s">
        <v>1404</v>
      </c>
      <c r="L2" s="714"/>
      <c r="M2" s="714">
        <v>1</v>
      </c>
      <c r="N2" s="715" t="s">
        <v>1405</v>
      </c>
      <c r="O2" s="713" t="s">
        <v>1406</v>
      </c>
      <c r="P2" s="166" t="s">
        <v>37</v>
      </c>
      <c r="Q2" s="167" t="s">
        <v>1407</v>
      </c>
      <c r="R2" s="168" t="s">
        <v>1408</v>
      </c>
      <c r="S2" s="168" t="s">
        <v>1409</v>
      </c>
      <c r="T2" s="716" t="s">
        <v>1410</v>
      </c>
      <c r="U2" s="714" t="s">
        <v>1411</v>
      </c>
      <c r="V2" s="717">
        <v>1</v>
      </c>
      <c r="W2" s="718"/>
      <c r="X2" s="718" t="s">
        <v>1412</v>
      </c>
      <c r="Y2" s="712" t="s">
        <v>1413</v>
      </c>
      <c r="Z2" s="719"/>
      <c r="AA2" s="712" t="s">
        <v>1414</v>
      </c>
      <c r="AB2" s="169" t="s">
        <v>1414</v>
      </c>
      <c r="AC2" s="712" t="s">
        <v>1415</v>
      </c>
      <c r="AD2" s="169" t="s">
        <v>1415</v>
      </c>
      <c r="AF2" s="713" t="s">
        <v>1411</v>
      </c>
      <c r="AH2" s="713" t="s">
        <v>1416</v>
      </c>
      <c r="AI2" s="713" t="s">
        <v>1416</v>
      </c>
      <c r="AK2" s="713" t="s">
        <v>1417</v>
      </c>
      <c r="AM2" s="713" t="s">
        <v>1418</v>
      </c>
      <c r="AP2" s="720" t="s">
        <v>1412</v>
      </c>
      <c r="AQ2" s="721" t="s">
        <v>1412</v>
      </c>
      <c r="AS2" s="712" t="s">
        <v>1419</v>
      </c>
      <c r="AU2" s="722" t="s">
        <v>1420</v>
      </c>
      <c r="AW2" s="722" t="s">
        <v>1421</v>
      </c>
      <c r="AX2" s="722" t="s">
        <v>1421</v>
      </c>
      <c r="AZ2" s="722" t="s">
        <v>1422</v>
      </c>
      <c r="BB2" s="722" t="s">
        <v>1423</v>
      </c>
      <c r="BC2" s="722" t="s">
        <v>1424</v>
      </c>
      <c r="BE2" s="722">
        <v>2000</v>
      </c>
      <c r="BF2" s="722" t="s">
        <v>1425</v>
      </c>
    </row>
    <row r="3" spans="1:79" ht="11.25" customHeight="1">
      <c r="A3" s="79" t="s">
        <v>1426</v>
      </c>
      <c r="B3" s="712">
        <v>2001</v>
      </c>
      <c r="C3" s="712">
        <v>2023</v>
      </c>
      <c r="D3" s="712" t="s">
        <v>19</v>
      </c>
      <c r="E3" s="713" t="s">
        <v>1427</v>
      </c>
      <c r="F3" s="713" t="s">
        <v>1428</v>
      </c>
      <c r="G3" s="713" t="s">
        <v>1429</v>
      </c>
      <c r="H3" s="713" t="s">
        <v>1430</v>
      </c>
      <c r="I3" s="713" t="s">
        <v>102</v>
      </c>
      <c r="J3" s="713" t="s">
        <v>564</v>
      </c>
      <c r="K3" s="714" t="s">
        <v>1431</v>
      </c>
      <c r="L3" s="714">
        <f>IFERROR(MATCH(K3,OFFER_METHOD,0),0)</f>
        <v>0</v>
      </c>
      <c r="M3" s="714">
        <v>2</v>
      </c>
      <c r="N3" s="715" t="s">
        <v>1432</v>
      </c>
      <c r="O3" s="713" t="s">
        <v>1433</v>
      </c>
      <c r="P3" s="166" t="s">
        <v>1434</v>
      </c>
      <c r="Q3" s="167" t="s">
        <v>1435</v>
      </c>
      <c r="R3" s="168" t="s">
        <v>1436</v>
      </c>
      <c r="S3" s="168" t="s">
        <v>1437</v>
      </c>
      <c r="T3" s="716" t="s">
        <v>1438</v>
      </c>
      <c r="U3" s="714" t="s">
        <v>1439</v>
      </c>
      <c r="V3" s="717">
        <v>2</v>
      </c>
      <c r="W3" s="718"/>
      <c r="X3" s="718" t="s">
        <v>1440</v>
      </c>
      <c r="Y3" s="712" t="s">
        <v>1413</v>
      </c>
      <c r="Z3" s="719"/>
      <c r="AA3" s="712" t="s">
        <v>1441</v>
      </c>
      <c r="AB3" s="169" t="s">
        <v>1441</v>
      </c>
      <c r="AC3" s="712" t="s">
        <v>1442</v>
      </c>
      <c r="AD3" s="169" t="s">
        <v>1442</v>
      </c>
      <c r="AF3" s="713" t="s">
        <v>1439</v>
      </c>
      <c r="AH3" s="713" t="s">
        <v>1443</v>
      </c>
      <c r="AI3" s="713" t="s">
        <v>1444</v>
      </c>
      <c r="AK3" s="713" t="s">
        <v>1445</v>
      </c>
      <c r="AM3" s="713" t="s">
        <v>1446</v>
      </c>
      <c r="AP3" s="720" t="s">
        <v>1447</v>
      </c>
      <c r="AQ3" s="721" t="s">
        <v>1447</v>
      </c>
      <c r="AS3" s="712" t="s">
        <v>1448</v>
      </c>
      <c r="AU3" s="722" t="s">
        <v>1449</v>
      </c>
      <c r="AW3" s="722" t="s">
        <v>1450</v>
      </c>
      <c r="AX3" s="722" t="s">
        <v>1450</v>
      </c>
      <c r="AZ3" s="722" t="s">
        <v>1451</v>
      </c>
      <c r="BB3" s="722" t="s">
        <v>1452</v>
      </c>
      <c r="BC3" s="722" t="s">
        <v>1424</v>
      </c>
      <c r="BE3" s="722">
        <v>2001</v>
      </c>
      <c r="BF3" s="722" t="s">
        <v>1453</v>
      </c>
      <c r="BH3" s="160" t="s">
        <v>1454</v>
      </c>
      <c r="BJ3" s="160" t="s">
        <v>1455</v>
      </c>
      <c r="BL3" s="160" t="s">
        <v>1456</v>
      </c>
      <c r="BN3" s="160" t="s">
        <v>1457</v>
      </c>
      <c r="BR3" s="160" t="s">
        <v>1458</v>
      </c>
      <c r="BU3" s="160" t="s">
        <v>1459</v>
      </c>
      <c r="BX3" s="160" t="s">
        <v>1460</v>
      </c>
      <c r="CA3" s="160" t="s">
        <v>1461</v>
      </c>
    </row>
    <row r="4" spans="1:79" ht="11.25" customHeight="1">
      <c r="A4" s="79" t="s">
        <v>1462</v>
      </c>
      <c r="B4" s="712">
        <v>2002</v>
      </c>
      <c r="C4" s="712">
        <v>2024</v>
      </c>
      <c r="E4" s="713" t="s">
        <v>1463</v>
      </c>
      <c r="F4" s="713" t="s">
        <v>1464</v>
      </c>
      <c r="H4" s="713" t="s">
        <v>1465</v>
      </c>
      <c r="I4" s="713" t="s">
        <v>89</v>
      </c>
      <c r="J4" s="713" t="s">
        <v>1466</v>
      </c>
      <c r="K4" s="714" t="s">
        <v>1467</v>
      </c>
      <c r="L4" s="714">
        <f>IFERROR(MATCH(K4,OFFER_METHOD,0),0)</f>
        <v>0</v>
      </c>
      <c r="M4" s="714">
        <v>3</v>
      </c>
      <c r="N4" s="715" t="s">
        <v>1468</v>
      </c>
      <c r="O4" s="713" t="s">
        <v>1469</v>
      </c>
      <c r="Q4" s="167" t="s">
        <v>1470</v>
      </c>
      <c r="R4" s="168" t="s">
        <v>1471</v>
      </c>
      <c r="S4" s="168" t="s">
        <v>1472</v>
      </c>
      <c r="T4" s="716" t="s">
        <v>1473</v>
      </c>
      <c r="U4" s="714" t="s">
        <v>1474</v>
      </c>
      <c r="V4" s="717">
        <v>3</v>
      </c>
      <c r="W4" s="718"/>
      <c r="X4" s="718" t="s">
        <v>1475</v>
      </c>
      <c r="Y4" s="712" t="s">
        <v>1413</v>
      </c>
      <c r="AC4" s="712" t="s">
        <v>1476</v>
      </c>
      <c r="AD4" s="169" t="s">
        <v>1476</v>
      </c>
      <c r="AF4" s="713" t="s">
        <v>1474</v>
      </c>
      <c r="AH4" s="713" t="s">
        <v>1477</v>
      </c>
      <c r="AK4" s="713" t="s">
        <v>1478</v>
      </c>
      <c r="AM4" s="713" t="s">
        <v>1479</v>
      </c>
      <c r="AP4" s="720" t="s">
        <v>1440</v>
      </c>
      <c r="AQ4" s="721" t="s">
        <v>1440</v>
      </c>
      <c r="AS4" s="712" t="s">
        <v>1480</v>
      </c>
      <c r="AU4" s="722" t="s">
        <v>1481</v>
      </c>
      <c r="AW4" s="722" t="s">
        <v>1482</v>
      </c>
      <c r="AX4" s="722" t="s">
        <v>1482</v>
      </c>
      <c r="AZ4" s="722" t="s">
        <v>1483</v>
      </c>
      <c r="BB4" s="722" t="s">
        <v>1484</v>
      </c>
      <c r="BC4" s="722" t="s">
        <v>1485</v>
      </c>
      <c r="BE4" s="722">
        <v>2002</v>
      </c>
      <c r="BF4" s="722" t="s">
        <v>1486</v>
      </c>
      <c r="BH4" s="723" t="s">
        <v>1487</v>
      </c>
      <c r="BJ4" s="723" t="s">
        <v>1487</v>
      </c>
      <c r="BL4" s="723" t="s">
        <v>1487</v>
      </c>
      <c r="BN4" s="723" t="s">
        <v>1487</v>
      </c>
      <c r="BQ4" s="724" t="s">
        <v>1488</v>
      </c>
      <c r="BR4" s="720" t="s">
        <v>1489</v>
      </c>
      <c r="BT4" s="724" t="s">
        <v>1490</v>
      </c>
      <c r="BU4" s="720" t="s">
        <v>1491</v>
      </c>
      <c r="BW4" s="724" t="s">
        <v>1492</v>
      </c>
      <c r="BX4" s="720" t="s">
        <v>1493</v>
      </c>
      <c r="BZ4" s="724" t="s">
        <v>1494</v>
      </c>
      <c r="CA4" s="720" t="s">
        <v>1495</v>
      </c>
    </row>
    <row r="5" spans="1:79" ht="11.25" customHeight="1">
      <c r="A5" s="79" t="s">
        <v>1496</v>
      </c>
      <c r="B5" s="712">
        <v>2003</v>
      </c>
      <c r="C5" s="712">
        <v>2025</v>
      </c>
      <c r="E5" s="713" t="s">
        <v>1497</v>
      </c>
      <c r="F5" s="713" t="s">
        <v>1498</v>
      </c>
      <c r="H5" s="713" t="s">
        <v>1499</v>
      </c>
      <c r="I5" s="713" t="s">
        <v>90</v>
      </c>
      <c r="K5" s="714" t="s">
        <v>1500</v>
      </c>
      <c r="L5" s="714">
        <f>IFERROR(MATCH(K5,OFFER_METHOD,0),0)</f>
        <v>0</v>
      </c>
      <c r="M5" s="714">
        <v>4</v>
      </c>
      <c r="N5" s="170" t="s">
        <v>1501</v>
      </c>
      <c r="O5" s="713" t="s">
        <v>1502</v>
      </c>
      <c r="Q5" s="167" t="s">
        <v>1503</v>
      </c>
      <c r="R5" s="168" t="s">
        <v>1504</v>
      </c>
      <c r="T5" s="713" t="s">
        <v>1505</v>
      </c>
      <c r="U5" s="714" t="s">
        <v>1506</v>
      </c>
      <c r="V5" s="717">
        <v>4</v>
      </c>
      <c r="W5" s="718"/>
      <c r="X5" s="718" t="s">
        <v>176</v>
      </c>
      <c r="Y5" s="712" t="s">
        <v>1507</v>
      </c>
      <c r="Z5" s="601">
        <v>1</v>
      </c>
      <c r="AF5" s="713" t="s">
        <v>1508</v>
      </c>
      <c r="AH5" s="713" t="s">
        <v>1509</v>
      </c>
      <c r="AK5" s="713" t="s">
        <v>1510</v>
      </c>
      <c r="AM5" s="713" t="s">
        <v>1511</v>
      </c>
      <c r="AP5" s="720" t="s">
        <v>176</v>
      </c>
      <c r="AQ5" s="721" t="s">
        <v>176</v>
      </c>
      <c r="AU5" s="722" t="s">
        <v>1512</v>
      </c>
      <c r="AW5" s="722" t="s">
        <v>1513</v>
      </c>
      <c r="AX5" s="722" t="s">
        <v>1513</v>
      </c>
      <c r="AZ5" s="722" t="s">
        <v>1514</v>
      </c>
      <c r="BB5" s="722" t="s">
        <v>1515</v>
      </c>
      <c r="BC5" s="722" t="s">
        <v>1516</v>
      </c>
      <c r="BE5" s="722">
        <v>2003</v>
      </c>
      <c r="BF5" s="722" t="s">
        <v>1517</v>
      </c>
      <c r="BH5" s="723" t="s">
        <v>1119</v>
      </c>
      <c r="BJ5" s="723" t="s">
        <v>1119</v>
      </c>
      <c r="BL5" s="723" t="s">
        <v>1119</v>
      </c>
      <c r="BN5" s="723" t="s">
        <v>1518</v>
      </c>
      <c r="BQ5" s="722">
        <v>4213775</v>
      </c>
      <c r="BR5" s="723" t="s">
        <v>1412</v>
      </c>
      <c r="BT5" s="722">
        <v>64236871</v>
      </c>
      <c r="BU5" s="723" t="s">
        <v>237</v>
      </c>
      <c r="BW5" s="722">
        <v>4213767</v>
      </c>
      <c r="BX5" s="723" t="s">
        <v>1519</v>
      </c>
      <c r="BZ5" s="722">
        <v>64237509</v>
      </c>
      <c r="CA5" s="725" t="s">
        <v>1520</v>
      </c>
    </row>
    <row r="6" spans="1:79" ht="11.25" customHeight="1">
      <c r="A6" s="79" t="s">
        <v>1521</v>
      </c>
      <c r="B6" s="712">
        <v>2004</v>
      </c>
      <c r="C6" s="712">
        <v>2026</v>
      </c>
      <c r="E6" s="713" t="s">
        <v>1522</v>
      </c>
      <c r="H6" s="713" t="s">
        <v>1523</v>
      </c>
      <c r="I6" s="713" t="s">
        <v>115</v>
      </c>
      <c r="J6" s="160" t="s">
        <v>1524</v>
      </c>
      <c r="L6" s="714">
        <f>SUM(kind_of_control_method_filter)</f>
        <v>0</v>
      </c>
      <c r="N6" s="170" t="s">
        <v>1525</v>
      </c>
      <c r="O6" s="713" t="s">
        <v>1526</v>
      </c>
      <c r="R6" s="168" t="s">
        <v>1407</v>
      </c>
      <c r="T6" s="713" t="s">
        <v>1527</v>
      </c>
      <c r="U6" s="714" t="s">
        <v>1508</v>
      </c>
      <c r="V6" s="717">
        <v>5</v>
      </c>
      <c r="W6" s="718"/>
      <c r="X6" s="712" t="s">
        <v>182</v>
      </c>
      <c r="Y6" s="712" t="s">
        <v>1528</v>
      </c>
      <c r="AH6" s="713" t="s">
        <v>1529</v>
      </c>
      <c r="AK6" s="713" t="s">
        <v>1530</v>
      </c>
      <c r="AM6" s="713" t="s">
        <v>1531</v>
      </c>
      <c r="AP6" s="720" t="s">
        <v>182</v>
      </c>
      <c r="AQ6" s="721" t="s">
        <v>182</v>
      </c>
      <c r="AU6" s="722" t="s">
        <v>1532</v>
      </c>
      <c r="AW6" s="722" t="s">
        <v>1533</v>
      </c>
      <c r="AX6" s="722" t="s">
        <v>1533</v>
      </c>
      <c r="BB6" s="722" t="s">
        <v>1534</v>
      </c>
      <c r="BC6" s="722" t="s">
        <v>1516</v>
      </c>
      <c r="BE6" s="722">
        <v>2004</v>
      </c>
      <c r="BF6" s="722" t="s">
        <v>1535</v>
      </c>
      <c r="BH6" s="723" t="s">
        <v>1536</v>
      </c>
      <c r="BJ6" s="723" t="s">
        <v>1537</v>
      </c>
      <c r="BL6" s="723" t="s">
        <v>1537</v>
      </c>
      <c r="BN6" s="723" t="s">
        <v>1538</v>
      </c>
      <c r="BQ6" s="722">
        <v>4213784</v>
      </c>
      <c r="BR6" s="725" t="s">
        <v>1447</v>
      </c>
      <c r="BT6" s="722">
        <v>64236872</v>
      </c>
      <c r="BU6" s="723" t="s">
        <v>242</v>
      </c>
      <c r="BW6" s="722">
        <v>4213768</v>
      </c>
      <c r="BX6" s="723" t="s">
        <v>262</v>
      </c>
      <c r="BZ6" s="722">
        <v>64237510</v>
      </c>
      <c r="CA6" s="723" t="s">
        <v>1539</v>
      </c>
    </row>
    <row r="7" spans="1:79" ht="11.25" customHeight="1">
      <c r="A7" s="79" t="s">
        <v>1540</v>
      </c>
      <c r="B7" s="712">
        <v>2005</v>
      </c>
      <c r="E7" s="713" t="s">
        <v>1541</v>
      </c>
      <c r="H7" s="713" t="s">
        <v>1542</v>
      </c>
      <c r="I7" s="713" t="s">
        <v>91</v>
      </c>
      <c r="J7" s="713" t="s">
        <v>1543</v>
      </c>
      <c r="N7" s="171" t="s">
        <v>1544</v>
      </c>
      <c r="O7" s="713" t="s">
        <v>1545</v>
      </c>
      <c r="U7" s="714" t="s">
        <v>19</v>
      </c>
      <c r="V7" s="172" t="s">
        <v>91</v>
      </c>
      <c r="W7" s="718"/>
      <c r="X7" s="712" t="s">
        <v>188</v>
      </c>
      <c r="Y7" s="712" t="s">
        <v>1507</v>
      </c>
      <c r="AH7" s="713" t="s">
        <v>1546</v>
      </c>
      <c r="AK7" s="713" t="s">
        <v>1547</v>
      </c>
      <c r="AM7" s="713" t="s">
        <v>1548</v>
      </c>
      <c r="AP7" s="720" t="s">
        <v>188</v>
      </c>
      <c r="AQ7" s="721" t="s">
        <v>188</v>
      </c>
      <c r="AU7" s="722" t="s">
        <v>1549</v>
      </c>
      <c r="AW7" s="722" t="s">
        <v>1550</v>
      </c>
      <c r="AX7" s="722" t="s">
        <v>1550</v>
      </c>
      <c r="AZ7" s="160" t="s">
        <v>1551</v>
      </c>
      <c r="BB7" s="722" t="s">
        <v>1552</v>
      </c>
      <c r="BC7" s="722" t="s">
        <v>1516</v>
      </c>
      <c r="BE7" s="722">
        <v>2005</v>
      </c>
      <c r="BF7" s="722" t="s">
        <v>1553</v>
      </c>
      <c r="BH7" s="723" t="s">
        <v>1554</v>
      </c>
      <c r="BJ7" s="723" t="s">
        <v>1536</v>
      </c>
      <c r="BL7" s="723" t="s">
        <v>1536</v>
      </c>
      <c r="BN7" s="723" t="s">
        <v>1555</v>
      </c>
      <c r="BQ7" s="722">
        <v>4213781</v>
      </c>
      <c r="BR7" s="723" t="s">
        <v>1440</v>
      </c>
      <c r="BT7" s="722">
        <v>64236873</v>
      </c>
      <c r="BU7" s="723" t="s">
        <v>247</v>
      </c>
      <c r="BW7" s="722">
        <v>4213769</v>
      </c>
      <c r="BX7" s="723" t="s">
        <v>1556</v>
      </c>
      <c r="BZ7" s="722">
        <v>64237511</v>
      </c>
      <c r="CA7" s="723" t="s">
        <v>277</v>
      </c>
    </row>
    <row r="8" spans="1:79" ht="11.25" customHeight="1">
      <c r="A8" s="79" t="s">
        <v>1557</v>
      </c>
      <c r="B8" s="712">
        <v>2006</v>
      </c>
      <c r="E8" s="713" t="s">
        <v>1558</v>
      </c>
      <c r="H8" s="713" t="s">
        <v>1559</v>
      </c>
      <c r="I8" s="713" t="s">
        <v>92</v>
      </c>
      <c r="J8" s="713" t="s">
        <v>1560</v>
      </c>
      <c r="N8" s="726" t="s">
        <v>1561</v>
      </c>
      <c r="O8" s="713" t="s">
        <v>1562</v>
      </c>
      <c r="V8" s="172" t="s">
        <v>92</v>
      </c>
      <c r="W8" s="718"/>
      <c r="X8" s="712" t="s">
        <v>194</v>
      </c>
      <c r="Y8" s="712" t="s">
        <v>1507</v>
      </c>
      <c r="AK8" s="713" t="s">
        <v>1563</v>
      </c>
      <c r="AP8" s="720" t="s">
        <v>194</v>
      </c>
      <c r="AQ8" s="721" t="s">
        <v>194</v>
      </c>
      <c r="AU8" s="722" t="s">
        <v>1564</v>
      </c>
      <c r="AW8" s="722" t="s">
        <v>1565</v>
      </c>
      <c r="AX8" s="722" t="s">
        <v>1565</v>
      </c>
      <c r="AZ8" s="722" t="s">
        <v>1566</v>
      </c>
      <c r="BB8" s="722" t="s">
        <v>1567</v>
      </c>
      <c r="BC8" s="722" t="s">
        <v>1516</v>
      </c>
      <c r="BE8" s="722">
        <v>2006</v>
      </c>
      <c r="BF8" s="722" t="s">
        <v>1568</v>
      </c>
      <c r="BH8" s="723" t="s">
        <v>1569</v>
      </c>
      <c r="BJ8" s="723" t="s">
        <v>1570</v>
      </c>
      <c r="BL8" s="723" t="s">
        <v>1570</v>
      </c>
      <c r="BN8" s="723" t="s">
        <v>1057</v>
      </c>
      <c r="BQ8" s="722">
        <v>4213776</v>
      </c>
      <c r="BR8" s="723" t="s">
        <v>176</v>
      </c>
      <c r="BT8" s="722">
        <v>64236874</v>
      </c>
      <c r="BU8" s="725" t="s">
        <v>1571</v>
      </c>
      <c r="BW8" s="722">
        <v>4213770</v>
      </c>
      <c r="BX8" s="725" t="s">
        <v>1572</v>
      </c>
      <c r="BZ8" s="722">
        <v>64237512</v>
      </c>
      <c r="CA8" s="723" t="s">
        <v>272</v>
      </c>
    </row>
    <row r="9" spans="1:79" ht="11.25" customHeight="1">
      <c r="A9" s="79" t="s">
        <v>1573</v>
      </c>
      <c r="B9" s="712">
        <v>2007</v>
      </c>
      <c r="E9" s="713" t="s">
        <v>1574</v>
      </c>
      <c r="G9" s="160" t="s">
        <v>1575</v>
      </c>
      <c r="H9" s="160" t="s">
        <v>1576</v>
      </c>
      <c r="I9" s="713" t="s">
        <v>116</v>
      </c>
      <c r="O9" s="713" t="s">
        <v>1577</v>
      </c>
      <c r="V9" s="172" t="s">
        <v>116</v>
      </c>
      <c r="W9" s="718"/>
      <c r="X9" s="712" t="s">
        <v>200</v>
      </c>
      <c r="Y9" s="712" t="s">
        <v>1413</v>
      </c>
      <c r="Z9" s="601">
        <v>1</v>
      </c>
      <c r="AK9" s="713" t="s">
        <v>1578</v>
      </c>
      <c r="AP9" s="720" t="s">
        <v>1579</v>
      </c>
      <c r="AQ9" s="721" t="s">
        <v>1579</v>
      </c>
      <c r="AW9" s="722" t="s">
        <v>1580</v>
      </c>
      <c r="AX9" s="722" t="s">
        <v>1580</v>
      </c>
      <c r="AZ9" s="722" t="s">
        <v>1581</v>
      </c>
      <c r="BB9" s="722" t="s">
        <v>1582</v>
      </c>
      <c r="BC9" s="722" t="s">
        <v>1516</v>
      </c>
      <c r="BE9" s="722">
        <v>2007</v>
      </c>
      <c r="BF9" s="722" t="s">
        <v>1583</v>
      </c>
      <c r="BH9" s="723" t="s">
        <v>1138</v>
      </c>
      <c r="BJ9" s="723" t="s">
        <v>1584</v>
      </c>
      <c r="BL9" s="723" t="s">
        <v>1584</v>
      </c>
      <c r="BN9" s="723" t="s">
        <v>1585</v>
      </c>
      <c r="BQ9" s="722">
        <v>4213777</v>
      </c>
      <c r="BR9" s="723" t="s">
        <v>182</v>
      </c>
      <c r="BT9" s="722">
        <v>64236875</v>
      </c>
      <c r="BU9" s="723" t="s">
        <v>252</v>
      </c>
    </row>
    <row r="10" spans="1:79" ht="11.25" customHeight="1">
      <c r="A10" s="79" t="s">
        <v>1586</v>
      </c>
      <c r="B10" s="712">
        <v>2008</v>
      </c>
      <c r="E10" s="713" t="s">
        <v>1587</v>
      </c>
      <c r="G10" s="713" t="s">
        <v>1588</v>
      </c>
      <c r="H10" s="713" t="s">
        <v>1589</v>
      </c>
      <c r="I10" s="713" t="s">
        <v>158</v>
      </c>
      <c r="J10" s="160" t="s">
        <v>1590</v>
      </c>
      <c r="K10" s="160" t="s">
        <v>1591</v>
      </c>
      <c r="O10" s="713" t="s">
        <v>1592</v>
      </c>
      <c r="V10" s="173" t="s">
        <v>158</v>
      </c>
      <c r="W10" s="727"/>
      <c r="X10" s="727" t="s">
        <v>1593</v>
      </c>
      <c r="Y10" s="728" t="s">
        <v>1594</v>
      </c>
      <c r="AP10" s="720" t="s">
        <v>1593</v>
      </c>
      <c r="AQ10" s="721" t="s">
        <v>1593</v>
      </c>
      <c r="AW10" s="722" t="s">
        <v>1595</v>
      </c>
      <c r="AX10" s="722" t="s">
        <v>1595</v>
      </c>
      <c r="AZ10" s="722" t="s">
        <v>1305</v>
      </c>
      <c r="BB10" s="722" t="s">
        <v>1596</v>
      </c>
      <c r="BC10" s="722" t="s">
        <v>1516</v>
      </c>
      <c r="BE10" s="722">
        <v>2008</v>
      </c>
      <c r="BF10" s="722" t="s">
        <v>1597</v>
      </c>
      <c r="BH10" s="723" t="s">
        <v>1598</v>
      </c>
      <c r="BJ10" s="723" t="s">
        <v>1120</v>
      </c>
      <c r="BL10" s="723" t="s">
        <v>1120</v>
      </c>
      <c r="BN10" s="723" t="s">
        <v>1599</v>
      </c>
      <c r="BQ10" s="722">
        <v>4213778</v>
      </c>
      <c r="BR10" s="723" t="s">
        <v>188</v>
      </c>
      <c r="BT10" s="722">
        <v>64236876</v>
      </c>
      <c r="BU10" s="723" t="s">
        <v>232</v>
      </c>
    </row>
    <row r="11" spans="1:79" ht="11.25" customHeight="1">
      <c r="A11" s="79" t="s">
        <v>1600</v>
      </c>
      <c r="B11" s="712">
        <v>2009</v>
      </c>
      <c r="E11" s="713" t="s">
        <v>1601</v>
      </c>
      <c r="G11" s="713" t="s">
        <v>1602</v>
      </c>
      <c r="H11" s="713" t="s">
        <v>1603</v>
      </c>
      <c r="I11" s="713" t="s">
        <v>159</v>
      </c>
      <c r="J11" s="713" t="s">
        <v>1604</v>
      </c>
      <c r="K11" s="174" t="s">
        <v>1605</v>
      </c>
      <c r="O11" s="713" t="s">
        <v>1606</v>
      </c>
      <c r="V11" s="172" t="s">
        <v>159</v>
      </c>
      <c r="W11" s="175"/>
      <c r="X11" s="718" t="s">
        <v>1579</v>
      </c>
      <c r="Y11" s="712" t="s">
        <v>1607</v>
      </c>
      <c r="AP11" s="720" t="s">
        <v>200</v>
      </c>
      <c r="AQ11" s="176" t="s">
        <v>200</v>
      </c>
      <c r="AW11" s="722" t="s">
        <v>1608</v>
      </c>
      <c r="AX11" s="722" t="s">
        <v>1608</v>
      </c>
      <c r="AZ11" s="722" t="s">
        <v>1609</v>
      </c>
      <c r="BB11" s="722" t="s">
        <v>1610</v>
      </c>
      <c r="BC11" s="722" t="s">
        <v>1516</v>
      </c>
      <c r="BE11" s="722">
        <v>2009</v>
      </c>
      <c r="BF11" s="722" t="s">
        <v>1611</v>
      </c>
      <c r="BH11" s="723" t="s">
        <v>1612</v>
      </c>
      <c r="BJ11" s="723" t="s">
        <v>1138</v>
      </c>
      <c r="BL11" s="723" t="s">
        <v>1138</v>
      </c>
      <c r="BN11" s="723" t="s">
        <v>1613</v>
      </c>
      <c r="BQ11" s="722">
        <v>4213780</v>
      </c>
      <c r="BR11" s="723" t="s">
        <v>194</v>
      </c>
    </row>
    <row r="12" spans="1:79" ht="11.25" customHeight="1">
      <c r="A12" s="79" t="s">
        <v>1614</v>
      </c>
      <c r="B12" s="712">
        <v>2010</v>
      </c>
      <c r="E12" s="713" t="s">
        <v>1615</v>
      </c>
      <c r="G12" s="713" t="s">
        <v>1603</v>
      </c>
      <c r="I12" s="713" t="s">
        <v>160</v>
      </c>
      <c r="J12" s="713" t="s">
        <v>1616</v>
      </c>
      <c r="K12" s="174" t="s">
        <v>1617</v>
      </c>
      <c r="O12" s="713" t="s">
        <v>1407</v>
      </c>
      <c r="V12" s="172" t="s">
        <v>160</v>
      </c>
      <c r="W12" s="176"/>
      <c r="X12" s="718" t="s">
        <v>1618</v>
      </c>
      <c r="Y12" s="712" t="s">
        <v>1413</v>
      </c>
      <c r="AW12" s="722" t="s">
        <v>159</v>
      </c>
      <c r="AX12" s="722" t="s">
        <v>159</v>
      </c>
      <c r="AZ12" s="722" t="s">
        <v>1619</v>
      </c>
      <c r="BB12" s="722" t="s">
        <v>1620</v>
      </c>
      <c r="BC12" s="722" t="s">
        <v>1516</v>
      </c>
      <c r="BE12" s="722">
        <v>2010</v>
      </c>
      <c r="BF12" s="722" t="s">
        <v>1621</v>
      </c>
      <c r="BH12" s="723" t="s">
        <v>1622</v>
      </c>
      <c r="BJ12" s="723" t="s">
        <v>1118</v>
      </c>
      <c r="BL12" s="723" t="s">
        <v>1118</v>
      </c>
      <c r="BN12" s="723" t="s">
        <v>1623</v>
      </c>
      <c r="BQ12" s="722">
        <v>4213779</v>
      </c>
      <c r="BR12" s="723" t="s">
        <v>1579</v>
      </c>
    </row>
    <row r="13" spans="1:79" ht="11.25" customHeight="1">
      <c r="A13" s="79" t="s">
        <v>1624</v>
      </c>
      <c r="B13" s="712">
        <v>2011</v>
      </c>
      <c r="E13" s="713" t="s">
        <v>1625</v>
      </c>
      <c r="I13" s="713" t="s">
        <v>161</v>
      </c>
      <c r="K13" s="174" t="s">
        <v>1578</v>
      </c>
      <c r="V13" s="172" t="s">
        <v>161</v>
      </c>
      <c r="W13" s="176"/>
      <c r="X13" s="176"/>
      <c r="Y13" s="176"/>
      <c r="AW13" s="722" t="s">
        <v>160</v>
      </c>
      <c r="AX13" s="722" t="s">
        <v>160</v>
      </c>
      <c r="BB13" s="722" t="s">
        <v>1626</v>
      </c>
      <c r="BC13" s="722" t="s">
        <v>1627</v>
      </c>
      <c r="BE13" s="722">
        <v>2011</v>
      </c>
      <c r="BF13" s="722" t="s">
        <v>1055</v>
      </c>
      <c r="BH13" s="723" t="s">
        <v>1628</v>
      </c>
      <c r="BJ13" s="723" t="s">
        <v>1612</v>
      </c>
      <c r="BL13" s="723" t="s">
        <v>1612</v>
      </c>
      <c r="BN13" s="723" t="s">
        <v>1147</v>
      </c>
      <c r="BQ13" s="722">
        <v>4213783</v>
      </c>
      <c r="BR13" s="723" t="s">
        <v>1593</v>
      </c>
    </row>
    <row r="14" spans="1:79" ht="11.25" customHeight="1">
      <c r="A14" s="79" t="s">
        <v>1629</v>
      </c>
      <c r="B14" s="712">
        <v>2012</v>
      </c>
      <c r="I14" s="713" t="s">
        <v>162</v>
      </c>
      <c r="J14" s="160" t="s">
        <v>1630</v>
      </c>
      <c r="N14" s="160" t="s">
        <v>1631</v>
      </c>
      <c r="V14" s="717">
        <v>13</v>
      </c>
      <c r="W14" s="718"/>
      <c r="X14" s="718" t="s">
        <v>1447</v>
      </c>
      <c r="Y14" s="712" t="s">
        <v>1413</v>
      </c>
      <c r="AW14" s="722" t="s">
        <v>161</v>
      </c>
      <c r="AX14" s="722" t="s">
        <v>161</v>
      </c>
      <c r="AZ14" s="160" t="s">
        <v>1632</v>
      </c>
      <c r="BB14" s="722" t="s">
        <v>1633</v>
      </c>
      <c r="BC14" s="722" t="s">
        <v>1627</v>
      </c>
      <c r="BE14" s="722">
        <v>2012</v>
      </c>
      <c r="BH14" s="723" t="s">
        <v>1555</v>
      </c>
      <c r="BJ14" s="729" t="s">
        <v>1634</v>
      </c>
      <c r="BL14" s="729" t="s">
        <v>1634</v>
      </c>
      <c r="BN14" s="723" t="s">
        <v>1148</v>
      </c>
      <c r="BQ14" s="722">
        <v>4213782</v>
      </c>
      <c r="BR14" s="723" t="s">
        <v>200</v>
      </c>
    </row>
    <row r="15" spans="1:79" ht="19.5" customHeight="1">
      <c r="A15" s="79" t="s">
        <v>1635</v>
      </c>
      <c r="B15" s="712">
        <v>2013</v>
      </c>
      <c r="E15" s="730" t="s">
        <v>1636</v>
      </c>
      <c r="G15" s="160" t="s">
        <v>1637</v>
      </c>
      <c r="H15" s="160" t="s">
        <v>1638</v>
      </c>
      <c r="I15" s="714" t="s">
        <v>163</v>
      </c>
      <c r="J15" s="176" t="s">
        <v>598</v>
      </c>
      <c r="N15" s="177" t="s">
        <v>1639</v>
      </c>
      <c r="AW15" s="722" t="s">
        <v>162</v>
      </c>
      <c r="AX15" s="722" t="s">
        <v>162</v>
      </c>
      <c r="AZ15" s="722" t="s">
        <v>1566</v>
      </c>
      <c r="BB15" s="722" t="s">
        <v>1640</v>
      </c>
      <c r="BC15" s="722" t="s">
        <v>1627</v>
      </c>
      <c r="BE15" s="722">
        <v>2013</v>
      </c>
      <c r="BH15" s="723" t="s">
        <v>1057</v>
      </c>
      <c r="BJ15" s="729" t="s">
        <v>1641</v>
      </c>
      <c r="BL15" s="729" t="s">
        <v>1641</v>
      </c>
      <c r="BN15" s="723" t="s">
        <v>1149</v>
      </c>
    </row>
    <row r="16" spans="1:79" ht="21" customHeight="1">
      <c r="A16" s="178" t="s">
        <v>1642</v>
      </c>
      <c r="B16" s="712">
        <v>2014</v>
      </c>
      <c r="E16" s="731" t="s">
        <v>1643</v>
      </c>
      <c r="G16" s="713" t="s">
        <v>1644</v>
      </c>
      <c r="H16" s="713" t="s">
        <v>1645</v>
      </c>
      <c r="I16" s="714" t="s">
        <v>1127</v>
      </c>
      <c r="J16" s="176" t="s">
        <v>564</v>
      </c>
      <c r="N16" s="177" t="s">
        <v>1646</v>
      </c>
      <c r="AW16" s="722" t="s">
        <v>163</v>
      </c>
      <c r="AX16" s="722" t="s">
        <v>163</v>
      </c>
      <c r="AZ16" s="722" t="s">
        <v>1581</v>
      </c>
      <c r="BB16" s="722" t="s">
        <v>1647</v>
      </c>
      <c r="BC16" s="722" t="s">
        <v>1627</v>
      </c>
      <c r="BE16" s="722">
        <v>2014</v>
      </c>
      <c r="BH16" s="723" t="s">
        <v>1585</v>
      </c>
      <c r="BJ16" s="729" t="s">
        <v>1648</v>
      </c>
      <c r="BL16" s="729" t="s">
        <v>1648</v>
      </c>
      <c r="BN16" s="723" t="s">
        <v>1649</v>
      </c>
    </row>
    <row r="17" spans="1:82" ht="21" customHeight="1">
      <c r="A17" s="79" t="s">
        <v>1650</v>
      </c>
      <c r="B17" s="712">
        <v>2015</v>
      </c>
      <c r="G17" s="713" t="s">
        <v>1603</v>
      </c>
      <c r="H17" s="713" t="s">
        <v>1603</v>
      </c>
      <c r="I17" s="713" t="s">
        <v>1129</v>
      </c>
      <c r="N17" s="177" t="s">
        <v>1651</v>
      </c>
      <c r="AW17" s="722" t="s">
        <v>1127</v>
      </c>
      <c r="AX17" s="722" t="s">
        <v>1127</v>
      </c>
      <c r="AZ17" s="722" t="s">
        <v>66</v>
      </c>
      <c r="BB17" s="722" t="s">
        <v>1652</v>
      </c>
      <c r="BC17" s="722" t="s">
        <v>1516</v>
      </c>
      <c r="BE17" s="722">
        <v>2015</v>
      </c>
      <c r="BH17" s="723" t="s">
        <v>1599</v>
      </c>
      <c r="BJ17" s="729" t="s">
        <v>1653</v>
      </c>
      <c r="BL17" s="729" t="s">
        <v>1653</v>
      </c>
      <c r="BN17" s="723" t="s">
        <v>1058</v>
      </c>
      <c r="BR17" s="160" t="s">
        <v>1458</v>
      </c>
      <c r="BU17" s="160" t="s">
        <v>1654</v>
      </c>
      <c r="BX17" s="160" t="s">
        <v>1655</v>
      </c>
      <c r="CA17" s="160" t="s">
        <v>1656</v>
      </c>
      <c r="CD17" s="160" t="s">
        <v>1657</v>
      </c>
    </row>
    <row r="18" spans="1:82" ht="21" customHeight="1">
      <c r="A18" s="79" t="s">
        <v>1658</v>
      </c>
      <c r="B18" s="712">
        <v>2016</v>
      </c>
      <c r="E18" s="179" t="s">
        <v>1659</v>
      </c>
      <c r="I18" s="713" t="s">
        <v>1131</v>
      </c>
      <c r="N18" s="177" t="s">
        <v>1660</v>
      </c>
      <c r="AW18" s="722" t="s">
        <v>1129</v>
      </c>
      <c r="AX18" s="722" t="s">
        <v>1129</v>
      </c>
      <c r="BB18" s="722" t="s">
        <v>1661</v>
      </c>
      <c r="BC18" s="722" t="s">
        <v>1516</v>
      </c>
      <c r="BE18" s="722">
        <v>2016</v>
      </c>
      <c r="BH18" s="723" t="s">
        <v>1613</v>
      </c>
      <c r="BJ18" s="729" t="s">
        <v>1662</v>
      </c>
      <c r="BL18" s="729" t="s">
        <v>1662</v>
      </c>
      <c r="BN18" s="723" t="s">
        <v>1663</v>
      </c>
      <c r="BQ18" s="724" t="s">
        <v>1488</v>
      </c>
      <c r="BR18" s="720" t="s">
        <v>1489</v>
      </c>
      <c r="BT18" s="724" t="s">
        <v>1664</v>
      </c>
      <c r="BU18" s="720" t="s">
        <v>1665</v>
      </c>
      <c r="BW18" s="724" t="s">
        <v>1666</v>
      </c>
      <c r="BX18" s="720" t="s">
        <v>1667</v>
      </c>
      <c r="BZ18" s="724" t="s">
        <v>1668</v>
      </c>
      <c r="CA18" s="720" t="s">
        <v>1669</v>
      </c>
      <c r="CC18" s="724" t="s">
        <v>1670</v>
      </c>
      <c r="CD18" s="720" t="s">
        <v>1671</v>
      </c>
    </row>
    <row r="19" spans="1:82" ht="21" customHeight="1">
      <c r="A19" s="178" t="s">
        <v>1672</v>
      </c>
      <c r="B19" s="712">
        <v>2017</v>
      </c>
      <c r="E19" s="79" t="s">
        <v>175</v>
      </c>
      <c r="I19" s="713" t="s">
        <v>1132</v>
      </c>
      <c r="N19" s="177" t="s">
        <v>1673</v>
      </c>
      <c r="AW19" s="722" t="s">
        <v>1131</v>
      </c>
      <c r="AX19" s="722" t="s">
        <v>1131</v>
      </c>
      <c r="AZ19" s="160" t="s">
        <v>1674</v>
      </c>
      <c r="BB19" s="722" t="s">
        <v>1675</v>
      </c>
      <c r="BC19" s="722" t="s">
        <v>1516</v>
      </c>
      <c r="BE19" s="722">
        <v>2017</v>
      </c>
      <c r="BH19" s="723" t="s">
        <v>1676</v>
      </c>
      <c r="BJ19" s="729" t="s">
        <v>1677</v>
      </c>
      <c r="BL19" s="729" t="s">
        <v>1677</v>
      </c>
      <c r="BQ19" s="722">
        <v>4190064</v>
      </c>
      <c r="BR19" s="723" t="s">
        <v>1678</v>
      </c>
      <c r="BT19" s="722">
        <v>4189671</v>
      </c>
      <c r="BU19" s="723" t="s">
        <v>1679</v>
      </c>
      <c r="BW19" s="722">
        <v>4189706</v>
      </c>
      <c r="BX19" s="723" t="s">
        <v>1680</v>
      </c>
      <c r="BZ19" s="722">
        <v>4189714</v>
      </c>
      <c r="CA19" s="723" t="s">
        <v>1681</v>
      </c>
      <c r="CC19" s="722">
        <v>4189708</v>
      </c>
      <c r="CD19" s="723" t="s">
        <v>1682</v>
      </c>
    </row>
    <row r="20" spans="1:82" ht="21" customHeight="1">
      <c r="A20" s="79" t="s">
        <v>1683</v>
      </c>
      <c r="B20" s="712">
        <v>2018</v>
      </c>
      <c r="E20" s="79" t="s">
        <v>1447</v>
      </c>
      <c r="I20" s="713" t="s">
        <v>1134</v>
      </c>
      <c r="N20" s="177" t="s">
        <v>1684</v>
      </c>
      <c r="AW20" s="722" t="s">
        <v>1132</v>
      </c>
      <c r="AX20" s="722" t="s">
        <v>1132</v>
      </c>
      <c r="AZ20" s="722" t="s">
        <v>1685</v>
      </c>
      <c r="BB20" s="722" t="s">
        <v>1686</v>
      </c>
      <c r="BC20" s="722" t="s">
        <v>1627</v>
      </c>
      <c r="BE20" s="722">
        <v>2018</v>
      </c>
      <c r="BH20" s="723" t="s">
        <v>1623</v>
      </c>
      <c r="BJ20" s="723" t="s">
        <v>1555</v>
      </c>
      <c r="BL20" s="723" t="s">
        <v>1555</v>
      </c>
      <c r="BQ20" s="722">
        <v>4190065</v>
      </c>
      <c r="BR20" s="723" t="s">
        <v>1687</v>
      </c>
      <c r="BT20" s="722">
        <v>4189672</v>
      </c>
      <c r="BU20" s="723" t="s">
        <v>1688</v>
      </c>
      <c r="BW20" s="722">
        <v>4189705</v>
      </c>
      <c r="BX20" s="723" t="s">
        <v>1689</v>
      </c>
      <c r="BZ20" s="722">
        <v>4189713</v>
      </c>
      <c r="CA20" s="723" t="s">
        <v>1689</v>
      </c>
      <c r="CC20" s="722">
        <v>4189709</v>
      </c>
      <c r="CD20" s="723" t="s">
        <v>1690</v>
      </c>
    </row>
    <row r="21" spans="1:82" ht="21" customHeight="1">
      <c r="A21" s="79" t="s">
        <v>1691</v>
      </c>
      <c r="B21" s="712">
        <v>2019</v>
      </c>
      <c r="I21" s="713" t="s">
        <v>1136</v>
      </c>
      <c r="N21" s="177" t="s">
        <v>1692</v>
      </c>
      <c r="AW21" s="722" t="s">
        <v>1134</v>
      </c>
      <c r="AX21" s="722" t="s">
        <v>1134</v>
      </c>
      <c r="AZ21" s="722" t="s">
        <v>1693</v>
      </c>
      <c r="BB21" s="722" t="s">
        <v>1694</v>
      </c>
      <c r="BC21" s="722" t="s">
        <v>1516</v>
      </c>
      <c r="BE21" s="722">
        <v>2019</v>
      </c>
      <c r="BH21" s="723" t="s">
        <v>1147</v>
      </c>
      <c r="BJ21" s="723" t="s">
        <v>1057</v>
      </c>
      <c r="BL21" s="723" t="s">
        <v>1057</v>
      </c>
      <c r="BQ21" s="722">
        <v>4190066</v>
      </c>
      <c r="BR21" s="723" t="s">
        <v>1695</v>
      </c>
      <c r="BT21" s="722">
        <v>4189673</v>
      </c>
      <c r="BU21" s="723" t="s">
        <v>1696</v>
      </c>
      <c r="BW21" s="722">
        <v>4189707</v>
      </c>
      <c r="BX21" s="723" t="s">
        <v>1697</v>
      </c>
      <c r="BZ21" s="722">
        <v>4189712</v>
      </c>
      <c r="CA21" s="723" t="s">
        <v>1698</v>
      </c>
      <c r="CC21" s="722">
        <v>4189710</v>
      </c>
      <c r="CD21" s="723" t="s">
        <v>1699</v>
      </c>
    </row>
    <row r="22" spans="1:82" ht="21" customHeight="1">
      <c r="A22" s="79" t="s">
        <v>1700</v>
      </c>
      <c r="B22" s="712">
        <v>2020</v>
      </c>
      <c r="N22" s="177" t="s">
        <v>1701</v>
      </c>
      <c r="AW22" s="722" t="s">
        <v>1136</v>
      </c>
      <c r="AX22" s="722" t="s">
        <v>1136</v>
      </c>
      <c r="AZ22" s="722" t="s">
        <v>1702</v>
      </c>
      <c r="BB22" s="722" t="s">
        <v>1703</v>
      </c>
      <c r="BC22" s="722" t="s">
        <v>1516</v>
      </c>
      <c r="BE22" s="722">
        <v>2020</v>
      </c>
      <c r="BH22" s="723" t="s">
        <v>1148</v>
      </c>
      <c r="BJ22" s="723" t="s">
        <v>1585</v>
      </c>
      <c r="BL22" s="723" t="s">
        <v>1585</v>
      </c>
      <c r="BQ22" s="722">
        <v>4190067</v>
      </c>
      <c r="BR22" s="723" t="s">
        <v>1704</v>
      </c>
      <c r="BT22" s="722">
        <v>4189674</v>
      </c>
      <c r="BU22" s="723" t="s">
        <v>1705</v>
      </c>
      <c r="CC22" s="722">
        <v>4189711</v>
      </c>
      <c r="CD22" s="723" t="s">
        <v>301</v>
      </c>
    </row>
    <row r="23" spans="1:82" ht="21" customHeight="1">
      <c r="A23" s="79" t="s">
        <v>1706</v>
      </c>
      <c r="B23" s="712">
        <v>2021</v>
      </c>
      <c r="AW23" s="722" t="s">
        <v>1143</v>
      </c>
      <c r="AX23" s="722" t="s">
        <v>1143</v>
      </c>
      <c r="AZ23" s="722" t="s">
        <v>1707</v>
      </c>
      <c r="BB23" s="722" t="s">
        <v>1708</v>
      </c>
      <c r="BC23" s="722" t="s">
        <v>1424</v>
      </c>
      <c r="BE23" s="722">
        <v>2021</v>
      </c>
      <c r="BH23" s="723" t="s">
        <v>1149</v>
      </c>
      <c r="BJ23" s="723" t="s">
        <v>1599</v>
      </c>
      <c r="BL23" s="723" t="s">
        <v>1599</v>
      </c>
      <c r="BQ23" s="722">
        <v>4190068</v>
      </c>
      <c r="BR23" s="723" t="s">
        <v>1709</v>
      </c>
      <c r="BT23" s="722">
        <v>4189675</v>
      </c>
      <c r="BU23" s="723" t="s">
        <v>1710</v>
      </c>
      <c r="CC23" s="722">
        <v>5110778</v>
      </c>
      <c r="CD23" s="723" t="s">
        <v>1711</v>
      </c>
    </row>
    <row r="24" spans="1:82" ht="21" customHeight="1">
      <c r="A24" s="79" t="s">
        <v>1712</v>
      </c>
      <c r="B24" s="712">
        <v>2022</v>
      </c>
      <c r="AW24" s="722" t="s">
        <v>1144</v>
      </c>
      <c r="AX24" s="722" t="s">
        <v>1144</v>
      </c>
      <c r="AZ24" s="722" t="s">
        <v>1713</v>
      </c>
      <c r="BB24" s="722" t="s">
        <v>1714</v>
      </c>
      <c r="BC24" s="722" t="s">
        <v>1715</v>
      </c>
      <c r="BE24" s="722">
        <v>2022</v>
      </c>
      <c r="BH24" s="723" t="s">
        <v>1649</v>
      </c>
      <c r="BJ24" s="723" t="s">
        <v>1613</v>
      </c>
      <c r="BL24" s="723" t="s">
        <v>1613</v>
      </c>
      <c r="BQ24" s="722">
        <v>4190069</v>
      </c>
      <c r="BR24" s="723" t="s">
        <v>1716</v>
      </c>
      <c r="BT24" s="722">
        <v>4189676</v>
      </c>
      <c r="BU24" s="723" t="s">
        <v>1717</v>
      </c>
      <c r="CC24" s="722">
        <v>25575374</v>
      </c>
      <c r="CD24" s="723" t="s">
        <v>1718</v>
      </c>
    </row>
    <row r="25" spans="1:82" ht="11.25" customHeight="1">
      <c r="A25" s="79" t="s">
        <v>1719</v>
      </c>
      <c r="B25" s="712">
        <v>2023</v>
      </c>
      <c r="AW25" s="722" t="s">
        <v>1145</v>
      </c>
      <c r="AX25" s="722" t="s">
        <v>1145</v>
      </c>
      <c r="AZ25" s="722" t="s">
        <v>1720</v>
      </c>
      <c r="BB25" s="722" t="s">
        <v>1721</v>
      </c>
      <c r="BC25" s="722" t="s">
        <v>1715</v>
      </c>
      <c r="BE25" s="722">
        <v>2023</v>
      </c>
      <c r="BH25" s="723" t="s">
        <v>1058</v>
      </c>
      <c r="BJ25" s="723" t="s">
        <v>1676</v>
      </c>
      <c r="BL25" s="723" t="s">
        <v>1676</v>
      </c>
      <c r="BQ25" s="722">
        <v>4190070</v>
      </c>
      <c r="BR25" s="723" t="s">
        <v>1722</v>
      </c>
      <c r="BT25" s="722">
        <v>4189677</v>
      </c>
      <c r="BU25" s="723" t="s">
        <v>1723</v>
      </c>
    </row>
    <row r="26" spans="1:82" ht="11.25" customHeight="1">
      <c r="A26" s="79" t="s">
        <v>1724</v>
      </c>
      <c r="B26" s="712">
        <v>2024</v>
      </c>
      <c r="J26" s="180" t="s">
        <v>1725</v>
      </c>
      <c r="AX26" s="722" t="s">
        <v>105</v>
      </c>
      <c r="AZ26" s="722" t="s">
        <v>1606</v>
      </c>
      <c r="BB26" s="722" t="s">
        <v>1726</v>
      </c>
      <c r="BC26" s="722" t="s">
        <v>1715</v>
      </c>
      <c r="BE26" s="722">
        <v>2024</v>
      </c>
      <c r="BH26" s="723" t="s">
        <v>1663</v>
      </c>
      <c r="BJ26" s="723" t="s">
        <v>1623</v>
      </c>
      <c r="BL26" s="723" t="s">
        <v>1623</v>
      </c>
      <c r="BQ26" s="722">
        <v>4190071</v>
      </c>
      <c r="BR26" s="723" t="s">
        <v>1727</v>
      </c>
    </row>
    <row r="27" spans="1:82" ht="11.25" customHeight="1">
      <c r="A27" s="79" t="s">
        <v>1728</v>
      </c>
      <c r="B27" s="712">
        <v>2025</v>
      </c>
      <c r="J27" s="732" t="s">
        <v>103</v>
      </c>
      <c r="AX27" s="722" t="s">
        <v>1158</v>
      </c>
      <c r="BB27" s="722" t="s">
        <v>1729</v>
      </c>
      <c r="BC27" s="722" t="s">
        <v>1715</v>
      </c>
      <c r="BE27" s="722">
        <v>2025</v>
      </c>
      <c r="BH27" t="s">
        <v>22</v>
      </c>
      <c r="BJ27" s="723" t="s">
        <v>1147</v>
      </c>
      <c r="BL27" s="723" t="s">
        <v>1147</v>
      </c>
      <c r="BN27" t="s">
        <v>22</v>
      </c>
      <c r="BQ27" s="722">
        <v>4190072</v>
      </c>
      <c r="BR27" s="723" t="s">
        <v>1730</v>
      </c>
    </row>
    <row r="28" spans="1:82" ht="11.25" customHeight="1">
      <c r="A28" s="79" t="s">
        <v>1731</v>
      </c>
      <c r="E28" s="182"/>
      <c r="F28" s="182"/>
      <c r="H28" s="65" t="s">
        <v>1732</v>
      </c>
      <c r="AX28" s="722" t="s">
        <v>1160</v>
      </c>
      <c r="AZ28" s="160" t="s">
        <v>1733</v>
      </c>
      <c r="BB28" s="722" t="s">
        <v>1734</v>
      </c>
      <c r="BC28" s="722" t="s">
        <v>1735</v>
      </c>
      <c r="BE28" s="722">
        <v>2026</v>
      </c>
      <c r="BH28" t="s">
        <v>22</v>
      </c>
      <c r="BJ28" s="723" t="s">
        <v>1148</v>
      </c>
      <c r="BL28" s="723" t="s">
        <v>1148</v>
      </c>
      <c r="BN28" t="s">
        <v>22</v>
      </c>
      <c r="BQ28" s="722">
        <v>4190073</v>
      </c>
      <c r="BR28" s="723" t="s">
        <v>1736</v>
      </c>
    </row>
    <row r="29" spans="1:82" ht="11.25" customHeight="1">
      <c r="A29" s="79" t="s">
        <v>1737</v>
      </c>
      <c r="D29" s="183" t="s">
        <v>1738</v>
      </c>
      <c r="E29" s="733" t="str">
        <f>IF(TEMPLATE_GROUP="","",INDEX(StartDateList,MATCH(TEMPLATE_GROUP,CodeTemplateList,0),1))</f>
        <v>01.01.2023</v>
      </c>
      <c r="F29" s="733" t="str">
        <f>IF(TEMPLATE_GROUP="","",INDEX(EndDateList,MATCH(TEMPLATE_GROUP,CodeTemplateList,0),1))</f>
        <v>31.12.2023</v>
      </c>
      <c r="H29" s="184" t="s">
        <v>1739</v>
      </c>
      <c r="AX29" s="722" t="s">
        <v>1162</v>
      </c>
      <c r="AZ29" s="722" t="s">
        <v>1408</v>
      </c>
      <c r="BB29" s="722" t="s">
        <v>1606</v>
      </c>
      <c r="BE29" s="722">
        <v>2027</v>
      </c>
      <c r="BJ29" s="723" t="s">
        <v>1149</v>
      </c>
      <c r="BL29" s="723" t="s">
        <v>1149</v>
      </c>
    </row>
    <row r="30" spans="1:82" ht="11.25" customHeight="1">
      <c r="A30" s="79" t="s">
        <v>1740</v>
      </c>
      <c r="AX30" s="722" t="s">
        <v>1164</v>
      </c>
      <c r="AZ30" s="722" t="s">
        <v>1436</v>
      </c>
      <c r="BE30" s="722">
        <v>2028</v>
      </c>
      <c r="BJ30" s="723" t="s">
        <v>1741</v>
      </c>
      <c r="BL30" s="723" t="s">
        <v>1741</v>
      </c>
    </row>
    <row r="31" spans="1:82" ht="12.75" customHeight="1">
      <c r="A31" s="79" t="s">
        <v>1742</v>
      </c>
      <c r="E31" s="182"/>
      <c r="F31" s="182"/>
      <c r="H31" s="734"/>
      <c r="AX31" s="722" t="s">
        <v>1166</v>
      </c>
      <c r="AZ31" s="722" t="s">
        <v>1743</v>
      </c>
      <c r="BE31" s="722">
        <v>2029</v>
      </c>
      <c r="BJ31" s="723" t="s">
        <v>1744</v>
      </c>
      <c r="BL31" s="723" t="s">
        <v>1744</v>
      </c>
    </row>
    <row r="32" spans="1:82" ht="11.25" customHeight="1">
      <c r="A32" s="79" t="s">
        <v>1745</v>
      </c>
      <c r="D32" s="183" t="s">
        <v>1746</v>
      </c>
      <c r="E32" s="733" t="str">
        <f>IF(TEMPLATE_GROUP="","",INDEX(StartDateList,MATCH(TEMPLATE_GROUP,CodeTemplateList,0),1))</f>
        <v>01.01.2023</v>
      </c>
      <c r="F32" s="733" t="str">
        <f>IF(TEMPLATE_GROUP="","",INDEX(EndDateList,MATCH(TEMPLATE_GROUP,CodeTemplateList,0),1))</f>
        <v>31.12.2023</v>
      </c>
      <c r="H32" s="735" t="s">
        <v>1747</v>
      </c>
      <c r="O32" s="79" t="s">
        <v>1406</v>
      </c>
      <c r="AX32" s="722" t="s">
        <v>1168</v>
      </c>
      <c r="AZ32" s="722" t="s">
        <v>1504</v>
      </c>
      <c r="BE32" s="722">
        <v>2030</v>
      </c>
      <c r="BJ32" s="723" t="s">
        <v>1649</v>
      </c>
      <c r="BL32" s="723" t="s">
        <v>1649</v>
      </c>
    </row>
    <row r="33" spans="1:66" ht="11.25" customHeight="1">
      <c r="A33" s="79" t="s">
        <v>1748</v>
      </c>
      <c r="O33" s="79" t="s">
        <v>1433</v>
      </c>
      <c r="AX33" s="722" t="s">
        <v>1170</v>
      </c>
      <c r="AZ33" s="722" t="s">
        <v>1407</v>
      </c>
      <c r="BE33" s="722">
        <v>2031</v>
      </c>
      <c r="BJ33" s="723" t="s">
        <v>1058</v>
      </c>
      <c r="BL33" s="723" t="s">
        <v>1058</v>
      </c>
    </row>
    <row r="34" spans="1:66" ht="11.25" customHeight="1">
      <c r="A34" s="79" t="s">
        <v>1749</v>
      </c>
      <c r="O34" s="79" t="s">
        <v>1469</v>
      </c>
      <c r="AX34" s="722" t="s">
        <v>1172</v>
      </c>
      <c r="BE34" s="722">
        <v>2032</v>
      </c>
      <c r="BJ34" s="723" t="s">
        <v>1663</v>
      </c>
      <c r="BL34" s="723" t="s">
        <v>1663</v>
      </c>
    </row>
    <row r="35" spans="1:66" ht="11.25" customHeight="1">
      <c r="A35" s="79" t="s">
        <v>1750</v>
      </c>
      <c r="O35" s="79" t="s">
        <v>1502</v>
      </c>
      <c r="AX35" s="722" t="s">
        <v>1174</v>
      </c>
      <c r="AZ35" s="160" t="s">
        <v>1751</v>
      </c>
      <c r="BE35" s="722">
        <v>2033</v>
      </c>
      <c r="BL35" s="723" t="s">
        <v>1752</v>
      </c>
    </row>
    <row r="36" spans="1:66" ht="11.25" customHeight="1">
      <c r="A36" s="178" t="s">
        <v>1753</v>
      </c>
      <c r="D36" s="185" t="s">
        <v>1754</v>
      </c>
      <c r="E36" s="186" t="s">
        <v>923</v>
      </c>
      <c r="F36" s="721" t="str">
        <f>INDEX(E37:E41,MATCH(TEMPLATE_SPHERE,F37:F41,0))</f>
        <v>водоотведения</v>
      </c>
      <c r="G36" s="721" t="str">
        <f>INDEX(G37:G41,MATCH(TEMPLATE_SPHERE,F37:F41,0))</f>
        <v>водоотведение</v>
      </c>
      <c r="O36" s="79" t="s">
        <v>1526</v>
      </c>
      <c r="AX36" s="722" t="s">
        <v>1176</v>
      </c>
      <c r="AZ36" s="722" t="s">
        <v>1407</v>
      </c>
      <c r="BE36" s="722">
        <v>2034</v>
      </c>
      <c r="BL36" s="723" t="s">
        <v>1142</v>
      </c>
    </row>
    <row r="37" spans="1:66" ht="11.25" customHeight="1">
      <c r="A37" s="79" t="s">
        <v>1755</v>
      </c>
      <c r="E37" s="736" t="s">
        <v>1756</v>
      </c>
      <c r="F37" s="187" t="s">
        <v>824</v>
      </c>
      <c r="G37" s="736" t="s">
        <v>1757</v>
      </c>
      <c r="O37" s="79" t="s">
        <v>1545</v>
      </c>
      <c r="AX37" s="722" t="s">
        <v>1178</v>
      </c>
      <c r="AZ37" s="722" t="s">
        <v>1435</v>
      </c>
      <c r="BE37" s="722">
        <v>2035</v>
      </c>
    </row>
    <row r="38" spans="1:66" ht="11.25" customHeight="1">
      <c r="A38" s="79" t="s">
        <v>1758</v>
      </c>
      <c r="E38" s="736" t="s">
        <v>1759</v>
      </c>
      <c r="F38" s="188" t="s">
        <v>870</v>
      </c>
      <c r="G38" s="736" t="s">
        <v>1760</v>
      </c>
      <c r="O38" s="79" t="s">
        <v>1562</v>
      </c>
      <c r="AX38" s="722" t="s">
        <v>1180</v>
      </c>
      <c r="AZ38" s="722" t="s">
        <v>1470</v>
      </c>
      <c r="BE38" s="722">
        <v>2036</v>
      </c>
      <c r="BH38" s="160" t="s">
        <v>1761</v>
      </c>
      <c r="BJ38" s="160" t="s">
        <v>1762</v>
      </c>
      <c r="BL38" s="160" t="s">
        <v>1763</v>
      </c>
      <c r="BN38" s="160" t="s">
        <v>1764</v>
      </c>
    </row>
    <row r="39" spans="1:66" ht="11.25" customHeight="1">
      <c r="A39" s="79" t="s">
        <v>1765</v>
      </c>
      <c r="E39" s="736" t="s">
        <v>1766</v>
      </c>
      <c r="F39" s="188" t="s">
        <v>923</v>
      </c>
      <c r="G39" s="736" t="s">
        <v>1767</v>
      </c>
      <c r="O39" s="79" t="s">
        <v>1577</v>
      </c>
      <c r="AX39" s="722" t="s">
        <v>1182</v>
      </c>
      <c r="AZ39" s="722" t="s">
        <v>1503</v>
      </c>
      <c r="BE39" s="722">
        <v>2037</v>
      </c>
      <c r="BH39" s="723" t="s">
        <v>1768</v>
      </c>
      <c r="BJ39" s="729" t="s">
        <v>1768</v>
      </c>
      <c r="BL39" s="729" t="s">
        <v>1768</v>
      </c>
      <c r="BN39" s="723" t="s">
        <v>1769</v>
      </c>
    </row>
    <row r="40" spans="1:66" ht="11.25" customHeight="1">
      <c r="A40" s="79" t="s">
        <v>1770</v>
      </c>
      <c r="E40" s="736" t="s">
        <v>1771</v>
      </c>
      <c r="F40" s="188" t="s">
        <v>910</v>
      </c>
      <c r="G40" s="736" t="s">
        <v>1772</v>
      </c>
      <c r="O40" s="79" t="s">
        <v>1592</v>
      </c>
      <c r="AX40" s="722" t="s">
        <v>1184</v>
      </c>
      <c r="BE40" s="722">
        <v>2038</v>
      </c>
      <c r="BH40" s="723" t="s">
        <v>1773</v>
      </c>
      <c r="BJ40" s="729" t="s">
        <v>1217</v>
      </c>
      <c r="BL40" s="729" t="s">
        <v>1217</v>
      </c>
      <c r="BN40" s="723" t="s">
        <v>1251</v>
      </c>
    </row>
    <row r="41" spans="1:66" ht="11.25" customHeight="1">
      <c r="A41" s="79" t="s">
        <v>16</v>
      </c>
      <c r="E41" s="736" t="s">
        <v>1774</v>
      </c>
      <c r="F41" s="188" t="s">
        <v>1775</v>
      </c>
      <c r="G41" s="736" t="s">
        <v>1774</v>
      </c>
      <c r="O41" s="79" t="s">
        <v>1606</v>
      </c>
      <c r="AX41" s="722" t="s">
        <v>1185</v>
      </c>
      <c r="AZ41" s="160" t="s">
        <v>1776</v>
      </c>
      <c r="BE41" s="722">
        <v>2039</v>
      </c>
      <c r="BH41" s="723" t="s">
        <v>1777</v>
      </c>
      <c r="BJ41" s="729" t="s">
        <v>1213</v>
      </c>
      <c r="BL41" s="729" t="s">
        <v>1213</v>
      </c>
      <c r="BN41" s="723" t="s">
        <v>1238</v>
      </c>
    </row>
    <row r="42" spans="1:66" ht="11.25" customHeight="1">
      <c r="A42" s="79" t="s">
        <v>1778</v>
      </c>
      <c r="AX42" s="722" t="s">
        <v>1186</v>
      </c>
      <c r="AZ42" s="722" t="s">
        <v>1406</v>
      </c>
      <c r="BE42" s="722">
        <v>2040</v>
      </c>
      <c r="BH42" s="723" t="s">
        <v>1235</v>
      </c>
      <c r="BJ42" s="729" t="s">
        <v>1215</v>
      </c>
      <c r="BL42" s="729" t="s">
        <v>1215</v>
      </c>
      <c r="BN42" s="723" t="s">
        <v>1779</v>
      </c>
    </row>
    <row r="43" spans="1:66" ht="11.25" customHeight="1">
      <c r="A43" s="79" t="s">
        <v>1780</v>
      </c>
      <c r="AX43" s="722" t="s">
        <v>1188</v>
      </c>
      <c r="AZ43" s="722" t="s">
        <v>1433</v>
      </c>
      <c r="BE43" s="722">
        <v>2041</v>
      </c>
      <c r="BH43" s="723" t="s">
        <v>1781</v>
      </c>
      <c r="BJ43" s="729" t="s">
        <v>1777</v>
      </c>
      <c r="BL43" s="729" t="s">
        <v>1777</v>
      </c>
      <c r="BN43" s="723" t="s">
        <v>1782</v>
      </c>
    </row>
    <row r="44" spans="1:66" ht="11.25" customHeight="1">
      <c r="A44" s="79" t="s">
        <v>1783</v>
      </c>
      <c r="G44" s="737">
        <f ca="1">YEAR(TODAY())</f>
        <v>2024</v>
      </c>
      <c r="I44" s="189" t="s">
        <v>1784</v>
      </c>
      <c r="J44" s="176" t="s">
        <v>1785</v>
      </c>
      <c r="K44" s="176" t="s">
        <v>1786</v>
      </c>
      <c r="AX44" s="722" t="s">
        <v>1189</v>
      </c>
      <c r="AZ44" s="722" t="s">
        <v>1469</v>
      </c>
      <c r="BE44" s="722">
        <v>2042</v>
      </c>
      <c r="BH44" s="723" t="s">
        <v>1787</v>
      </c>
      <c r="BJ44" s="729" t="s">
        <v>1235</v>
      </c>
      <c r="BL44" s="729" t="s">
        <v>1235</v>
      </c>
      <c r="BN44" s="723" t="s">
        <v>1788</v>
      </c>
    </row>
    <row r="45" spans="1:66" ht="11.25" customHeight="1">
      <c r="A45" s="79" t="s">
        <v>1789</v>
      </c>
      <c r="D45" s="185" t="s">
        <v>1790</v>
      </c>
      <c r="E45" s="186" t="s">
        <v>1791</v>
      </c>
      <c r="F45" s="161" t="s">
        <v>1792</v>
      </c>
      <c r="G45" s="190" t="s">
        <v>1793</v>
      </c>
      <c r="H45" s="189" t="s">
        <v>1794</v>
      </c>
      <c r="I45" s="738" t="b">
        <f>INDEX(PeriodIsEmptyList,MATCH(TEMPLATE_GROUP,CodeTemplateList,0),1)</f>
        <v>0</v>
      </c>
      <c r="J45" s="73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73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722" t="s">
        <v>1191</v>
      </c>
      <c r="AZ45" s="722" t="s">
        <v>1502</v>
      </c>
      <c r="BE45" s="722">
        <v>2043</v>
      </c>
      <c r="BH45" s="723" t="s">
        <v>1795</v>
      </c>
      <c r="BJ45" s="729" t="s">
        <v>1229</v>
      </c>
      <c r="BL45" s="729" t="s">
        <v>1229</v>
      </c>
      <c r="BN45" s="723" t="s">
        <v>1796</v>
      </c>
    </row>
    <row r="46" spans="1:66" ht="11.25" customHeight="1">
      <c r="A46" s="79" t="s">
        <v>1797</v>
      </c>
      <c r="E46" s="736" t="s">
        <v>27</v>
      </c>
      <c r="F46" s="187" t="s">
        <v>1798</v>
      </c>
      <c r="G46" s="740" t="str">
        <f ca="1">IFERROR(IF(TITLE_DATE_FIL="","01.01."&amp;CURRENT_YEAR,"01.01."&amp;YEAR(TITLE_DATE_FIL)),"01.01."&amp;CURRENT_YEAR)</f>
        <v>01.01.2024</v>
      </c>
      <c r="H46" s="740" t="str">
        <f ca="1">IFERROR(IF(TITLE_DATE_FIL="","31.12."&amp;CURRENT_YEAR,"31.12."&amp;YEAR(TITLE_DATE_FIL)),"31.12."&amp;CURRENT_YEAR)</f>
        <v>31.12.2024</v>
      </c>
      <c r="I46" s="741" t="b">
        <f>IF(TITLE_DATE_FIL="",TRUE,FALSE)</f>
        <v>1</v>
      </c>
      <c r="J46" s="742" t="str">
        <f>"Общая информация о регулируемой организации ("&amp;TEMPLATE_SPHERE_RUS&amp;")"</f>
        <v>Общая информация о регулируемой организации (водоотведения)</v>
      </c>
      <c r="AX46" s="722" t="s">
        <v>1799</v>
      </c>
      <c r="AZ46" s="722" t="s">
        <v>1526</v>
      </c>
      <c r="BE46" s="722">
        <v>2044</v>
      </c>
      <c r="BH46" s="723" t="s">
        <v>1238</v>
      </c>
      <c r="BJ46" s="729" t="s">
        <v>1219</v>
      </c>
      <c r="BL46" s="729" t="s">
        <v>1219</v>
      </c>
      <c r="BN46" s="723" t="s">
        <v>1800</v>
      </c>
    </row>
    <row r="47" spans="1:66" ht="11.25" customHeight="1">
      <c r="A47" s="79" t="s">
        <v>1801</v>
      </c>
      <c r="E47" s="736" t="s">
        <v>33</v>
      </c>
      <c r="F47" s="188" t="s">
        <v>1802</v>
      </c>
      <c r="G47" s="740" t="str">
        <f>IFERROR(IF(f_year="","01.01."&amp;CURRENT_YEAR,IF(LEN(f_quart)=0,"01.01."&amp;f_year,IF(f_quart="I квартал","01.01."&amp;f_year,IF(f_quart="II квартал","01.04."&amp;f_year,(IF(f_quart="III квартал","01.07."&amp;f_year,"01.10."&amp;f_year)))))),"01.01."&amp;CURRENT_YEAR)</f>
        <v>01.01.2023</v>
      </c>
      <c r="H47" s="740" t="str">
        <f>IFERROR(IF(f_year="","31.12."&amp;CURRENT_YEAR,IF(LEN(f_quart)=0,"31.12."&amp;f_year,IF(f_quart="I квартал","31.03."&amp;f_year,IF(f_quart="II квартал","30.06."&amp;f_year,(IF(f_quart="III квартал","30.09."&amp;f_year,"31.12."&amp;f_year)))))),"31.12."&amp;CURRENT_YEAR)</f>
        <v>31.12.2023</v>
      </c>
      <c r="I47" s="743" t="b">
        <f>IF(OR(f_year="",f_quart=""),TRUE,FALSE)</f>
        <v>1</v>
      </c>
      <c r="J47" s="74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AX47" s="722" t="s">
        <v>1803</v>
      </c>
      <c r="AZ47" s="722" t="s">
        <v>1545</v>
      </c>
      <c r="BE47" s="722">
        <v>2045</v>
      </c>
      <c r="BH47" s="723" t="s">
        <v>1779</v>
      </c>
      <c r="BJ47" s="729" t="s">
        <v>1221</v>
      </c>
      <c r="BL47" s="729" t="s">
        <v>1221</v>
      </c>
      <c r="BN47" s="723" t="s">
        <v>1804</v>
      </c>
    </row>
    <row r="48" spans="1:66" ht="11.25" customHeight="1">
      <c r="A48" s="79" t="s">
        <v>1805</v>
      </c>
      <c r="E48" s="736" t="s">
        <v>1806</v>
      </c>
      <c r="F48" s="188" t="s">
        <v>1791</v>
      </c>
      <c r="G48" s="740" t="str">
        <f>IFERROR(IF(f_year="","01.01."&amp;CURRENT_YEAR,"01.01."&amp;f_year),"01.01."&amp;CURRENT_YEAR)</f>
        <v>01.01.2023</v>
      </c>
      <c r="H48" s="740" t="str">
        <f>IFERROR(IF(f_year="","31.12."&amp;CURRENT_YEAR,"31.12."&amp;f_year),"31.12."&amp;CURRENT_YEAR)</f>
        <v>31.12.2023</v>
      </c>
      <c r="I48" s="741" t="b">
        <f>IF(f_year="",TRUE,FALSE)</f>
        <v>0</v>
      </c>
      <c r="J48" s="742" t="s">
        <v>1807</v>
      </c>
      <c r="AX48" s="722" t="s">
        <v>1808</v>
      </c>
      <c r="AZ48" s="722" t="s">
        <v>1562</v>
      </c>
      <c r="BE48" s="722">
        <v>2046</v>
      </c>
      <c r="BH48" s="723" t="s">
        <v>1782</v>
      </c>
      <c r="BJ48" s="729" t="s">
        <v>1223</v>
      </c>
      <c r="BL48" s="729" t="s">
        <v>1223</v>
      </c>
      <c r="BN48" s="723" t="s">
        <v>1809</v>
      </c>
    </row>
    <row r="49" spans="1:64" ht="11.25" customHeight="1">
      <c r="A49" s="79" t="s">
        <v>1810</v>
      </c>
      <c r="E49" s="736" t="s">
        <v>1811</v>
      </c>
      <c r="F49" s="188" t="s">
        <v>1812</v>
      </c>
      <c r="G49" s="740" t="str">
        <f>IFERROR(IF(f_year="","01.01."&amp;CURRENT_YEAR,"01.01."&amp;f_year),"01.01."&amp;CURRENT_YEAR)</f>
        <v>01.01.2023</v>
      </c>
      <c r="H49" s="740" t="str">
        <f>IFERROR(IF(f_year="","31.12."&amp;CURRENT_YEAR,"31.12."&amp;f_year),"31.12."&amp;CURRENT_YEAR)</f>
        <v>31.12.2023</v>
      </c>
      <c r="I49" s="741" t="b">
        <f>IF(f_year="",TRUE,FALSE)</f>
        <v>0</v>
      </c>
      <c r="J49" s="74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AX49" s="722" t="s">
        <v>1813</v>
      </c>
      <c r="AZ49" s="722" t="s">
        <v>1577</v>
      </c>
      <c r="BE49" s="722">
        <v>2047</v>
      </c>
      <c r="BH49" s="723" t="s">
        <v>1239</v>
      </c>
      <c r="BJ49" s="729" t="s">
        <v>1225</v>
      </c>
      <c r="BL49" s="729" t="s">
        <v>1225</v>
      </c>
    </row>
    <row r="50" spans="1:64" ht="11.25" customHeight="1">
      <c r="A50" s="79" t="s">
        <v>1814</v>
      </c>
      <c r="E50" s="736" t="s">
        <v>1815</v>
      </c>
      <c r="F50" s="188" t="s">
        <v>1209</v>
      </c>
      <c r="G50" s="740" t="str">
        <f>IFERROR(IF(f_year="","01.01."&amp;CURRENT_YEAR,"01.01."&amp;f_year),"01.01."&amp;CURRENT_YEAR)</f>
        <v>01.01.2023</v>
      </c>
      <c r="H50" s="740" t="str">
        <f>IFERROR(IF(f_year="","31.12."&amp;CURRENT_YEAR,"31.12."&amp;f_year),"31.12."&amp;CURRENT_YEAR)</f>
        <v>31.12.2023</v>
      </c>
      <c r="I50" s="741" t="b">
        <f>IF(f_year="",TRUE,FALSE)</f>
        <v>0</v>
      </c>
      <c r="J50" s="74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AX50" s="722" t="s">
        <v>98</v>
      </c>
      <c r="AZ50" s="722" t="s">
        <v>1592</v>
      </c>
      <c r="BE50" s="722">
        <v>2048</v>
      </c>
      <c r="BH50" s="723" t="s">
        <v>1788</v>
      </c>
      <c r="BJ50" s="729" t="s">
        <v>1227</v>
      </c>
      <c r="BL50" s="729" t="s">
        <v>1227</v>
      </c>
    </row>
    <row r="51" spans="1:64" ht="11.25" customHeight="1">
      <c r="A51" s="79" t="s">
        <v>1816</v>
      </c>
      <c r="E51" s="736" t="s">
        <v>1817</v>
      </c>
      <c r="F51" s="188" t="s">
        <v>1818</v>
      </c>
      <c r="G51" s="740" t="str">
        <f ca="1">IFERROR(IF(TITLE_PERIOD_START="","01.01."&amp;CURRENT_YEAR,"01.01."&amp;YEAR(TITLE_PERIOD_START)),"01.01."&amp;CURRENT_YEAR)</f>
        <v>01.01.2024</v>
      </c>
      <c r="H51" s="740" t="str">
        <f ca="1">IFERROR(IF(TITLE_PERIOD_END="","31.12."&amp;CURRENT_YEAR,"31.12."&amp;YEAR(TITLE_PERIOD_END)),"31.12."&amp;CURRENT_YEAR)</f>
        <v>31.12.2024</v>
      </c>
      <c r="I51" s="743" t="b">
        <f>IF(OR(TITLE_PERIOD_START="",TITLE_PERIOD_END=""),TRUE,FALSE)</f>
        <v>1</v>
      </c>
      <c r="J51" s="74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AX51" s="722" t="s">
        <v>1819</v>
      </c>
      <c r="AZ51" s="722" t="s">
        <v>1606</v>
      </c>
      <c r="BE51" s="722">
        <v>2049</v>
      </c>
      <c r="BH51" s="723" t="s">
        <v>1796</v>
      </c>
      <c r="BJ51" s="729" t="s">
        <v>1820</v>
      </c>
      <c r="BL51" s="729" t="s">
        <v>1820</v>
      </c>
    </row>
    <row r="52" spans="1:64" ht="11.25" customHeight="1">
      <c r="A52" s="79" t="s">
        <v>1821</v>
      </c>
      <c r="E52" s="736" t="s">
        <v>1822</v>
      </c>
      <c r="F52" s="188" t="s">
        <v>1823</v>
      </c>
      <c r="G52" s="740" t="str">
        <f ca="1">IFERROR(IF(TITLE_PERIOD_START="","01.01."&amp;CURRENT_YEAR,"01.01."&amp;YEAR(TITLE_PERIOD_START)),"01.01."&amp;CURRENT_YEAR)</f>
        <v>01.01.2024</v>
      </c>
      <c r="H52" s="740" t="str">
        <f ca="1">IFERROR(IF(TITLE_PERIOD_END="","31.12."&amp;CURRENT_YEAR,"31.12."&amp;YEAR(TITLE_PERIOD_END)),"31.12."&amp;CURRENT_YEAR)</f>
        <v>31.12.2024</v>
      </c>
      <c r="I52" s="743" t="b">
        <f>IF(OR(TITLE_PERIOD_START="",TITLE_PERIOD_END=""),TRUE,FALSE)</f>
        <v>1</v>
      </c>
      <c r="J52" s="742" t="str">
        <f>"Показатели, подлежащие раскрытию в сфере "&amp;TEMPLATE_SPHERE_RUS&amp;" (цены и тарифы)"</f>
        <v>Показатели, подлежащие раскрытию в сфере водоотведения (цены и тарифы)</v>
      </c>
      <c r="AX52" s="722" t="s">
        <v>1824</v>
      </c>
      <c r="AZ52" s="722" t="s">
        <v>1407</v>
      </c>
      <c r="BE52" s="722">
        <v>2050</v>
      </c>
      <c r="BH52" s="723" t="s">
        <v>1800</v>
      </c>
      <c r="BJ52" s="729" t="s">
        <v>1238</v>
      </c>
      <c r="BL52" s="729" t="s">
        <v>1238</v>
      </c>
    </row>
    <row r="53" spans="1:64" ht="11.25" customHeight="1">
      <c r="A53" s="79" t="s">
        <v>1825</v>
      </c>
      <c r="E53" s="736" t="s">
        <v>1826</v>
      </c>
      <c r="F53" s="188" t="s">
        <v>1826</v>
      </c>
      <c r="G53" s="740" t="str">
        <f>IFERROR(IF(f_year="","01.01."&amp;CURRENT_YEAR,"01.01."&amp;f_year),"01.01."&amp;CURRENT_YEAR)</f>
        <v>01.01.2023</v>
      </c>
      <c r="H53" s="740" t="str">
        <f>IFERROR(IF(f_year="","31.12."&amp;CURRENT_YEAR,"31.12."&amp;f_year),"31.12."&amp;CURRENT_YEAR)</f>
        <v>31.12.2023</v>
      </c>
      <c r="I53" s="741" t="b">
        <f>IF(AND(f_year="",TITLE_DATE_FIL=""),TRUE,FALSE)</f>
        <v>0</v>
      </c>
      <c r="J53" s="742" t="s">
        <v>1827</v>
      </c>
      <c r="AX53" s="722" t="s">
        <v>1828</v>
      </c>
      <c r="BE53" s="722">
        <v>2051</v>
      </c>
      <c r="BH53" s="723" t="s">
        <v>1804</v>
      </c>
      <c r="BJ53" s="729" t="s">
        <v>1779</v>
      </c>
      <c r="BL53" s="729" t="s">
        <v>1779</v>
      </c>
    </row>
    <row r="54" spans="1:64" ht="11.25" customHeight="1">
      <c r="A54" s="79" t="s">
        <v>1829</v>
      </c>
      <c r="AX54" s="722" t="s">
        <v>1830</v>
      </c>
      <c r="AZ54" s="160" t="s">
        <v>1831</v>
      </c>
      <c r="BE54" s="722">
        <v>2052</v>
      </c>
      <c r="BH54" s="723" t="s">
        <v>1809</v>
      </c>
      <c r="BJ54" s="729" t="s">
        <v>1782</v>
      </c>
      <c r="BL54" s="729" t="s">
        <v>1782</v>
      </c>
    </row>
    <row r="55" spans="1:64" ht="11.25" customHeight="1">
      <c r="A55" s="79" t="s">
        <v>1832</v>
      </c>
      <c r="AX55" s="722" t="s">
        <v>1833</v>
      </c>
      <c r="AZ55" s="722" t="s">
        <v>1409</v>
      </c>
      <c r="BE55" s="722">
        <v>2053</v>
      </c>
      <c r="BH55" t="s">
        <v>22</v>
      </c>
      <c r="BJ55" s="729" t="s">
        <v>1239</v>
      </c>
      <c r="BL55" s="729" t="s">
        <v>1239</v>
      </c>
    </row>
    <row r="56" spans="1:64" ht="11.25" customHeight="1">
      <c r="A56" s="79" t="s">
        <v>1834</v>
      </c>
      <c r="D56" s="191" t="s">
        <v>1835</v>
      </c>
      <c r="E56" s="176" t="s">
        <v>1828</v>
      </c>
      <c r="F56" s="79" t="s">
        <v>1836</v>
      </c>
      <c r="AX56" s="722" t="s">
        <v>1837</v>
      </c>
      <c r="AZ56" s="722" t="s">
        <v>1437</v>
      </c>
      <c r="BE56" s="722">
        <v>2054</v>
      </c>
      <c r="BH56" t="s">
        <v>22</v>
      </c>
      <c r="BJ56" s="729" t="s">
        <v>1788</v>
      </c>
      <c r="BL56" s="729" t="s">
        <v>1788</v>
      </c>
    </row>
    <row r="57" spans="1:64" ht="11.25" customHeight="1">
      <c r="A57" s="79" t="s">
        <v>1838</v>
      </c>
      <c r="D57" s="191" t="s">
        <v>1839</v>
      </c>
      <c r="E57" s="176" t="s">
        <v>1840</v>
      </c>
      <c r="F57" s="79" t="s">
        <v>1836</v>
      </c>
      <c r="AX57" s="722" t="s">
        <v>1841</v>
      </c>
      <c r="AZ57" s="722" t="s">
        <v>1472</v>
      </c>
      <c r="BE57" s="722">
        <v>2055</v>
      </c>
      <c r="BJ57" s="729" t="s">
        <v>1796</v>
      </c>
      <c r="BL57" s="729" t="s">
        <v>1796</v>
      </c>
    </row>
    <row r="58" spans="1:64" ht="11.25" customHeight="1">
      <c r="A58" s="79" t="s">
        <v>1842</v>
      </c>
      <c r="D58" s="191" t="s">
        <v>1843</v>
      </c>
      <c r="E58" s="176" t="s">
        <v>1828</v>
      </c>
      <c r="F58" s="79" t="s">
        <v>1836</v>
      </c>
      <c r="AX58" s="722" t="s">
        <v>1844</v>
      </c>
      <c r="BE58" s="722">
        <v>2056</v>
      </c>
      <c r="BJ58" s="729" t="s">
        <v>1800</v>
      </c>
      <c r="BL58" s="729" t="s">
        <v>1800</v>
      </c>
    </row>
    <row r="59" spans="1:64" ht="11.25" customHeight="1">
      <c r="A59" s="79" t="s">
        <v>1845</v>
      </c>
      <c r="D59" s="191" t="s">
        <v>141</v>
      </c>
      <c r="E59" s="176" t="s">
        <v>1168</v>
      </c>
      <c r="F59" s="79" t="s">
        <v>1846</v>
      </c>
      <c r="AX59" s="722" t="s">
        <v>1847</v>
      </c>
      <c r="AZ59" s="160" t="s">
        <v>1848</v>
      </c>
      <c r="BE59" s="722">
        <v>2057</v>
      </c>
      <c r="BJ59" s="729" t="s">
        <v>1804</v>
      </c>
      <c r="BL59" s="729" t="s">
        <v>1804</v>
      </c>
    </row>
    <row r="60" spans="1:64" ht="11.25" customHeight="1">
      <c r="A60" s="79" t="s">
        <v>1849</v>
      </c>
      <c r="D60" s="191" t="s">
        <v>1850</v>
      </c>
      <c r="E60" s="176" t="s">
        <v>1168</v>
      </c>
      <c r="F60" s="79" t="s">
        <v>1846</v>
      </c>
      <c r="AX60" s="722" t="s">
        <v>1851</v>
      </c>
      <c r="AZ60" s="722" t="s">
        <v>1410</v>
      </c>
      <c r="BE60" s="722">
        <v>2058</v>
      </c>
      <c r="BJ60" s="729" t="s">
        <v>1809</v>
      </c>
      <c r="BL60" s="729" t="s">
        <v>1809</v>
      </c>
    </row>
    <row r="61" spans="1:64" ht="11.25" customHeight="1">
      <c r="A61" s="79" t="s">
        <v>1852</v>
      </c>
      <c r="D61" s="191" t="s">
        <v>1853</v>
      </c>
      <c r="E61" s="176" t="s">
        <v>1168</v>
      </c>
      <c r="F61" s="79" t="s">
        <v>1846</v>
      </c>
      <c r="AX61" s="722" t="s">
        <v>1854</v>
      </c>
      <c r="AZ61" s="722" t="s">
        <v>1438</v>
      </c>
      <c r="BE61" s="722">
        <v>2059</v>
      </c>
      <c r="BL61" s="729" t="s">
        <v>1231</v>
      </c>
    </row>
    <row r="62" spans="1:64" ht="11.25" customHeight="1">
      <c r="A62" s="79" t="s">
        <v>1855</v>
      </c>
      <c r="D62" s="191" t="s">
        <v>140</v>
      </c>
      <c r="E62" s="176">
        <v>30</v>
      </c>
      <c r="F62" s="79" t="s">
        <v>1846</v>
      </c>
      <c r="AZ62" s="722" t="s">
        <v>1473</v>
      </c>
      <c r="BE62" s="722">
        <v>2060</v>
      </c>
      <c r="BL62" s="729" t="s">
        <v>1233</v>
      </c>
    </row>
    <row r="63" spans="1:64" ht="11.25" customHeight="1">
      <c r="A63" s="79" t="s">
        <v>1856</v>
      </c>
      <c r="D63" s="191" t="s">
        <v>1857</v>
      </c>
      <c r="E63" s="176">
        <v>30</v>
      </c>
      <c r="F63" s="79" t="s">
        <v>1846</v>
      </c>
      <c r="AZ63" s="722" t="s">
        <v>1505</v>
      </c>
      <c r="BE63" s="722">
        <v>2061</v>
      </c>
    </row>
    <row r="64" spans="1:64" ht="11.25" customHeight="1">
      <c r="A64" s="79" t="s">
        <v>1858</v>
      </c>
      <c r="D64" s="191" t="s">
        <v>1859</v>
      </c>
      <c r="E64" s="176">
        <v>30</v>
      </c>
      <c r="F64" s="79" t="s">
        <v>1846</v>
      </c>
      <c r="AZ64" s="722" t="s">
        <v>1527</v>
      </c>
      <c r="BE64" s="722">
        <v>2062</v>
      </c>
    </row>
    <row r="65" spans="1:66" ht="11.25" customHeight="1">
      <c r="A65" s="79" t="s">
        <v>1860</v>
      </c>
      <c r="BE65" s="722">
        <v>2063</v>
      </c>
    </row>
    <row r="66" spans="1:66" ht="11.25" customHeight="1">
      <c r="A66" s="79" t="s">
        <v>1861</v>
      </c>
      <c r="AZ66" s="160" t="s">
        <v>1862</v>
      </c>
      <c r="BE66" s="722">
        <v>2064</v>
      </c>
    </row>
    <row r="67" spans="1:66" ht="11.25" customHeight="1">
      <c r="A67" s="79" t="s">
        <v>1863</v>
      </c>
      <c r="AZ67" s="722" t="s">
        <v>1411</v>
      </c>
      <c r="BE67" s="722">
        <v>2065</v>
      </c>
    </row>
    <row r="68" spans="1:66" ht="11.25" customHeight="1">
      <c r="A68" s="79" t="s">
        <v>1864</v>
      </c>
      <c r="AZ68" s="722" t="s">
        <v>1439</v>
      </c>
      <c r="BE68" s="722">
        <v>2066</v>
      </c>
      <c r="BH68" s="160" t="s">
        <v>1865</v>
      </c>
      <c r="BJ68" s="160" t="s">
        <v>1866</v>
      </c>
      <c r="BL68" s="160" t="s">
        <v>1867</v>
      </c>
      <c r="BN68" s="160" t="s">
        <v>1868</v>
      </c>
    </row>
    <row r="69" spans="1:66" ht="11.25" customHeight="1">
      <c r="A69" s="79" t="s">
        <v>1869</v>
      </c>
      <c r="AZ69" s="722" t="s">
        <v>1474</v>
      </c>
      <c r="BE69" s="722">
        <v>2067</v>
      </c>
      <c r="BH69" s="723" t="s">
        <v>1870</v>
      </c>
      <c r="BI69" s="192" t="s">
        <v>114</v>
      </c>
      <c r="BJ69" s="723" t="s">
        <v>1871</v>
      </c>
      <c r="BK69" s="192" t="s">
        <v>114</v>
      </c>
      <c r="BL69" s="723" t="s">
        <v>1087</v>
      </c>
      <c r="BM69" s="192" t="s">
        <v>114</v>
      </c>
      <c r="BN69" s="723" t="s">
        <v>1872</v>
      </c>
    </row>
    <row r="70" spans="1:66" ht="11.25" customHeight="1">
      <c r="A70" s="79" t="s">
        <v>1873</v>
      </c>
      <c r="AZ70" s="722" t="s">
        <v>1506</v>
      </c>
      <c r="BE70" s="722">
        <v>2068</v>
      </c>
      <c r="BH70" s="723" t="s">
        <v>1874</v>
      </c>
      <c r="BJ70" s="723" t="s">
        <v>1875</v>
      </c>
      <c r="BL70" s="723" t="s">
        <v>1111</v>
      </c>
      <c r="BN70" s="723" t="s">
        <v>1876</v>
      </c>
    </row>
    <row r="71" spans="1:66" ht="11.25" customHeight="1">
      <c r="A71" s="79" t="s">
        <v>1877</v>
      </c>
      <c r="AZ71" s="722" t="s">
        <v>1508</v>
      </c>
      <c r="BE71" s="722">
        <v>2069</v>
      </c>
      <c r="BH71" s="723" t="s">
        <v>1878</v>
      </c>
      <c r="BI71" s="192" t="s">
        <v>89</v>
      </c>
      <c r="BJ71" s="723" t="s">
        <v>1879</v>
      </c>
      <c r="BK71" s="192" t="s">
        <v>89</v>
      </c>
      <c r="BL71" s="723" t="s">
        <v>1052</v>
      </c>
      <c r="BM71" s="192" t="s">
        <v>89</v>
      </c>
      <c r="BN71" s="723" t="s">
        <v>1880</v>
      </c>
    </row>
    <row r="72" spans="1:66" ht="11.25" customHeight="1">
      <c r="A72" s="79" t="s">
        <v>1881</v>
      </c>
      <c r="AZ72" s="722" t="s">
        <v>19</v>
      </c>
      <c r="BE72" s="722">
        <v>2070</v>
      </c>
      <c r="BH72" s="723" t="s">
        <v>1071</v>
      </c>
      <c r="BJ72" s="723" t="s">
        <v>1071</v>
      </c>
      <c r="BL72" s="723" t="s">
        <v>1071</v>
      </c>
      <c r="BN72" s="723" t="s">
        <v>1882</v>
      </c>
    </row>
    <row r="73" spans="1:66" ht="11.25" customHeight="1">
      <c r="A73" s="79" t="s">
        <v>1883</v>
      </c>
      <c r="BH73" s="723" t="s">
        <v>1884</v>
      </c>
      <c r="BI73" s="192" t="s">
        <v>115</v>
      </c>
      <c r="BJ73" s="723" t="s">
        <v>1885</v>
      </c>
      <c r="BK73" s="192" t="s">
        <v>115</v>
      </c>
      <c r="BL73" s="723" t="s">
        <v>1886</v>
      </c>
      <c r="BM73" s="192" t="s">
        <v>115</v>
      </c>
      <c r="BN73" s="723" t="s">
        <v>1887</v>
      </c>
    </row>
    <row r="74" spans="1:66" ht="11.25" customHeight="1">
      <c r="A74" s="79" t="s">
        <v>1888</v>
      </c>
      <c r="BH74" s="723" t="s">
        <v>1889</v>
      </c>
      <c r="BJ74" s="723" t="s">
        <v>1890</v>
      </c>
      <c r="BL74" s="723" t="s">
        <v>1061</v>
      </c>
      <c r="BN74" s="723" t="s">
        <v>1891</v>
      </c>
    </row>
    <row r="75" spans="1:66" ht="11.25" customHeight="1">
      <c r="A75" s="79" t="s">
        <v>1892</v>
      </c>
      <c r="AZ75" s="160" t="s">
        <v>1893</v>
      </c>
      <c r="BH75" s="723" t="s">
        <v>1894</v>
      </c>
      <c r="BJ75" s="723" t="s">
        <v>1894</v>
      </c>
      <c r="BL75" s="723" t="s">
        <v>1894</v>
      </c>
    </row>
    <row r="76" spans="1:66" ht="11.25" customHeight="1">
      <c r="A76" s="79" t="s">
        <v>1895</v>
      </c>
      <c r="AZ76" s="722" t="s">
        <v>1420</v>
      </c>
      <c r="BH76" s="723" t="s">
        <v>1896</v>
      </c>
      <c r="BJ76" s="723" t="s">
        <v>1897</v>
      </c>
      <c r="BL76" s="723" t="s">
        <v>1898</v>
      </c>
    </row>
    <row r="77" spans="1:66" ht="11.25" customHeight="1">
      <c r="A77" s="79" t="s">
        <v>1899</v>
      </c>
      <c r="AZ77" s="722" t="s">
        <v>1449</v>
      </c>
    </row>
    <row r="78" spans="1:66" ht="11.25" customHeight="1">
      <c r="A78" s="79" t="s">
        <v>1900</v>
      </c>
      <c r="AZ78" s="722" t="s">
        <v>1481</v>
      </c>
    </row>
    <row r="79" spans="1:66" ht="11.25" customHeight="1">
      <c r="A79" s="79" t="s">
        <v>1901</v>
      </c>
      <c r="AZ79" s="722" t="s">
        <v>1512</v>
      </c>
      <c r="BH79" s="160" t="s">
        <v>1902</v>
      </c>
      <c r="BJ79" s="160" t="s">
        <v>1903</v>
      </c>
      <c r="BL79" s="160" t="s">
        <v>1086</v>
      </c>
    </row>
    <row r="80" spans="1:66" ht="11.25" customHeight="1">
      <c r="A80" s="79" t="s">
        <v>1904</v>
      </c>
      <c r="AZ80" s="722" t="s">
        <v>1532</v>
      </c>
      <c r="BH80" s="723" t="s">
        <v>1905</v>
      </c>
      <c r="BJ80" s="723" t="s">
        <v>1906</v>
      </c>
      <c r="BL80" s="723" t="s">
        <v>1116</v>
      </c>
    </row>
    <row r="81" spans="1:66" ht="11.25" customHeight="1">
      <c r="A81" s="79" t="s">
        <v>1907</v>
      </c>
      <c r="AZ81" s="722" t="s">
        <v>1549</v>
      </c>
      <c r="BH81" s="723" t="s">
        <v>1908</v>
      </c>
      <c r="BJ81" s="723" t="s">
        <v>1909</v>
      </c>
      <c r="BL81" s="723" t="s">
        <v>1910</v>
      </c>
    </row>
    <row r="82" spans="1:66" ht="11.25" customHeight="1">
      <c r="A82" s="79" t="s">
        <v>1911</v>
      </c>
      <c r="AZ82" s="722" t="s">
        <v>1564</v>
      </c>
      <c r="BH82" s="723" t="s">
        <v>1912</v>
      </c>
      <c r="BJ82" s="723" t="s">
        <v>1913</v>
      </c>
      <c r="BL82" s="723" t="s">
        <v>1088</v>
      </c>
    </row>
    <row r="83" spans="1:66" ht="11.25" customHeight="1">
      <c r="A83" s="79" t="s">
        <v>1914</v>
      </c>
      <c r="BH83" s="723" t="s">
        <v>1915</v>
      </c>
      <c r="BJ83" s="723" t="s">
        <v>1916</v>
      </c>
      <c r="BL83" s="723" t="s">
        <v>1917</v>
      </c>
    </row>
    <row r="84" spans="1:66" ht="11.25" customHeight="1">
      <c r="A84" s="79" t="s">
        <v>1918</v>
      </c>
      <c r="AZ84" s="160" t="s">
        <v>1919</v>
      </c>
    </row>
    <row r="85" spans="1:66" ht="11.25" customHeight="1">
      <c r="A85" s="178" t="s">
        <v>1920</v>
      </c>
      <c r="AZ85" s="722" t="s">
        <v>1921</v>
      </c>
    </row>
    <row r="86" spans="1:66" ht="11.25" customHeight="1">
      <c r="A86" s="79" t="s">
        <v>1922</v>
      </c>
      <c r="AZ86" s="722" t="s">
        <v>1923</v>
      </c>
      <c r="BH86" s="160" t="s">
        <v>1924</v>
      </c>
      <c r="BJ86" s="160" t="s">
        <v>1925</v>
      </c>
      <c r="BL86" s="160" t="s">
        <v>1051</v>
      </c>
    </row>
    <row r="87" spans="1:66" ht="11.25" customHeight="1">
      <c r="A87" s="79" t="s">
        <v>1926</v>
      </c>
      <c r="AZ87" s="722" t="s">
        <v>1927</v>
      </c>
      <c r="BH87" s="723" t="s">
        <v>1928</v>
      </c>
      <c r="BJ87" s="723" t="s">
        <v>1929</v>
      </c>
      <c r="BL87" s="723" t="s">
        <v>1053</v>
      </c>
    </row>
    <row r="88" spans="1:66" ht="11.25" customHeight="1">
      <c r="A88" s="79" t="s">
        <v>1930</v>
      </c>
      <c r="BH88" s="723" t="s">
        <v>1931</v>
      </c>
      <c r="BJ88" s="723" t="s">
        <v>1932</v>
      </c>
      <c r="BL88" s="723" t="s">
        <v>1093</v>
      </c>
    </row>
    <row r="89" spans="1:66" ht="11.25" customHeight="1">
      <c r="A89" s="79" t="s">
        <v>1933</v>
      </c>
      <c r="AZ89" s="160" t="s">
        <v>1934</v>
      </c>
    </row>
    <row r="90" spans="1:66" ht="11.25" customHeight="1">
      <c r="A90" s="79" t="s">
        <v>1935</v>
      </c>
      <c r="AZ90" s="722" t="s">
        <v>1209</v>
      </c>
    </row>
    <row r="91" spans="1:66" ht="11.25" customHeight="1">
      <c r="A91" s="79" t="s">
        <v>1936</v>
      </c>
      <c r="AZ91" s="722" t="s">
        <v>1245</v>
      </c>
      <c r="BH91" s="160" t="s">
        <v>1937</v>
      </c>
      <c r="BJ91" s="160" t="s">
        <v>1938</v>
      </c>
      <c r="BL91" s="160" t="s">
        <v>1939</v>
      </c>
    </row>
    <row r="92" spans="1:66" ht="11.25" customHeight="1">
      <c r="AZ92" s="722" t="s">
        <v>1940</v>
      </c>
      <c r="BH92" s="723" t="s">
        <v>1941</v>
      </c>
      <c r="BJ92" s="723" t="s">
        <v>1942</v>
      </c>
      <c r="BL92" s="723" t="s">
        <v>1943</v>
      </c>
    </row>
    <row r="93" spans="1:66" ht="11.25" customHeight="1">
      <c r="AZ93" s="722" t="s">
        <v>1944</v>
      </c>
      <c r="BH93" s="723" t="s">
        <v>1945</v>
      </c>
      <c r="BJ93" s="723" t="s">
        <v>1946</v>
      </c>
      <c r="BL93" s="723" t="s">
        <v>1947</v>
      </c>
    </row>
    <row r="94" spans="1:66" ht="11.25" customHeight="1">
      <c r="AZ94" s="722" t="s">
        <v>1948</v>
      </c>
    </row>
    <row r="96" spans="1:66" ht="11.25" customHeight="1">
      <c r="AZ96" s="160" t="s">
        <v>1949</v>
      </c>
      <c r="BH96" s="160" t="s">
        <v>1950</v>
      </c>
      <c r="BJ96" s="160" t="s">
        <v>1951</v>
      </c>
      <c r="BL96" s="160" t="s">
        <v>1952</v>
      </c>
      <c r="BN96" s="160" t="s">
        <v>1953</v>
      </c>
    </row>
    <row r="97" spans="52:66" ht="11.25" customHeight="1">
      <c r="AZ97" s="744" t="s">
        <v>1954</v>
      </c>
      <c r="BA97" s="745" t="s">
        <v>1955</v>
      </c>
      <c r="BH97" s="723" t="s">
        <v>1956</v>
      </c>
      <c r="BJ97" s="723" t="s">
        <v>1957</v>
      </c>
      <c r="BL97" s="723" t="s">
        <v>1958</v>
      </c>
      <c r="BN97" s="723" t="s">
        <v>1959</v>
      </c>
    </row>
    <row r="98" spans="52:66" ht="11.25" customHeight="1">
      <c r="AZ98" s="744" t="s">
        <v>1960</v>
      </c>
      <c r="BA98" s="745" t="s">
        <v>1961</v>
      </c>
      <c r="BH98" s="723" t="s">
        <v>1962</v>
      </c>
      <c r="BJ98" s="723" t="s">
        <v>1963</v>
      </c>
      <c r="BL98" s="723" t="s">
        <v>1964</v>
      </c>
      <c r="BN98" s="723" t="s">
        <v>1965</v>
      </c>
    </row>
    <row r="99" spans="52:66" ht="22.5" customHeight="1">
      <c r="AZ99" s="744" t="s">
        <v>1966</v>
      </c>
      <c r="BA99" s="745" t="str">
        <f>"не позднее чем за "&amp;IF(TEMPLATE_SPHERE="TKO","3","10")&amp;" дней до дня проведения заседания правления"</f>
        <v>не позднее чем за 10 дней до дня проведения заседания правления</v>
      </c>
      <c r="BH99" s="723" t="s">
        <v>1967</v>
      </c>
      <c r="BJ99" s="723" t="s">
        <v>1968</v>
      </c>
      <c r="BL99" s="723" t="s">
        <v>1969</v>
      </c>
      <c r="BN99" s="723" t="s">
        <v>1970</v>
      </c>
    </row>
    <row r="100" spans="52:66" ht="22.5" customHeight="1">
      <c r="AZ100" s="744" t="s">
        <v>1971</v>
      </c>
      <c r="BA100" s="74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723" t="s">
        <v>1606</v>
      </c>
      <c r="BL100" s="723" t="s">
        <v>1606</v>
      </c>
      <c r="BN100" s="723" t="s">
        <v>1972</v>
      </c>
    </row>
    <row r="101" spans="52:66" ht="22.5" customHeight="1">
      <c r="AZ101" s="744" t="s">
        <v>1973</v>
      </c>
      <c r="BA101" s="745" t="s">
        <v>1974</v>
      </c>
      <c r="BN101" s="723" t="s">
        <v>1975</v>
      </c>
    </row>
    <row r="102" spans="52:66" ht="22.5" customHeight="1">
      <c r="AZ102" s="744" t="s">
        <v>1976</v>
      </c>
      <c r="BA102" s="74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723" t="s">
        <v>1977</v>
      </c>
    </row>
    <row r="103" spans="52:66" ht="11.25" customHeight="1">
      <c r="AZ103" s="744" t="s">
        <v>1978</v>
      </c>
      <c r="BA103" s="745" t="s">
        <v>1979</v>
      </c>
      <c r="BN103" s="723" t="s">
        <v>1980</v>
      </c>
    </row>
    <row r="104" spans="52:66" ht="11.25" customHeight="1">
      <c r="BN104" s="723" t="s">
        <v>1981</v>
      </c>
    </row>
    <row r="105" spans="52:66" ht="11.25" customHeight="1">
      <c r="AZ105" s="160" t="s">
        <v>1982</v>
      </c>
    </row>
    <row r="106" spans="52:66" ht="11.25" customHeight="1">
      <c r="AZ106" s="722" t="s">
        <v>1983</v>
      </c>
    </row>
    <row r="107" spans="52:66" ht="11.25" customHeight="1">
      <c r="AZ107" s="722" t="s">
        <v>1984</v>
      </c>
      <c r="BH107" s="160" t="s">
        <v>1985</v>
      </c>
      <c r="BJ107" s="160" t="s">
        <v>1986</v>
      </c>
      <c r="BL107" s="160" t="s">
        <v>1987</v>
      </c>
      <c r="BN107" s="160" t="s">
        <v>1988</v>
      </c>
    </row>
    <row r="108" spans="52:66" ht="11.25" customHeight="1">
      <c r="AZ108" s="722" t="s">
        <v>579</v>
      </c>
      <c r="BH108" s="723" t="s">
        <v>1989</v>
      </c>
      <c r="BJ108" s="723" t="s">
        <v>1990</v>
      </c>
      <c r="BL108" s="723" t="s">
        <v>1681</v>
      </c>
      <c r="BN108" s="723" t="s">
        <v>1991</v>
      </c>
    </row>
    <row r="109" spans="52:66" ht="11.25" customHeight="1">
      <c r="BH109" s="723" t="s">
        <v>1992</v>
      </c>
    </row>
    <row r="110" spans="52:66" ht="11.25" customHeight="1">
      <c r="AZ110" s="160" t="s">
        <v>1993</v>
      </c>
      <c r="BH110" s="723" t="s">
        <v>1992</v>
      </c>
    </row>
    <row r="111" spans="52:66" ht="11.25" customHeight="1">
      <c r="AZ111" s="744" t="s">
        <v>1954</v>
      </c>
      <c r="BA111" s="745" t="s">
        <v>1955</v>
      </c>
    </row>
    <row r="112" spans="52:66" ht="11.25" customHeight="1">
      <c r="AZ112" s="744" t="s">
        <v>1960</v>
      </c>
      <c r="BA112" s="745" t="s">
        <v>1961</v>
      </c>
    </row>
    <row r="113" spans="52:60" ht="22.5" customHeight="1">
      <c r="AZ113" s="744" t="s">
        <v>1966</v>
      </c>
      <c r="BA113" s="74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744" t="s">
        <v>1971</v>
      </c>
      <c r="BA114" s="74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60" t="s">
        <v>1994</v>
      </c>
    </row>
    <row r="115" spans="52:60" ht="22.5" customHeight="1">
      <c r="AZ115" s="744" t="s">
        <v>1976</v>
      </c>
      <c r="BA115" s="74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723" t="s">
        <v>1407</v>
      </c>
    </row>
    <row r="116" spans="52:60" ht="11.25" customHeight="1">
      <c r="AZ116" s="744" t="s">
        <v>1978</v>
      </c>
      <c r="BA116" s="745" t="s">
        <v>1979</v>
      </c>
      <c r="BH116" s="723" t="s">
        <v>1435</v>
      </c>
    </row>
    <row r="117" spans="52:60" ht="11.25" customHeight="1">
      <c r="BH117" s="723" t="s">
        <v>1470</v>
      </c>
    </row>
    <row r="118" spans="52:60" ht="11.25" customHeight="1">
      <c r="BH118" s="723" t="s">
        <v>1503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1030" hidden="1" customWidth="1"/>
    <col min="3" max="3" width="3" style="1030" customWidth="1"/>
    <col min="4" max="4" width="6" style="1030" customWidth="1"/>
    <col min="5" max="5" width="52" style="1030" customWidth="1"/>
    <col min="6" max="6" width="48" style="1030" customWidth="1"/>
    <col min="7" max="7" width="93" style="1030" customWidth="1"/>
    <col min="8" max="8" width="8" style="1030" customWidth="1"/>
    <col min="9" max="9" width="64" style="1030" customWidth="1"/>
    <col min="10" max="10" width="9.140625" style="1030" hidden="1"/>
  </cols>
  <sheetData>
    <row r="1" spans="1:10" ht="11.25" hidden="1" customHeight="1">
      <c r="A1" s="627" t="s">
        <v>307</v>
      </c>
      <c r="J1" s="626" t="s">
        <v>14</v>
      </c>
    </row>
    <row r="2" spans="1:10" ht="22.5" hidden="1" customHeight="1">
      <c r="A2" s="631"/>
      <c r="B2" s="631"/>
      <c r="C2" s="375" t="s">
        <v>103</v>
      </c>
      <c r="D2" s="487"/>
      <c r="E2" s="123"/>
      <c r="F2" s="888"/>
      <c r="H2" s="637"/>
      <c r="J2" s="626">
        <v>0</v>
      </c>
    </row>
    <row r="3" spans="1:10" ht="11.25" hidden="1" customHeight="1">
      <c r="J3" s="626">
        <v>0</v>
      </c>
    </row>
    <row r="4" spans="1:10" ht="11.45" customHeight="1">
      <c r="A4" s="973"/>
      <c r="B4" s="973"/>
      <c r="J4" s="626">
        <v>11</v>
      </c>
    </row>
    <row r="5" spans="1:10" ht="27.4" customHeight="1">
      <c r="D5" s="106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064"/>
      <c r="F5" s="1065"/>
      <c r="J5" s="626">
        <v>26</v>
      </c>
    </row>
    <row r="6" spans="1:10" ht="18" customHeight="1">
      <c r="D6" s="1148" t="str">
        <f>IF(region_name=0,"Не определено",region_name)</f>
        <v>Нижегородская область</v>
      </c>
      <c r="E6" s="1148"/>
      <c r="F6" s="1148"/>
      <c r="J6" s="626">
        <v>17</v>
      </c>
    </row>
    <row r="7" spans="1:10" ht="11.45" customHeight="1">
      <c r="A7" s="627"/>
      <c r="B7" s="627"/>
      <c r="F7" s="630"/>
      <c r="J7" s="629">
        <v>11</v>
      </c>
    </row>
    <row r="8" spans="1:10" ht="11.25" hidden="1" customHeight="1">
      <c r="A8" s="631"/>
      <c r="B8" s="631"/>
      <c r="C8" s="557"/>
      <c r="D8" s="552"/>
      <c r="E8" s="1153"/>
      <c r="F8" s="1153"/>
      <c r="J8" s="626">
        <v>0</v>
      </c>
    </row>
    <row r="9" spans="1:10" ht="11.45" customHeight="1">
      <c r="A9" s="631"/>
      <c r="B9" s="631"/>
      <c r="C9" s="557"/>
      <c r="D9" s="1150" t="s">
        <v>308</v>
      </c>
      <c r="E9" s="1151"/>
      <c r="F9" s="1151"/>
      <c r="G9" s="1154" t="s">
        <v>309</v>
      </c>
      <c r="J9" s="626">
        <v>11</v>
      </c>
    </row>
    <row r="10" spans="1:10" ht="11.45" customHeight="1">
      <c r="A10" s="631"/>
      <c r="B10" s="631"/>
      <c r="C10" s="557"/>
      <c r="D10" s="92" t="s">
        <v>87</v>
      </c>
      <c r="E10" s="632" t="s">
        <v>310</v>
      </c>
      <c r="F10" s="632" t="s">
        <v>311</v>
      </c>
      <c r="G10" s="1155"/>
      <c r="J10" s="626">
        <v>11</v>
      </c>
    </row>
    <row r="11" spans="1:10" ht="1.1499999999999999" customHeight="1">
      <c r="A11" s="631"/>
      <c r="B11" s="631"/>
      <c r="C11" s="557"/>
      <c r="D11" s="634"/>
      <c r="E11" s="634"/>
      <c r="F11" s="634"/>
      <c r="G11" s="634"/>
      <c r="J11" s="626">
        <v>1</v>
      </c>
    </row>
    <row r="12" spans="1:10" ht="24" customHeight="1">
      <c r="A12" s="631"/>
      <c r="B12" s="631"/>
      <c r="C12" s="557"/>
      <c r="D12" s="487">
        <v>1</v>
      </c>
      <c r="E12" s="63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868" t="str">
        <f>IF(org="","",org)</f>
        <v>АО "НИЖЕГОРОДСКИЙ ВОДОКАНАЛ"</v>
      </c>
      <c r="G12" s="63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974"/>
      <c r="J12" s="626">
        <v>23</v>
      </c>
    </row>
    <row r="13" spans="1:10" ht="19.899999999999999" customHeight="1">
      <c r="A13" s="631"/>
      <c r="B13" s="631"/>
      <c r="C13" s="557"/>
      <c r="D13" s="487">
        <v>2</v>
      </c>
      <c r="E13" s="833" t="s">
        <v>1995</v>
      </c>
      <c r="F13" s="584" t="s">
        <v>314</v>
      </c>
      <c r="G13" s="639"/>
      <c r="H13" s="974"/>
      <c r="J13" s="626">
        <v>19</v>
      </c>
    </row>
    <row r="14" spans="1:10" ht="19.899999999999999" customHeight="1">
      <c r="A14" s="631"/>
      <c r="B14" s="631"/>
      <c r="C14" s="557"/>
      <c r="D14" s="80" t="s">
        <v>725</v>
      </c>
      <c r="E14" s="889" t="s">
        <v>1996</v>
      </c>
      <c r="F14" s="123"/>
      <c r="G14" s="796" t="s">
        <v>1997</v>
      </c>
      <c r="H14" s="974"/>
      <c r="J14" s="626">
        <v>19</v>
      </c>
    </row>
    <row r="15" spans="1:10" ht="19.899999999999999" customHeight="1">
      <c r="A15" s="631"/>
      <c r="B15" s="631"/>
      <c r="C15" s="557"/>
      <c r="D15" s="80" t="s">
        <v>315</v>
      </c>
      <c r="E15" s="889" t="s">
        <v>1998</v>
      </c>
      <c r="F15" s="123"/>
      <c r="G15" s="796" t="s">
        <v>1999</v>
      </c>
      <c r="H15" s="974"/>
      <c r="J15" s="626">
        <v>19</v>
      </c>
    </row>
    <row r="16" spans="1:10" ht="24" customHeight="1">
      <c r="A16" s="631"/>
      <c r="B16" s="631"/>
      <c r="C16" s="557"/>
      <c r="D16" s="80" t="s">
        <v>318</v>
      </c>
      <c r="E16" s="839" t="s">
        <v>2000</v>
      </c>
      <c r="F16" s="106"/>
      <c r="G16" s="639" t="s">
        <v>2001</v>
      </c>
      <c r="H16" s="974"/>
      <c r="J16" s="626">
        <v>23</v>
      </c>
    </row>
    <row r="17" spans="1:10" ht="48.2" customHeight="1">
      <c r="A17" s="631"/>
      <c r="B17" s="631"/>
      <c r="C17" s="557"/>
      <c r="D17" s="487">
        <v>3</v>
      </c>
      <c r="E17" s="833" t="s">
        <v>2002</v>
      </c>
      <c r="F17" s="123"/>
      <c r="G17" s="639" t="s">
        <v>2003</v>
      </c>
      <c r="H17" s="974"/>
      <c r="J17" s="626">
        <v>46</v>
      </c>
    </row>
    <row r="18" spans="1:10" ht="48.2" customHeight="1">
      <c r="A18" s="975">
        <v>1</v>
      </c>
      <c r="B18" s="631"/>
      <c r="C18" s="642"/>
      <c r="D18" s="487" t="s">
        <v>90</v>
      </c>
      <c r="E18" s="833" t="s">
        <v>2004</v>
      </c>
      <c r="F18" s="123"/>
      <c r="G18" s="639" t="s">
        <v>2003</v>
      </c>
      <c r="H18" s="974"/>
      <c r="J18" s="626">
        <v>46</v>
      </c>
    </row>
    <row r="19" spans="1:10" ht="23.25" customHeight="1">
      <c r="A19" s="631"/>
      <c r="B19" s="631"/>
      <c r="C19" s="557"/>
      <c r="D19" s="487" t="s">
        <v>115</v>
      </c>
      <c r="E19" s="833" t="s">
        <v>2005</v>
      </c>
      <c r="F19" s="584" t="s">
        <v>314</v>
      </c>
      <c r="G19" s="1405" t="s">
        <v>2006</v>
      </c>
      <c r="H19" s="637"/>
      <c r="J19" s="626">
        <v>22</v>
      </c>
    </row>
    <row r="20" spans="1:10" ht="5.25" hidden="1" customHeight="1">
      <c r="A20" s="631"/>
      <c r="B20" s="631"/>
      <c r="C20" s="976"/>
      <c r="D20" s="977" t="s">
        <v>1309</v>
      </c>
      <c r="E20" s="651"/>
      <c r="F20" s="585"/>
      <c r="G20" s="1406"/>
      <c r="J20" s="978">
        <v>0</v>
      </c>
    </row>
    <row r="21" spans="1:10" ht="15.75" customHeight="1">
      <c r="A21" s="631"/>
      <c r="B21" s="631"/>
      <c r="C21" s="557"/>
      <c r="D21" s="646"/>
      <c r="E21" s="44" t="s">
        <v>347</v>
      </c>
      <c r="F21" s="648"/>
      <c r="G21" s="1407"/>
      <c r="H21" s="974"/>
      <c r="J21" s="626">
        <v>15</v>
      </c>
    </row>
    <row r="22" spans="1:10" ht="26.25" customHeight="1">
      <c r="A22" s="631"/>
      <c r="B22" s="631"/>
      <c r="C22" s="631"/>
      <c r="D22" s="487" t="s">
        <v>91</v>
      </c>
      <c r="E22" s="639" t="s">
        <v>2007</v>
      </c>
      <c r="F22" s="123"/>
      <c r="G22" s="639" t="s">
        <v>2008</v>
      </c>
      <c r="H22" s="979"/>
      <c r="J22" s="627">
        <v>25</v>
      </c>
    </row>
    <row r="23" spans="1:10" ht="19.899999999999999" customHeight="1">
      <c r="A23" s="631"/>
      <c r="B23" s="631"/>
      <c r="C23" s="631"/>
      <c r="D23" s="487" t="s">
        <v>92</v>
      </c>
      <c r="E23" s="833" t="s">
        <v>2009</v>
      </c>
      <c r="F23" s="106"/>
      <c r="G23" s="639" t="s">
        <v>2010</v>
      </c>
      <c r="H23" s="979"/>
      <c r="J23" s="627">
        <v>19</v>
      </c>
    </row>
    <row r="24" spans="1:10" ht="144" hidden="1" customHeight="1">
      <c r="A24" s="631"/>
      <c r="B24" s="631"/>
      <c r="C24" s="631"/>
      <c r="D24" s="487" t="s">
        <v>116</v>
      </c>
      <c r="E24" s="98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488"/>
      <c r="G24" s="98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979"/>
      <c r="J24" s="627">
        <v>0</v>
      </c>
    </row>
    <row r="25" spans="1:10" ht="11.25" hidden="1" customHeight="1">
      <c r="A25" s="627" t="s">
        <v>81</v>
      </c>
      <c r="B25" s="627">
        <v>0</v>
      </c>
      <c r="C25" s="626">
        <v>3</v>
      </c>
      <c r="D25" s="667">
        <v>6</v>
      </c>
      <c r="E25" s="626">
        <v>52</v>
      </c>
      <c r="F25" s="626">
        <v>48</v>
      </c>
      <c r="G25" s="626">
        <v>93</v>
      </c>
      <c r="H25" s="626">
        <v>8</v>
      </c>
      <c r="I25" s="626">
        <v>64</v>
      </c>
      <c r="J25" s="626">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2" width="9.140625" style="1030" hidden="1"/>
    <col min="3" max="3" width="3.7109375" style="1030" hidden="1" customWidth="1"/>
    <col min="4" max="4" width="3" style="1030" customWidth="1"/>
    <col min="5" max="5" width="6" style="1030" customWidth="1"/>
    <col min="6" max="6" width="46" style="1030" customWidth="1"/>
    <col min="7" max="8" width="16" style="1030" customWidth="1"/>
    <col min="9" max="9" width="35" style="1030" customWidth="1"/>
    <col min="10" max="10" width="89" style="1030" customWidth="1"/>
    <col min="11" max="11" width="3" style="1030" customWidth="1"/>
    <col min="12" max="14" width="8" style="1030" customWidth="1"/>
    <col min="15" max="15" width="25" style="1030" customWidth="1"/>
    <col min="16" max="16" width="14" style="1030" customWidth="1"/>
    <col min="17" max="254" width="8" style="1030" customWidth="1"/>
    <col min="255" max="255" width="9.140625" style="1030" hidden="1"/>
  </cols>
  <sheetData>
    <row r="1" spans="2:255" ht="22.5" hidden="1" customHeight="1">
      <c r="F1" s="539" t="s">
        <v>2011</v>
      </c>
      <c r="G1" s="539" t="s">
        <v>47</v>
      </c>
      <c r="H1" s="539" t="s">
        <v>49</v>
      </c>
      <c r="IU1" s="539" t="s">
        <v>14</v>
      </c>
    </row>
    <row r="2" spans="2:255" ht="22.5" hidden="1" customHeight="1">
      <c r="B2" s="556">
        <v>1</v>
      </c>
      <c r="D2" s="732" t="s">
        <v>103</v>
      </c>
      <c r="E2" s="584"/>
      <c r="F2" s="107"/>
      <c r="G2" s="107"/>
      <c r="H2" s="107"/>
      <c r="I2" s="489"/>
      <c r="J2" s="982"/>
      <c r="N2" s="583" t="str">
        <f t="array" ref="N2">IF(ISERROR(MATCH(MID(O2,1,250),MID(note_ter,1,250),0)),"n","y")</f>
        <v>n</v>
      </c>
      <c r="P2" s="583" t="str">
        <f>G2&amp;"("&amp;J2&amp;")"</f>
        <v>()</v>
      </c>
      <c r="IU2" s="41">
        <v>0</v>
      </c>
    </row>
    <row r="3" spans="2:255" ht="4.1500000000000004" customHeight="1">
      <c r="F3" s="575" t="s">
        <v>82</v>
      </c>
      <c r="G3" s="576" t="s">
        <v>83</v>
      </c>
      <c r="J3" s="577" t="s">
        <v>84</v>
      </c>
      <c r="K3" s="575" t="s">
        <v>82</v>
      </c>
      <c r="IU3" s="578">
        <v>4</v>
      </c>
    </row>
    <row r="4" spans="2:255" ht="14.65" customHeight="1">
      <c r="IU4" s="580">
        <v>14</v>
      </c>
    </row>
    <row r="5" spans="2:255" ht="27.4" customHeight="1">
      <c r="E5" s="10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055"/>
      <c r="G5" s="1055"/>
      <c r="H5" s="1055"/>
      <c r="I5" s="1055"/>
      <c r="J5" s="1055"/>
      <c r="IU5" s="580">
        <v>26</v>
      </c>
    </row>
    <row r="6" spans="2:255" ht="14.65" customHeight="1">
      <c r="IU6" s="580">
        <v>14</v>
      </c>
    </row>
    <row r="7" spans="2:255" ht="14.65" customHeight="1">
      <c r="E7" s="1051" t="s">
        <v>308</v>
      </c>
      <c r="F7" s="1056"/>
      <c r="G7" s="1056"/>
      <c r="H7" s="1056"/>
      <c r="I7" s="1056"/>
      <c r="J7" s="1408" t="s">
        <v>309</v>
      </c>
      <c r="IU7" s="580">
        <v>14</v>
      </c>
    </row>
    <row r="8" spans="2:255" ht="21" customHeight="1">
      <c r="E8" s="490" t="s">
        <v>87</v>
      </c>
      <c r="F8" s="491" t="s">
        <v>2011</v>
      </c>
      <c r="G8" s="491" t="s">
        <v>47</v>
      </c>
      <c r="H8" s="491" t="s">
        <v>49</v>
      </c>
      <c r="I8" s="491" t="s">
        <v>2012</v>
      </c>
      <c r="J8" s="1409"/>
      <c r="IU8" s="580">
        <v>20</v>
      </c>
    </row>
    <row r="9" spans="2:255" ht="23.25" customHeight="1">
      <c r="B9" s="556">
        <v>1</v>
      </c>
      <c r="E9" s="584">
        <v>1</v>
      </c>
      <c r="F9" s="492"/>
      <c r="G9" s="107"/>
      <c r="H9" s="107"/>
      <c r="I9" s="493"/>
      <c r="J9" s="111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N9" s="583" t="str">
        <f t="array" ref="N9">IF(ISERROR(MATCH(MID(O9,1,250),MID(note_ter,1,250),0)),"n","y")</f>
        <v>n</v>
      </c>
      <c r="P9" s="58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IU9" s="41">
        <v>22</v>
      </c>
    </row>
    <row r="10" spans="2:255" ht="15.75" customHeight="1">
      <c r="E10" s="494"/>
      <c r="F10" s="304" t="s">
        <v>2013</v>
      </c>
      <c r="G10" s="495"/>
      <c r="H10" s="495"/>
      <c r="I10" s="496"/>
      <c r="J10" s="1115"/>
      <c r="IU10" s="41">
        <v>15</v>
      </c>
    </row>
    <row r="11" spans="2:255" ht="21.95" customHeight="1">
      <c r="E11" s="589"/>
      <c r="F11" s="589"/>
      <c r="G11" s="589"/>
      <c r="H11" s="589"/>
      <c r="I11" s="589"/>
      <c r="J11" s="589"/>
      <c r="IU11" s="580">
        <v>21</v>
      </c>
    </row>
    <row r="12" spans="2:255" ht="14.65" customHeight="1">
      <c r="IU12" s="580">
        <v>14</v>
      </c>
    </row>
    <row r="13" spans="2:255" ht="1.1499999999999999" customHeight="1">
      <c r="IU13" s="580">
        <v>1</v>
      </c>
    </row>
    <row r="14" spans="2:255" ht="10.5" customHeight="1">
      <c r="IU14" s="590">
        <v>10</v>
      </c>
    </row>
    <row r="15" spans="2:255" ht="10.5" customHeight="1">
      <c r="IU15" s="590">
        <v>10</v>
      </c>
    </row>
    <row r="16" spans="2:255" ht="14.65" customHeight="1">
      <c r="IU16" s="539">
        <v>14</v>
      </c>
    </row>
    <row r="17" spans="1:255" ht="14.65" customHeight="1">
      <c r="IU17" s="539">
        <v>14</v>
      </c>
    </row>
    <row r="18" spans="1:255" ht="14.65" customHeight="1">
      <c r="IU18" s="539">
        <v>14</v>
      </c>
    </row>
    <row r="19" spans="1:255" ht="14.65" customHeight="1">
      <c r="IU19" s="539">
        <v>14</v>
      </c>
    </row>
    <row r="20" spans="1:255" ht="14.65" customHeight="1">
      <c r="IU20" s="539">
        <v>14</v>
      </c>
    </row>
    <row r="21" spans="1:255" ht="14.65" customHeight="1">
      <c r="IU21" s="539">
        <v>14</v>
      </c>
    </row>
    <row r="22" spans="1:255" ht="14.65" customHeight="1">
      <c r="IU22" s="539">
        <v>14</v>
      </c>
    </row>
    <row r="23" spans="1:255" ht="14.65" customHeight="1">
      <c r="IU23" s="539">
        <v>14</v>
      </c>
    </row>
    <row r="24" spans="1:255" ht="22.5" hidden="1" customHeight="1">
      <c r="A24" s="539" t="s">
        <v>81</v>
      </c>
      <c r="B24" s="556">
        <v>0</v>
      </c>
      <c r="C24" s="539">
        <v>0</v>
      </c>
      <c r="D24" s="591">
        <v>3</v>
      </c>
      <c r="E24" s="539">
        <v>6</v>
      </c>
      <c r="F24" s="539">
        <v>46</v>
      </c>
      <c r="G24" s="539">
        <v>16</v>
      </c>
      <c r="H24" s="539">
        <v>16</v>
      </c>
      <c r="I24" s="539">
        <v>35</v>
      </c>
      <c r="J24" s="539">
        <v>89</v>
      </c>
      <c r="K24" s="583">
        <v>3</v>
      </c>
      <c r="L24" s="583">
        <v>8</v>
      </c>
      <c r="M24" s="583">
        <v>8</v>
      </c>
      <c r="N24" s="583">
        <v>8</v>
      </c>
      <c r="O24" s="583">
        <v>25</v>
      </c>
      <c r="P24" s="583">
        <v>14</v>
      </c>
      <c r="Q24" s="592">
        <v>8</v>
      </c>
      <c r="R24" s="592">
        <v>8</v>
      </c>
      <c r="S24" s="592">
        <v>8</v>
      </c>
      <c r="T24" s="592">
        <v>8</v>
      </c>
      <c r="U24" s="539">
        <v>8</v>
      </c>
      <c r="V24" s="539">
        <v>8</v>
      </c>
      <c r="W24" s="539">
        <v>8</v>
      </c>
      <c r="X24" s="539">
        <v>8</v>
      </c>
      <c r="Y24" s="539">
        <v>8</v>
      </c>
      <c r="Z24" s="539">
        <v>8</v>
      </c>
      <c r="AA24" s="539">
        <v>8</v>
      </c>
      <c r="AB24" s="539">
        <v>8</v>
      </c>
      <c r="AC24" s="539">
        <v>8</v>
      </c>
      <c r="AD24" s="539">
        <v>8</v>
      </c>
      <c r="AE24" s="539">
        <v>8</v>
      </c>
      <c r="AF24" s="539">
        <v>8</v>
      </c>
      <c r="AG24" s="539">
        <v>8</v>
      </c>
      <c r="AH24" s="539">
        <v>8</v>
      </c>
      <c r="AI24" s="539">
        <v>8</v>
      </c>
      <c r="AJ24" s="539">
        <v>8</v>
      </c>
      <c r="AK24" s="539">
        <v>8</v>
      </c>
      <c r="AL24" s="539">
        <v>8</v>
      </c>
      <c r="AM24" s="539">
        <v>8</v>
      </c>
      <c r="AN24" s="539">
        <v>8</v>
      </c>
      <c r="AO24" s="539">
        <v>8</v>
      </c>
      <c r="AP24" s="539">
        <v>8</v>
      </c>
      <c r="AQ24" s="539">
        <v>8</v>
      </c>
      <c r="AR24" s="539">
        <v>8</v>
      </c>
      <c r="AS24" s="539">
        <v>8</v>
      </c>
      <c r="AT24" s="539">
        <v>8</v>
      </c>
      <c r="AU24" s="539">
        <v>8</v>
      </c>
      <c r="AV24" s="539">
        <v>8</v>
      </c>
      <c r="AW24" s="539">
        <v>8</v>
      </c>
      <c r="AX24" s="539">
        <v>8</v>
      </c>
      <c r="AY24" s="539">
        <v>8</v>
      </c>
      <c r="AZ24" s="539">
        <v>8</v>
      </c>
      <c r="BA24" s="539">
        <v>8</v>
      </c>
      <c r="BB24" s="539">
        <v>8</v>
      </c>
      <c r="BC24" s="539">
        <v>8</v>
      </c>
      <c r="BD24" s="539">
        <v>8</v>
      </c>
      <c r="BE24" s="539">
        <v>8</v>
      </c>
      <c r="BF24" s="539">
        <v>8</v>
      </c>
      <c r="BG24" s="539">
        <v>8</v>
      </c>
      <c r="BH24" s="539">
        <v>8</v>
      </c>
      <c r="BI24" s="539">
        <v>8</v>
      </c>
      <c r="BJ24" s="539">
        <v>8</v>
      </c>
      <c r="BK24" s="539">
        <v>8</v>
      </c>
      <c r="BL24" s="539">
        <v>8</v>
      </c>
      <c r="BM24" s="539">
        <v>8</v>
      </c>
      <c r="BN24" s="539">
        <v>8</v>
      </c>
      <c r="BO24" s="539">
        <v>8</v>
      </c>
      <c r="BP24" s="539">
        <v>8</v>
      </c>
      <c r="BQ24" s="539">
        <v>8</v>
      </c>
      <c r="BR24" s="539">
        <v>8</v>
      </c>
      <c r="BS24" s="539">
        <v>8</v>
      </c>
      <c r="BT24" s="539">
        <v>8</v>
      </c>
      <c r="BU24" s="539">
        <v>8</v>
      </c>
      <c r="BV24" s="539">
        <v>8</v>
      </c>
      <c r="BW24" s="539">
        <v>8</v>
      </c>
      <c r="BX24" s="539">
        <v>8</v>
      </c>
      <c r="BY24" s="539">
        <v>8</v>
      </c>
      <c r="BZ24" s="539">
        <v>8</v>
      </c>
      <c r="CA24" s="539">
        <v>8</v>
      </c>
      <c r="CB24" s="539">
        <v>8</v>
      </c>
      <c r="CC24" s="539">
        <v>8</v>
      </c>
      <c r="CD24" s="539">
        <v>8</v>
      </c>
      <c r="CE24" s="539">
        <v>8</v>
      </c>
      <c r="CF24" s="539">
        <v>8</v>
      </c>
      <c r="CG24" s="539">
        <v>8</v>
      </c>
      <c r="CH24" s="539">
        <v>8</v>
      </c>
      <c r="CI24" s="539">
        <v>8</v>
      </c>
      <c r="CJ24" s="539">
        <v>8</v>
      </c>
      <c r="CK24" s="539">
        <v>8</v>
      </c>
      <c r="CL24" s="539">
        <v>8</v>
      </c>
      <c r="CM24" s="539">
        <v>8</v>
      </c>
      <c r="CN24" s="539">
        <v>8</v>
      </c>
      <c r="CO24" s="539">
        <v>8</v>
      </c>
      <c r="CP24" s="539">
        <v>8</v>
      </c>
      <c r="CQ24" s="539">
        <v>8</v>
      </c>
      <c r="CR24" s="539">
        <v>8</v>
      </c>
      <c r="CS24" s="539">
        <v>8</v>
      </c>
      <c r="CT24" s="539">
        <v>8</v>
      </c>
      <c r="CU24" s="539">
        <v>8</v>
      </c>
      <c r="CV24" s="539">
        <v>8</v>
      </c>
      <c r="CW24" s="539">
        <v>8</v>
      </c>
      <c r="CX24" s="539">
        <v>8</v>
      </c>
      <c r="CY24" s="539">
        <v>8</v>
      </c>
      <c r="CZ24" s="539">
        <v>8</v>
      </c>
      <c r="DA24" s="539">
        <v>8</v>
      </c>
      <c r="DB24" s="539">
        <v>8</v>
      </c>
      <c r="DC24" s="539">
        <v>8</v>
      </c>
      <c r="DD24" s="539">
        <v>8</v>
      </c>
      <c r="DE24" s="539">
        <v>8</v>
      </c>
      <c r="DF24" s="539">
        <v>8</v>
      </c>
      <c r="DG24" s="539">
        <v>8</v>
      </c>
      <c r="DH24" s="539">
        <v>8</v>
      </c>
      <c r="DI24" s="539">
        <v>8</v>
      </c>
      <c r="DJ24" s="539">
        <v>8</v>
      </c>
      <c r="DK24" s="539">
        <v>8</v>
      </c>
      <c r="DL24" s="539">
        <v>8</v>
      </c>
      <c r="DM24" s="539">
        <v>8</v>
      </c>
      <c r="DN24" s="539">
        <v>8</v>
      </c>
      <c r="DO24" s="539">
        <v>8</v>
      </c>
      <c r="DP24" s="539">
        <v>8</v>
      </c>
      <c r="DQ24" s="539">
        <v>8</v>
      </c>
      <c r="DR24" s="539">
        <v>8</v>
      </c>
      <c r="DS24" s="539">
        <v>8</v>
      </c>
      <c r="DT24" s="539">
        <v>8</v>
      </c>
      <c r="DU24" s="539">
        <v>8</v>
      </c>
      <c r="DV24" s="539">
        <v>8</v>
      </c>
      <c r="DW24" s="539">
        <v>8</v>
      </c>
      <c r="DX24" s="539">
        <v>8</v>
      </c>
      <c r="DY24" s="539">
        <v>8</v>
      </c>
      <c r="DZ24" s="539">
        <v>8</v>
      </c>
      <c r="EA24" s="539">
        <v>8</v>
      </c>
      <c r="EB24" s="539">
        <v>8</v>
      </c>
      <c r="EC24" s="539">
        <v>8</v>
      </c>
      <c r="ED24" s="539">
        <v>8</v>
      </c>
      <c r="EE24" s="539">
        <v>8</v>
      </c>
      <c r="EF24" s="539">
        <v>8</v>
      </c>
      <c r="EG24" s="539">
        <v>8</v>
      </c>
      <c r="EH24" s="539">
        <v>8</v>
      </c>
      <c r="EI24" s="539">
        <v>8</v>
      </c>
      <c r="EJ24" s="539">
        <v>8</v>
      </c>
      <c r="EK24" s="539">
        <v>8</v>
      </c>
      <c r="EL24" s="539">
        <v>8</v>
      </c>
      <c r="EM24" s="539">
        <v>8</v>
      </c>
      <c r="EN24" s="539">
        <v>8</v>
      </c>
      <c r="EO24" s="539">
        <v>8</v>
      </c>
      <c r="EP24" s="539">
        <v>8</v>
      </c>
      <c r="EQ24" s="539">
        <v>8</v>
      </c>
      <c r="ER24" s="539">
        <v>8</v>
      </c>
      <c r="ES24" s="539">
        <v>8</v>
      </c>
      <c r="ET24" s="539">
        <v>8</v>
      </c>
      <c r="EU24" s="539">
        <v>8</v>
      </c>
      <c r="EV24" s="539">
        <v>8</v>
      </c>
      <c r="EW24" s="539">
        <v>8</v>
      </c>
      <c r="EX24" s="539">
        <v>8</v>
      </c>
      <c r="EY24" s="539">
        <v>8</v>
      </c>
      <c r="EZ24" s="539">
        <v>8</v>
      </c>
      <c r="FA24" s="539">
        <v>8</v>
      </c>
      <c r="FB24" s="539">
        <v>8</v>
      </c>
      <c r="FC24" s="539">
        <v>8</v>
      </c>
      <c r="FD24" s="539">
        <v>8</v>
      </c>
      <c r="FE24" s="539">
        <v>8</v>
      </c>
      <c r="FF24" s="539">
        <v>8</v>
      </c>
      <c r="FG24" s="539">
        <v>8</v>
      </c>
      <c r="FH24" s="539">
        <v>8</v>
      </c>
      <c r="FI24" s="539">
        <v>8</v>
      </c>
      <c r="FJ24" s="539">
        <v>8</v>
      </c>
      <c r="FK24" s="539">
        <v>8</v>
      </c>
      <c r="FL24" s="539">
        <v>8</v>
      </c>
      <c r="FM24" s="539">
        <v>8</v>
      </c>
      <c r="FN24" s="539">
        <v>8</v>
      </c>
      <c r="FO24" s="539">
        <v>8</v>
      </c>
      <c r="FP24" s="539">
        <v>8</v>
      </c>
      <c r="FQ24" s="539">
        <v>8</v>
      </c>
      <c r="FR24" s="539">
        <v>8</v>
      </c>
      <c r="FS24" s="539">
        <v>8</v>
      </c>
      <c r="FT24" s="539">
        <v>8</v>
      </c>
      <c r="FU24" s="539">
        <v>8</v>
      </c>
      <c r="FV24" s="539">
        <v>8</v>
      </c>
      <c r="FW24" s="539">
        <v>8</v>
      </c>
      <c r="FX24" s="539">
        <v>8</v>
      </c>
      <c r="FY24" s="539">
        <v>8</v>
      </c>
      <c r="FZ24" s="539">
        <v>8</v>
      </c>
      <c r="GA24" s="539">
        <v>8</v>
      </c>
      <c r="GB24" s="539">
        <v>8</v>
      </c>
      <c r="GC24" s="539">
        <v>8</v>
      </c>
      <c r="GD24" s="539">
        <v>8</v>
      </c>
      <c r="GE24" s="539">
        <v>8</v>
      </c>
      <c r="GF24" s="539">
        <v>8</v>
      </c>
      <c r="GG24" s="539">
        <v>8</v>
      </c>
      <c r="GH24" s="539">
        <v>8</v>
      </c>
      <c r="GI24" s="539">
        <v>8</v>
      </c>
      <c r="GJ24" s="539">
        <v>8</v>
      </c>
      <c r="GK24" s="539">
        <v>8</v>
      </c>
      <c r="GL24" s="539">
        <v>8</v>
      </c>
      <c r="GM24" s="539">
        <v>8</v>
      </c>
      <c r="GN24" s="539">
        <v>8</v>
      </c>
      <c r="GO24" s="539">
        <v>8</v>
      </c>
      <c r="GP24" s="539">
        <v>8</v>
      </c>
      <c r="GQ24" s="539">
        <v>8</v>
      </c>
      <c r="GR24" s="539">
        <v>8</v>
      </c>
      <c r="GS24" s="539">
        <v>8</v>
      </c>
      <c r="GT24" s="539">
        <v>8</v>
      </c>
      <c r="GU24" s="539">
        <v>8</v>
      </c>
      <c r="GV24" s="539">
        <v>8</v>
      </c>
      <c r="GW24" s="539">
        <v>8</v>
      </c>
      <c r="GX24" s="539">
        <v>8</v>
      </c>
      <c r="GY24" s="539">
        <v>8</v>
      </c>
      <c r="GZ24" s="539">
        <v>8</v>
      </c>
      <c r="HA24" s="539">
        <v>8</v>
      </c>
      <c r="HB24" s="539">
        <v>8</v>
      </c>
      <c r="HC24" s="539">
        <v>8</v>
      </c>
      <c r="HD24" s="539">
        <v>8</v>
      </c>
      <c r="HE24" s="539">
        <v>8</v>
      </c>
      <c r="HF24" s="539">
        <v>8</v>
      </c>
      <c r="HG24" s="539">
        <v>8</v>
      </c>
      <c r="HH24" s="539">
        <v>8</v>
      </c>
      <c r="HI24" s="539">
        <v>8</v>
      </c>
      <c r="HJ24" s="539">
        <v>8</v>
      </c>
      <c r="HK24" s="539">
        <v>8</v>
      </c>
      <c r="HL24" s="539">
        <v>8</v>
      </c>
      <c r="HM24" s="539">
        <v>8</v>
      </c>
      <c r="HN24" s="539">
        <v>8</v>
      </c>
      <c r="HO24" s="539">
        <v>8</v>
      </c>
      <c r="HP24" s="539">
        <v>8</v>
      </c>
      <c r="HQ24" s="539">
        <v>8</v>
      </c>
      <c r="HR24" s="539">
        <v>8</v>
      </c>
      <c r="HS24" s="539">
        <v>8</v>
      </c>
      <c r="HT24" s="539">
        <v>8</v>
      </c>
      <c r="HU24" s="539">
        <v>8</v>
      </c>
      <c r="HV24" s="539">
        <v>8</v>
      </c>
      <c r="HW24" s="539">
        <v>8</v>
      </c>
      <c r="HX24" s="539">
        <v>8</v>
      </c>
      <c r="HY24" s="539">
        <v>8</v>
      </c>
      <c r="HZ24" s="539">
        <v>8</v>
      </c>
      <c r="IA24" s="539">
        <v>8</v>
      </c>
      <c r="IB24" s="539">
        <v>8</v>
      </c>
      <c r="IC24" s="539">
        <v>8</v>
      </c>
      <c r="ID24" s="539">
        <v>8</v>
      </c>
      <c r="IE24" s="539">
        <v>8</v>
      </c>
      <c r="IF24" s="539">
        <v>8</v>
      </c>
      <c r="IG24" s="539">
        <v>8</v>
      </c>
      <c r="IH24" s="539">
        <v>8</v>
      </c>
      <c r="II24" s="539">
        <v>8</v>
      </c>
      <c r="IJ24" s="539">
        <v>8</v>
      </c>
      <c r="IK24" s="539">
        <v>8</v>
      </c>
      <c r="IL24" s="539">
        <v>8</v>
      </c>
      <c r="IM24" s="539">
        <v>8</v>
      </c>
      <c r="IN24" s="539">
        <v>8</v>
      </c>
      <c r="IO24" s="539">
        <v>8</v>
      </c>
      <c r="IP24" s="539">
        <v>8</v>
      </c>
      <c r="IQ24" s="539">
        <v>8</v>
      </c>
      <c r="IR24" s="539">
        <v>8</v>
      </c>
      <c r="IS24" s="539">
        <v>8</v>
      </c>
      <c r="IT24" s="539">
        <v>8</v>
      </c>
      <c r="IU24" s="53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2" width="9.140625" style="1030" hidden="1"/>
    <col min="3" max="3" width="3.7109375" style="1030" hidden="1" customWidth="1"/>
    <col min="4" max="4" width="3" style="1030" customWidth="1"/>
    <col min="5" max="5" width="6" style="1030" customWidth="1"/>
    <col min="6" max="6" width="27" style="1030" customWidth="1"/>
    <col min="7" max="7" width="16" style="1030" customWidth="1"/>
    <col min="8" max="8" width="12" style="1030" customWidth="1"/>
    <col min="9" max="9" width="32" style="1030" customWidth="1"/>
    <col min="10" max="11" width="41" style="1030" customWidth="1"/>
    <col min="12" max="12" width="89" style="1030" customWidth="1"/>
    <col min="13" max="13" width="3" style="1030" customWidth="1"/>
    <col min="14" max="16" width="8" style="1030" customWidth="1"/>
    <col min="17" max="17" width="25" style="1030" customWidth="1"/>
    <col min="18" max="18" width="14" style="1030" customWidth="1"/>
    <col min="19" max="256" width="8" style="1030" customWidth="1"/>
    <col min="257" max="257" width="9.140625" style="1030" hidden="1"/>
  </cols>
  <sheetData>
    <row r="1" spans="1:257" ht="22.5" hidden="1" customHeight="1">
      <c r="IW1" s="539" t="s">
        <v>14</v>
      </c>
    </row>
    <row r="2" spans="1:257" ht="22.5" hidden="1" customHeight="1">
      <c r="B2" s="556">
        <v>1</v>
      </c>
      <c r="D2" s="732" t="s">
        <v>103</v>
      </c>
      <c r="E2" s="544"/>
      <c r="F2" s="829" t="str">
        <f>IF(ROIV_INFO_NAME="","",ROIV_INFO_NAME)</f>
        <v>АО "НИЖЕГОРОДСКИЙ ВОДОКАНАЛ"</v>
      </c>
      <c r="G2" s="497" t="s">
        <v>22</v>
      </c>
      <c r="H2" s="498"/>
      <c r="I2" s="493"/>
      <c r="J2" s="308"/>
      <c r="K2" s="308"/>
      <c r="M2" s="983" t="e">
        <f ca="1">MERGEVALUE(F2)</f>
        <v>#NAME?</v>
      </c>
      <c r="P2" s="583" t="str">
        <f t="array" ref="P2">IF(ISERROR(MATCH(MID(Q2,1,250),MID(note_ter,1,250),0)),"n","y")</f>
        <v>n</v>
      </c>
      <c r="R2" s="583" t="str">
        <f>G2&amp;"("&amp;L2&amp;")"</f>
        <v>()</v>
      </c>
      <c r="IW2" s="41">
        <v>0</v>
      </c>
    </row>
    <row r="3" spans="1:257" ht="5.25" hidden="1" customHeight="1">
      <c r="F3" s="575" t="s">
        <v>82</v>
      </c>
      <c r="G3" s="499" t="s">
        <v>83</v>
      </c>
      <c r="L3" s="577" t="s">
        <v>84</v>
      </c>
      <c r="M3" s="575" t="s">
        <v>82</v>
      </c>
      <c r="IW3" s="578">
        <v>0</v>
      </c>
    </row>
    <row r="4" spans="1:257" ht="14.65" customHeight="1">
      <c r="IW4" s="580">
        <v>14</v>
      </c>
    </row>
    <row r="5" spans="1:257" ht="27.4" customHeight="1">
      <c r="E5" s="105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055"/>
      <c r="G5" s="1055"/>
      <c r="H5" s="1055"/>
      <c r="I5" s="1055"/>
      <c r="J5" s="1055"/>
      <c r="K5" s="1055"/>
      <c r="IW5" s="580">
        <v>26</v>
      </c>
    </row>
    <row r="6" spans="1:257" ht="14.65" customHeight="1">
      <c r="IW6" s="580">
        <v>14</v>
      </c>
    </row>
    <row r="7" spans="1:257" ht="14.65" customHeight="1">
      <c r="E7" s="1051" t="s">
        <v>308</v>
      </c>
      <c r="F7" s="1056"/>
      <c r="G7" s="1056"/>
      <c r="H7" s="1056"/>
      <c r="I7" s="1056"/>
      <c r="J7" s="1056"/>
      <c r="K7" s="1056"/>
      <c r="L7" s="1408" t="s">
        <v>309</v>
      </c>
      <c r="IW7" s="580">
        <v>14</v>
      </c>
    </row>
    <row r="8" spans="1:257" ht="67.150000000000006" customHeight="1">
      <c r="E8" s="1412" t="s">
        <v>87</v>
      </c>
      <c r="F8" s="141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1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15"/>
      <c r="I8" s="1416"/>
      <c r="J8" s="141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10"/>
      <c r="IW8" s="580">
        <v>64</v>
      </c>
    </row>
    <row r="9" spans="1:257" ht="29.25" customHeight="1">
      <c r="E9" s="1413"/>
      <c r="F9" s="1413"/>
      <c r="G9" s="500" t="s">
        <v>2014</v>
      </c>
      <c r="H9" s="500" t="s">
        <v>2015</v>
      </c>
      <c r="I9" s="500" t="s">
        <v>2016</v>
      </c>
      <c r="J9" s="1413"/>
      <c r="K9" s="1413"/>
      <c r="L9" s="1409"/>
      <c r="IW9" s="580">
        <v>28</v>
      </c>
    </row>
    <row r="10" spans="1:257" ht="23.25" customHeight="1">
      <c r="A10" s="1038"/>
      <c r="B10" s="556">
        <v>1</v>
      </c>
      <c r="D10" s="586"/>
      <c r="E10" s="587">
        <v>1</v>
      </c>
      <c r="F10" s="984" t="str">
        <f>IF(ROIV_INFO_NAME="","",ROIV_INFO_NAME)</f>
        <v>АО "НИЖЕГОРОДСКИЙ ВОДОКАНАЛ"</v>
      </c>
      <c r="G10" s="8" t="s">
        <v>22</v>
      </c>
      <c r="H10" s="498"/>
      <c r="I10" s="501"/>
      <c r="J10" s="308"/>
      <c r="K10" s="308"/>
      <c r="L10" s="13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983" t="e">
        <f ca="1">MERGEVALUE(F10)</f>
        <v>#NAME?</v>
      </c>
      <c r="P10" s="583" t="str">
        <f t="array" ref="P10">IF(ISERROR(MATCH(MID(Q10,1,250),MID(note_ter,1,250),0)),"n","y")</f>
        <v>n</v>
      </c>
      <c r="R10" s="58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IW10" s="41">
        <v>22</v>
      </c>
    </row>
    <row r="11" spans="1:257" ht="15.75" customHeight="1">
      <c r="A11" s="1038"/>
      <c r="E11" s="42"/>
      <c r="F11" s="49" t="s">
        <v>2017</v>
      </c>
      <c r="G11" s="45"/>
      <c r="H11" s="45"/>
      <c r="I11" s="45"/>
      <c r="J11" s="45"/>
      <c r="K11" s="46"/>
      <c r="L11" s="1411"/>
      <c r="IW11" s="41">
        <v>15</v>
      </c>
    </row>
    <row r="12" spans="1:257" ht="21.95" customHeight="1">
      <c r="E12" s="589"/>
      <c r="F12" s="589"/>
      <c r="G12" s="589"/>
      <c r="H12" s="589"/>
      <c r="I12" s="589"/>
      <c r="J12" s="589"/>
      <c r="K12" s="589"/>
      <c r="L12" s="589"/>
      <c r="IW12" s="580">
        <v>21</v>
      </c>
    </row>
    <row r="13" spans="1:257" ht="14.65" customHeight="1">
      <c r="IW13" s="580">
        <v>14</v>
      </c>
    </row>
    <row r="14" spans="1:257" ht="1.1499999999999999" customHeight="1">
      <c r="IW14" s="580">
        <v>1</v>
      </c>
    </row>
    <row r="15" spans="1:257" ht="22.5" hidden="1" customHeight="1">
      <c r="A15" s="539" t="s">
        <v>81</v>
      </c>
      <c r="B15" s="556">
        <v>0</v>
      </c>
      <c r="C15" s="539">
        <v>0</v>
      </c>
      <c r="D15" s="591">
        <v>3</v>
      </c>
      <c r="E15" s="539">
        <v>6</v>
      </c>
      <c r="F15" s="539">
        <v>27</v>
      </c>
      <c r="G15" s="539">
        <v>16</v>
      </c>
      <c r="H15" s="539">
        <v>12</v>
      </c>
      <c r="I15" s="539">
        <v>32</v>
      </c>
      <c r="J15" s="539">
        <v>41</v>
      </c>
      <c r="K15" s="539">
        <v>41</v>
      </c>
      <c r="L15" s="539">
        <v>89</v>
      </c>
      <c r="M15" s="583">
        <v>3</v>
      </c>
      <c r="N15" s="583">
        <v>8</v>
      </c>
      <c r="O15" s="583">
        <v>8</v>
      </c>
      <c r="P15" s="583">
        <v>8</v>
      </c>
      <c r="Q15" s="583">
        <v>25</v>
      </c>
      <c r="R15" s="583">
        <v>14</v>
      </c>
      <c r="S15" s="592">
        <v>8</v>
      </c>
      <c r="T15" s="592">
        <v>8</v>
      </c>
      <c r="U15" s="592">
        <v>8</v>
      </c>
      <c r="V15" s="592">
        <v>8</v>
      </c>
      <c r="W15" s="539">
        <v>8</v>
      </c>
      <c r="X15" s="539">
        <v>8</v>
      </c>
      <c r="Y15" s="539">
        <v>8</v>
      </c>
      <c r="Z15" s="539">
        <v>8</v>
      </c>
      <c r="AA15" s="539">
        <v>8</v>
      </c>
      <c r="AB15" s="539">
        <v>8</v>
      </c>
      <c r="AC15" s="539">
        <v>8</v>
      </c>
      <c r="AD15" s="539">
        <v>8</v>
      </c>
      <c r="AE15" s="539">
        <v>8</v>
      </c>
      <c r="AF15" s="539">
        <v>8</v>
      </c>
      <c r="AG15" s="539">
        <v>8</v>
      </c>
      <c r="AH15" s="539">
        <v>8</v>
      </c>
      <c r="AI15" s="539">
        <v>8</v>
      </c>
      <c r="AJ15" s="539">
        <v>8</v>
      </c>
      <c r="AK15" s="539">
        <v>8</v>
      </c>
      <c r="AL15" s="539">
        <v>8</v>
      </c>
      <c r="AM15" s="539">
        <v>8</v>
      </c>
      <c r="AN15" s="539">
        <v>8</v>
      </c>
      <c r="AO15" s="539">
        <v>8</v>
      </c>
      <c r="AP15" s="539">
        <v>8</v>
      </c>
      <c r="AQ15" s="539">
        <v>8</v>
      </c>
      <c r="AR15" s="539">
        <v>8</v>
      </c>
      <c r="AS15" s="539">
        <v>8</v>
      </c>
      <c r="AT15" s="539">
        <v>8</v>
      </c>
      <c r="AU15" s="539">
        <v>8</v>
      </c>
      <c r="AV15" s="539">
        <v>8</v>
      </c>
      <c r="AW15" s="539">
        <v>8</v>
      </c>
      <c r="AX15" s="539">
        <v>8</v>
      </c>
      <c r="AY15" s="539">
        <v>8</v>
      </c>
      <c r="AZ15" s="539">
        <v>8</v>
      </c>
      <c r="BA15" s="539">
        <v>8</v>
      </c>
      <c r="BB15" s="539">
        <v>8</v>
      </c>
      <c r="BC15" s="539">
        <v>8</v>
      </c>
      <c r="BD15" s="539">
        <v>8</v>
      </c>
      <c r="BE15" s="539">
        <v>8</v>
      </c>
      <c r="BF15" s="539">
        <v>8</v>
      </c>
      <c r="BG15" s="539">
        <v>8</v>
      </c>
      <c r="BH15" s="539">
        <v>8</v>
      </c>
      <c r="BI15" s="539">
        <v>8</v>
      </c>
      <c r="BJ15" s="539">
        <v>8</v>
      </c>
      <c r="BK15" s="539">
        <v>8</v>
      </c>
      <c r="BL15" s="539">
        <v>8</v>
      </c>
      <c r="BM15" s="539">
        <v>8</v>
      </c>
      <c r="BN15" s="539">
        <v>8</v>
      </c>
      <c r="BO15" s="539">
        <v>8</v>
      </c>
      <c r="BP15" s="539">
        <v>8</v>
      </c>
      <c r="BQ15" s="539">
        <v>8</v>
      </c>
      <c r="BR15" s="539">
        <v>8</v>
      </c>
      <c r="BS15" s="539">
        <v>8</v>
      </c>
      <c r="BT15" s="539">
        <v>8</v>
      </c>
      <c r="BU15" s="539">
        <v>8</v>
      </c>
      <c r="BV15" s="539">
        <v>8</v>
      </c>
      <c r="BW15" s="539">
        <v>8</v>
      </c>
      <c r="BX15" s="539">
        <v>8</v>
      </c>
      <c r="BY15" s="539">
        <v>8</v>
      </c>
      <c r="BZ15" s="539">
        <v>8</v>
      </c>
      <c r="CA15" s="539">
        <v>8</v>
      </c>
      <c r="CB15" s="539">
        <v>8</v>
      </c>
      <c r="CC15" s="539">
        <v>8</v>
      </c>
      <c r="CD15" s="539">
        <v>8</v>
      </c>
      <c r="CE15" s="539">
        <v>8</v>
      </c>
      <c r="CF15" s="539">
        <v>8</v>
      </c>
      <c r="CG15" s="539">
        <v>8</v>
      </c>
      <c r="CH15" s="539">
        <v>8</v>
      </c>
      <c r="CI15" s="539">
        <v>8</v>
      </c>
      <c r="CJ15" s="539">
        <v>8</v>
      </c>
      <c r="CK15" s="539">
        <v>8</v>
      </c>
      <c r="CL15" s="539">
        <v>8</v>
      </c>
      <c r="CM15" s="539">
        <v>8</v>
      </c>
      <c r="CN15" s="539">
        <v>8</v>
      </c>
      <c r="CO15" s="539">
        <v>8</v>
      </c>
      <c r="CP15" s="539">
        <v>8</v>
      </c>
      <c r="CQ15" s="539">
        <v>8</v>
      </c>
      <c r="CR15" s="539">
        <v>8</v>
      </c>
      <c r="CS15" s="539">
        <v>8</v>
      </c>
      <c r="CT15" s="539">
        <v>8</v>
      </c>
      <c r="CU15" s="539">
        <v>8</v>
      </c>
      <c r="CV15" s="539">
        <v>8</v>
      </c>
      <c r="CW15" s="539">
        <v>8</v>
      </c>
      <c r="CX15" s="539">
        <v>8</v>
      </c>
      <c r="CY15" s="539">
        <v>8</v>
      </c>
      <c r="CZ15" s="539">
        <v>8</v>
      </c>
      <c r="DA15" s="539">
        <v>8</v>
      </c>
      <c r="DB15" s="539">
        <v>8</v>
      </c>
      <c r="DC15" s="539">
        <v>8</v>
      </c>
      <c r="DD15" s="539">
        <v>8</v>
      </c>
      <c r="DE15" s="539">
        <v>8</v>
      </c>
      <c r="DF15" s="539">
        <v>8</v>
      </c>
      <c r="DG15" s="539">
        <v>8</v>
      </c>
      <c r="DH15" s="539">
        <v>8</v>
      </c>
      <c r="DI15" s="539">
        <v>8</v>
      </c>
      <c r="DJ15" s="539">
        <v>8</v>
      </c>
      <c r="DK15" s="539">
        <v>8</v>
      </c>
      <c r="DL15" s="539">
        <v>8</v>
      </c>
      <c r="DM15" s="539">
        <v>8</v>
      </c>
      <c r="DN15" s="539">
        <v>8</v>
      </c>
      <c r="DO15" s="539">
        <v>8</v>
      </c>
      <c r="DP15" s="539">
        <v>8</v>
      </c>
      <c r="DQ15" s="539">
        <v>8</v>
      </c>
      <c r="DR15" s="539">
        <v>8</v>
      </c>
      <c r="DS15" s="539">
        <v>8</v>
      </c>
      <c r="DT15" s="539">
        <v>8</v>
      </c>
      <c r="DU15" s="539">
        <v>8</v>
      </c>
      <c r="DV15" s="539">
        <v>8</v>
      </c>
      <c r="DW15" s="539">
        <v>8</v>
      </c>
      <c r="DX15" s="539">
        <v>8</v>
      </c>
      <c r="DY15" s="539">
        <v>8</v>
      </c>
      <c r="DZ15" s="539">
        <v>8</v>
      </c>
      <c r="EA15" s="539">
        <v>8</v>
      </c>
      <c r="EB15" s="539">
        <v>8</v>
      </c>
      <c r="EC15" s="539">
        <v>8</v>
      </c>
      <c r="ED15" s="539">
        <v>8</v>
      </c>
      <c r="EE15" s="539">
        <v>8</v>
      </c>
      <c r="EF15" s="539">
        <v>8</v>
      </c>
      <c r="EG15" s="539">
        <v>8</v>
      </c>
      <c r="EH15" s="539">
        <v>8</v>
      </c>
      <c r="EI15" s="539">
        <v>8</v>
      </c>
      <c r="EJ15" s="539">
        <v>8</v>
      </c>
      <c r="EK15" s="539">
        <v>8</v>
      </c>
      <c r="EL15" s="539">
        <v>8</v>
      </c>
      <c r="EM15" s="539">
        <v>8</v>
      </c>
      <c r="EN15" s="539">
        <v>8</v>
      </c>
      <c r="EO15" s="539">
        <v>8</v>
      </c>
      <c r="EP15" s="539">
        <v>8</v>
      </c>
      <c r="EQ15" s="539">
        <v>8</v>
      </c>
      <c r="ER15" s="539">
        <v>8</v>
      </c>
      <c r="ES15" s="539">
        <v>8</v>
      </c>
      <c r="ET15" s="539">
        <v>8</v>
      </c>
      <c r="EU15" s="539">
        <v>8</v>
      </c>
      <c r="EV15" s="539">
        <v>8</v>
      </c>
      <c r="EW15" s="539">
        <v>8</v>
      </c>
      <c r="EX15" s="539">
        <v>8</v>
      </c>
      <c r="EY15" s="539">
        <v>8</v>
      </c>
      <c r="EZ15" s="539">
        <v>8</v>
      </c>
      <c r="FA15" s="539">
        <v>8</v>
      </c>
      <c r="FB15" s="539">
        <v>8</v>
      </c>
      <c r="FC15" s="539">
        <v>8</v>
      </c>
      <c r="FD15" s="539">
        <v>8</v>
      </c>
      <c r="FE15" s="539">
        <v>8</v>
      </c>
      <c r="FF15" s="539">
        <v>8</v>
      </c>
      <c r="FG15" s="539">
        <v>8</v>
      </c>
      <c r="FH15" s="539">
        <v>8</v>
      </c>
      <c r="FI15" s="539">
        <v>8</v>
      </c>
      <c r="FJ15" s="539">
        <v>8</v>
      </c>
      <c r="FK15" s="539">
        <v>8</v>
      </c>
      <c r="FL15" s="539">
        <v>8</v>
      </c>
      <c r="FM15" s="539">
        <v>8</v>
      </c>
      <c r="FN15" s="539">
        <v>8</v>
      </c>
      <c r="FO15" s="539">
        <v>8</v>
      </c>
      <c r="FP15" s="539">
        <v>8</v>
      </c>
      <c r="FQ15" s="539">
        <v>8</v>
      </c>
      <c r="FR15" s="539">
        <v>8</v>
      </c>
      <c r="FS15" s="539">
        <v>8</v>
      </c>
      <c r="FT15" s="539">
        <v>8</v>
      </c>
      <c r="FU15" s="539">
        <v>8</v>
      </c>
      <c r="FV15" s="539">
        <v>8</v>
      </c>
      <c r="FW15" s="539">
        <v>8</v>
      </c>
      <c r="FX15" s="539">
        <v>8</v>
      </c>
      <c r="FY15" s="539">
        <v>8</v>
      </c>
      <c r="FZ15" s="539">
        <v>8</v>
      </c>
      <c r="GA15" s="539">
        <v>8</v>
      </c>
      <c r="GB15" s="539">
        <v>8</v>
      </c>
      <c r="GC15" s="539">
        <v>8</v>
      </c>
      <c r="GD15" s="539">
        <v>8</v>
      </c>
      <c r="GE15" s="539">
        <v>8</v>
      </c>
      <c r="GF15" s="539">
        <v>8</v>
      </c>
      <c r="GG15" s="539">
        <v>8</v>
      </c>
      <c r="GH15" s="539">
        <v>8</v>
      </c>
      <c r="GI15" s="539">
        <v>8</v>
      </c>
      <c r="GJ15" s="539">
        <v>8</v>
      </c>
      <c r="GK15" s="539">
        <v>8</v>
      </c>
      <c r="GL15" s="539">
        <v>8</v>
      </c>
      <c r="GM15" s="539">
        <v>8</v>
      </c>
      <c r="GN15" s="539">
        <v>8</v>
      </c>
      <c r="GO15" s="539">
        <v>8</v>
      </c>
      <c r="GP15" s="539">
        <v>8</v>
      </c>
      <c r="GQ15" s="539">
        <v>8</v>
      </c>
      <c r="GR15" s="539">
        <v>8</v>
      </c>
      <c r="GS15" s="539">
        <v>8</v>
      </c>
      <c r="GT15" s="539">
        <v>8</v>
      </c>
      <c r="GU15" s="539">
        <v>8</v>
      </c>
      <c r="GV15" s="539">
        <v>8</v>
      </c>
      <c r="GW15" s="539">
        <v>8</v>
      </c>
      <c r="GX15" s="539">
        <v>8</v>
      </c>
      <c r="GY15" s="539">
        <v>8</v>
      </c>
      <c r="GZ15" s="539">
        <v>8</v>
      </c>
      <c r="HA15" s="539">
        <v>8</v>
      </c>
      <c r="HB15" s="539">
        <v>8</v>
      </c>
      <c r="HC15" s="539">
        <v>8</v>
      </c>
      <c r="HD15" s="539">
        <v>8</v>
      </c>
      <c r="HE15" s="539">
        <v>8</v>
      </c>
      <c r="HF15" s="539">
        <v>8</v>
      </c>
      <c r="HG15" s="539">
        <v>8</v>
      </c>
      <c r="HH15" s="539">
        <v>8</v>
      </c>
      <c r="HI15" s="539">
        <v>8</v>
      </c>
      <c r="HJ15" s="539">
        <v>8</v>
      </c>
      <c r="HK15" s="539">
        <v>8</v>
      </c>
      <c r="HL15" s="539">
        <v>8</v>
      </c>
      <c r="HM15" s="539">
        <v>8</v>
      </c>
      <c r="HN15" s="539">
        <v>8</v>
      </c>
      <c r="HO15" s="539">
        <v>8</v>
      </c>
      <c r="HP15" s="539">
        <v>8</v>
      </c>
      <c r="HQ15" s="539">
        <v>8</v>
      </c>
      <c r="HR15" s="539">
        <v>8</v>
      </c>
      <c r="HS15" s="539">
        <v>8</v>
      </c>
      <c r="HT15" s="539">
        <v>8</v>
      </c>
      <c r="HU15" s="539">
        <v>8</v>
      </c>
      <c r="HV15" s="539">
        <v>8</v>
      </c>
      <c r="HW15" s="539">
        <v>8</v>
      </c>
      <c r="HX15" s="539">
        <v>8</v>
      </c>
      <c r="HY15" s="539">
        <v>8</v>
      </c>
      <c r="HZ15" s="539">
        <v>8</v>
      </c>
      <c r="IA15" s="539">
        <v>8</v>
      </c>
      <c r="IB15" s="539">
        <v>8</v>
      </c>
      <c r="IC15" s="539">
        <v>8</v>
      </c>
      <c r="ID15" s="539">
        <v>8</v>
      </c>
      <c r="IE15" s="539">
        <v>8</v>
      </c>
      <c r="IF15" s="539">
        <v>8</v>
      </c>
      <c r="IG15" s="539">
        <v>8</v>
      </c>
      <c r="IH15" s="539">
        <v>8</v>
      </c>
      <c r="II15" s="539">
        <v>8</v>
      </c>
      <c r="IJ15" s="539">
        <v>8</v>
      </c>
      <c r="IK15" s="539">
        <v>8</v>
      </c>
      <c r="IL15" s="539">
        <v>8</v>
      </c>
      <c r="IM15" s="539">
        <v>8</v>
      </c>
      <c r="IN15" s="539">
        <v>8</v>
      </c>
      <c r="IO15" s="539">
        <v>8</v>
      </c>
      <c r="IP15" s="539">
        <v>8</v>
      </c>
      <c r="IQ15" s="539">
        <v>8</v>
      </c>
      <c r="IR15" s="539">
        <v>8</v>
      </c>
      <c r="IS15" s="539">
        <v>8</v>
      </c>
      <c r="IT15" s="539">
        <v>8</v>
      </c>
      <c r="IU15" s="539">
        <v>8</v>
      </c>
      <c r="IV15" s="539">
        <v>8</v>
      </c>
      <c r="IW15" s="53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2" width="9.140625" style="1030" hidden="1"/>
    <col min="3" max="3" width="3.7109375" style="1030" hidden="1" customWidth="1"/>
    <col min="4" max="4" width="3" style="1030" customWidth="1"/>
    <col min="5" max="5" width="6" style="1030" customWidth="1"/>
    <col min="6" max="6" width="27" style="1030" customWidth="1"/>
    <col min="7" max="7" width="16" style="1030" customWidth="1"/>
    <col min="8" max="8" width="12" style="1030" customWidth="1"/>
    <col min="9" max="9" width="32" style="1030" customWidth="1"/>
    <col min="10" max="11" width="41" style="1030" customWidth="1"/>
    <col min="12" max="12" width="89" style="1030" customWidth="1"/>
    <col min="13" max="13" width="3" style="1030" customWidth="1"/>
    <col min="14" max="16" width="8" style="1030" customWidth="1"/>
    <col min="17" max="17" width="25" style="1030" customWidth="1"/>
    <col min="18" max="18" width="14" style="1030" customWidth="1"/>
    <col min="19" max="256" width="8" style="1030" customWidth="1"/>
    <col min="257" max="257" width="9.140625" style="1030" hidden="1"/>
  </cols>
  <sheetData>
    <row r="1" spans="1:257" ht="22.5" hidden="1" customHeight="1">
      <c r="IW1" s="539" t="s">
        <v>14</v>
      </c>
    </row>
    <row r="2" spans="1:257" ht="22.5" hidden="1" customHeight="1">
      <c r="B2" s="556">
        <v>1</v>
      </c>
      <c r="D2" s="732" t="s">
        <v>103</v>
      </c>
      <c r="E2" s="584"/>
      <c r="F2" s="829" t="str">
        <f>IF(ROIV_INFO_NAME="","",ROIV_INFO_NAME)</f>
        <v>АО "НИЖЕГОРОДСКИЙ ВОДОКАНАЛ"</v>
      </c>
      <c r="G2" s="8" t="s">
        <v>22</v>
      </c>
      <c r="H2" s="498"/>
      <c r="I2" s="493"/>
      <c r="J2" s="308"/>
      <c r="K2" s="308"/>
      <c r="M2" s="983" t="e">
        <f ca="1">MERGEVALUE(F2)</f>
        <v>#NAME?</v>
      </c>
      <c r="P2" s="583" t="str">
        <f t="array" ref="P2">IF(ISERROR(MATCH(MID(Q2,1,250),MID(note_ter,1,250),0)),"n","y")</f>
        <v>n</v>
      </c>
      <c r="R2" s="583" t="str">
        <f>G2&amp;"("&amp;L2&amp;")"</f>
        <v>()</v>
      </c>
      <c r="IW2" s="41">
        <v>0</v>
      </c>
    </row>
    <row r="3" spans="1:257" ht="5.25" hidden="1" customHeight="1">
      <c r="F3" s="575" t="s">
        <v>82</v>
      </c>
      <c r="G3" s="499" t="s">
        <v>83</v>
      </c>
      <c r="L3" s="577" t="s">
        <v>84</v>
      </c>
      <c r="M3" s="575" t="s">
        <v>82</v>
      </c>
      <c r="IW3" s="578">
        <v>0</v>
      </c>
    </row>
    <row r="4" spans="1:257" ht="14.65" customHeight="1">
      <c r="IW4" s="580">
        <v>14</v>
      </c>
    </row>
    <row r="5" spans="1:257" ht="27.4" customHeight="1">
      <c r="E5" s="105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055"/>
      <c r="G5" s="1055"/>
      <c r="H5" s="1055"/>
      <c r="I5" s="1055"/>
      <c r="J5" s="1055"/>
      <c r="K5" s="1055"/>
      <c r="IW5" s="580">
        <v>26</v>
      </c>
    </row>
    <row r="6" spans="1:257" ht="14.65" customHeight="1">
      <c r="IW6" s="580">
        <v>14</v>
      </c>
    </row>
    <row r="7" spans="1:257" ht="14.65" customHeight="1">
      <c r="E7" s="1051" t="s">
        <v>308</v>
      </c>
      <c r="F7" s="1056"/>
      <c r="G7" s="1056"/>
      <c r="H7" s="1056"/>
      <c r="I7" s="1056"/>
      <c r="J7" s="1056"/>
      <c r="K7" s="1056"/>
      <c r="L7" s="1408" t="s">
        <v>309</v>
      </c>
      <c r="IW7" s="580">
        <v>14</v>
      </c>
    </row>
    <row r="8" spans="1:257" ht="67.150000000000006" customHeight="1">
      <c r="E8" s="1412" t="s">
        <v>87</v>
      </c>
      <c r="F8" s="1412" t="s">
        <v>2018</v>
      </c>
      <c r="G8" s="1414" t="s">
        <v>2019</v>
      </c>
      <c r="H8" s="1415"/>
      <c r="I8" s="1416"/>
      <c r="J8" s="1412" t="s">
        <v>2020</v>
      </c>
      <c r="K8" s="14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10"/>
      <c r="IW8" s="580">
        <v>64</v>
      </c>
    </row>
    <row r="9" spans="1:257" ht="29.25" customHeight="1">
      <c r="E9" s="1413"/>
      <c r="F9" s="1413"/>
      <c r="G9" s="500" t="s">
        <v>2014</v>
      </c>
      <c r="H9" s="500" t="s">
        <v>2015</v>
      </c>
      <c r="I9" s="500" t="s">
        <v>2016</v>
      </c>
      <c r="J9" s="1413"/>
      <c r="K9" s="1413"/>
      <c r="L9" s="1409"/>
      <c r="IW9" s="580">
        <v>28</v>
      </c>
    </row>
    <row r="10" spans="1:257" ht="1.1499999999999999" customHeight="1">
      <c r="A10" s="1038"/>
      <c r="B10" s="556">
        <v>1</v>
      </c>
      <c r="D10" s="586"/>
      <c r="E10" s="588">
        <v>0</v>
      </c>
      <c r="F10" s="672" t="str">
        <f>IF(ROIV_INFO_NAME="","",ROIV_INFO_NAME)</f>
        <v>АО "НИЖЕГОРОДСКИЙ ВОДОКАНАЛ"</v>
      </c>
      <c r="G10" s="15" t="s">
        <v>22</v>
      </c>
      <c r="H10" s="502"/>
      <c r="I10" s="502"/>
      <c r="J10" s="439"/>
      <c r="K10" s="439"/>
      <c r="L10" s="13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983" t="e">
        <f ca="1">MERGEVALUE(F10)</f>
        <v>#NAME?</v>
      </c>
      <c r="P10" s="583" t="str">
        <f t="array" ref="P10">IF(ISERROR(MATCH(MID(Q10,1,250),MID(note_ter,1,250),0)),"n","y")</f>
        <v>n</v>
      </c>
      <c r="R10" s="58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IW10" s="41">
        <v>1</v>
      </c>
    </row>
    <row r="11" spans="1:257" ht="15.75" customHeight="1">
      <c r="A11" s="1038"/>
      <c r="E11" s="42"/>
      <c r="F11" s="49" t="s">
        <v>2017</v>
      </c>
      <c r="G11" s="45"/>
      <c r="H11" s="45"/>
      <c r="I11" s="45"/>
      <c r="J11" s="45"/>
      <c r="K11" s="46"/>
      <c r="L11" s="1411"/>
      <c r="IW11" s="41">
        <v>15</v>
      </c>
    </row>
    <row r="12" spans="1:257" ht="21.95" customHeight="1">
      <c r="E12" s="589"/>
      <c r="F12" s="589"/>
      <c r="G12" s="589"/>
      <c r="H12" s="589"/>
      <c r="I12" s="589"/>
      <c r="J12" s="589"/>
      <c r="K12" s="589"/>
      <c r="L12" s="589"/>
      <c r="IW12" s="580">
        <v>21</v>
      </c>
    </row>
    <row r="13" spans="1:257" ht="14.65" customHeight="1">
      <c r="IW13" s="580">
        <v>14</v>
      </c>
    </row>
    <row r="14" spans="1:257" ht="1.1499999999999999" customHeight="1">
      <c r="IW14" s="580">
        <v>1</v>
      </c>
    </row>
    <row r="15" spans="1:257" ht="22.5" hidden="1" customHeight="1">
      <c r="A15" s="539" t="s">
        <v>81</v>
      </c>
      <c r="B15" s="556">
        <v>0</v>
      </c>
      <c r="C15" s="539">
        <v>0</v>
      </c>
      <c r="D15" s="591">
        <v>3</v>
      </c>
      <c r="E15" s="539">
        <v>6</v>
      </c>
      <c r="F15" s="539">
        <v>27</v>
      </c>
      <c r="G15" s="539">
        <v>16</v>
      </c>
      <c r="H15" s="539">
        <v>12</v>
      </c>
      <c r="I15" s="539">
        <v>32</v>
      </c>
      <c r="J15" s="539">
        <v>41</v>
      </c>
      <c r="K15" s="539">
        <v>41</v>
      </c>
      <c r="L15" s="539">
        <v>89</v>
      </c>
      <c r="M15" s="583">
        <v>3</v>
      </c>
      <c r="N15" s="583">
        <v>8</v>
      </c>
      <c r="O15" s="583">
        <v>8</v>
      </c>
      <c r="P15" s="583">
        <v>8</v>
      </c>
      <c r="Q15" s="583">
        <v>25</v>
      </c>
      <c r="R15" s="583">
        <v>14</v>
      </c>
      <c r="S15" s="592">
        <v>8</v>
      </c>
      <c r="T15" s="592">
        <v>8</v>
      </c>
      <c r="U15" s="592">
        <v>8</v>
      </c>
      <c r="V15" s="592">
        <v>8</v>
      </c>
      <c r="W15" s="539">
        <v>8</v>
      </c>
      <c r="X15" s="539">
        <v>8</v>
      </c>
      <c r="Y15" s="539">
        <v>8</v>
      </c>
      <c r="Z15" s="539">
        <v>8</v>
      </c>
      <c r="AA15" s="539">
        <v>8</v>
      </c>
      <c r="AB15" s="539">
        <v>8</v>
      </c>
      <c r="AC15" s="539">
        <v>8</v>
      </c>
      <c r="AD15" s="539">
        <v>8</v>
      </c>
      <c r="AE15" s="539">
        <v>8</v>
      </c>
      <c r="AF15" s="539">
        <v>8</v>
      </c>
      <c r="AG15" s="539">
        <v>8</v>
      </c>
      <c r="AH15" s="539">
        <v>8</v>
      </c>
      <c r="AI15" s="539">
        <v>8</v>
      </c>
      <c r="AJ15" s="539">
        <v>8</v>
      </c>
      <c r="AK15" s="539">
        <v>8</v>
      </c>
      <c r="AL15" s="539">
        <v>8</v>
      </c>
      <c r="AM15" s="539">
        <v>8</v>
      </c>
      <c r="AN15" s="539">
        <v>8</v>
      </c>
      <c r="AO15" s="539">
        <v>8</v>
      </c>
      <c r="AP15" s="539">
        <v>8</v>
      </c>
      <c r="AQ15" s="539">
        <v>8</v>
      </c>
      <c r="AR15" s="539">
        <v>8</v>
      </c>
      <c r="AS15" s="539">
        <v>8</v>
      </c>
      <c r="AT15" s="539">
        <v>8</v>
      </c>
      <c r="AU15" s="539">
        <v>8</v>
      </c>
      <c r="AV15" s="539">
        <v>8</v>
      </c>
      <c r="AW15" s="539">
        <v>8</v>
      </c>
      <c r="AX15" s="539">
        <v>8</v>
      </c>
      <c r="AY15" s="539">
        <v>8</v>
      </c>
      <c r="AZ15" s="539">
        <v>8</v>
      </c>
      <c r="BA15" s="539">
        <v>8</v>
      </c>
      <c r="BB15" s="539">
        <v>8</v>
      </c>
      <c r="BC15" s="539">
        <v>8</v>
      </c>
      <c r="BD15" s="539">
        <v>8</v>
      </c>
      <c r="BE15" s="539">
        <v>8</v>
      </c>
      <c r="BF15" s="539">
        <v>8</v>
      </c>
      <c r="BG15" s="539">
        <v>8</v>
      </c>
      <c r="BH15" s="539">
        <v>8</v>
      </c>
      <c r="BI15" s="539">
        <v>8</v>
      </c>
      <c r="BJ15" s="539">
        <v>8</v>
      </c>
      <c r="BK15" s="539">
        <v>8</v>
      </c>
      <c r="BL15" s="539">
        <v>8</v>
      </c>
      <c r="BM15" s="539">
        <v>8</v>
      </c>
      <c r="BN15" s="539">
        <v>8</v>
      </c>
      <c r="BO15" s="539">
        <v>8</v>
      </c>
      <c r="BP15" s="539">
        <v>8</v>
      </c>
      <c r="BQ15" s="539">
        <v>8</v>
      </c>
      <c r="BR15" s="539">
        <v>8</v>
      </c>
      <c r="BS15" s="539">
        <v>8</v>
      </c>
      <c r="BT15" s="539">
        <v>8</v>
      </c>
      <c r="BU15" s="539">
        <v>8</v>
      </c>
      <c r="BV15" s="539">
        <v>8</v>
      </c>
      <c r="BW15" s="539">
        <v>8</v>
      </c>
      <c r="BX15" s="539">
        <v>8</v>
      </c>
      <c r="BY15" s="539">
        <v>8</v>
      </c>
      <c r="BZ15" s="539">
        <v>8</v>
      </c>
      <c r="CA15" s="539">
        <v>8</v>
      </c>
      <c r="CB15" s="539">
        <v>8</v>
      </c>
      <c r="CC15" s="539">
        <v>8</v>
      </c>
      <c r="CD15" s="539">
        <v>8</v>
      </c>
      <c r="CE15" s="539">
        <v>8</v>
      </c>
      <c r="CF15" s="539">
        <v>8</v>
      </c>
      <c r="CG15" s="539">
        <v>8</v>
      </c>
      <c r="CH15" s="539">
        <v>8</v>
      </c>
      <c r="CI15" s="539">
        <v>8</v>
      </c>
      <c r="CJ15" s="539">
        <v>8</v>
      </c>
      <c r="CK15" s="539">
        <v>8</v>
      </c>
      <c r="CL15" s="539">
        <v>8</v>
      </c>
      <c r="CM15" s="539">
        <v>8</v>
      </c>
      <c r="CN15" s="539">
        <v>8</v>
      </c>
      <c r="CO15" s="539">
        <v>8</v>
      </c>
      <c r="CP15" s="539">
        <v>8</v>
      </c>
      <c r="CQ15" s="539">
        <v>8</v>
      </c>
      <c r="CR15" s="539">
        <v>8</v>
      </c>
      <c r="CS15" s="539">
        <v>8</v>
      </c>
      <c r="CT15" s="539">
        <v>8</v>
      </c>
      <c r="CU15" s="539">
        <v>8</v>
      </c>
      <c r="CV15" s="539">
        <v>8</v>
      </c>
      <c r="CW15" s="539">
        <v>8</v>
      </c>
      <c r="CX15" s="539">
        <v>8</v>
      </c>
      <c r="CY15" s="539">
        <v>8</v>
      </c>
      <c r="CZ15" s="539">
        <v>8</v>
      </c>
      <c r="DA15" s="539">
        <v>8</v>
      </c>
      <c r="DB15" s="539">
        <v>8</v>
      </c>
      <c r="DC15" s="539">
        <v>8</v>
      </c>
      <c r="DD15" s="539">
        <v>8</v>
      </c>
      <c r="DE15" s="539">
        <v>8</v>
      </c>
      <c r="DF15" s="539">
        <v>8</v>
      </c>
      <c r="DG15" s="539">
        <v>8</v>
      </c>
      <c r="DH15" s="539">
        <v>8</v>
      </c>
      <c r="DI15" s="539">
        <v>8</v>
      </c>
      <c r="DJ15" s="539">
        <v>8</v>
      </c>
      <c r="DK15" s="539">
        <v>8</v>
      </c>
      <c r="DL15" s="539">
        <v>8</v>
      </c>
      <c r="DM15" s="539">
        <v>8</v>
      </c>
      <c r="DN15" s="539">
        <v>8</v>
      </c>
      <c r="DO15" s="539">
        <v>8</v>
      </c>
      <c r="DP15" s="539">
        <v>8</v>
      </c>
      <c r="DQ15" s="539">
        <v>8</v>
      </c>
      <c r="DR15" s="539">
        <v>8</v>
      </c>
      <c r="DS15" s="539">
        <v>8</v>
      </c>
      <c r="DT15" s="539">
        <v>8</v>
      </c>
      <c r="DU15" s="539">
        <v>8</v>
      </c>
      <c r="DV15" s="539">
        <v>8</v>
      </c>
      <c r="DW15" s="539">
        <v>8</v>
      </c>
      <c r="DX15" s="539">
        <v>8</v>
      </c>
      <c r="DY15" s="539">
        <v>8</v>
      </c>
      <c r="DZ15" s="539">
        <v>8</v>
      </c>
      <c r="EA15" s="539">
        <v>8</v>
      </c>
      <c r="EB15" s="539">
        <v>8</v>
      </c>
      <c r="EC15" s="539">
        <v>8</v>
      </c>
      <c r="ED15" s="539">
        <v>8</v>
      </c>
      <c r="EE15" s="539">
        <v>8</v>
      </c>
      <c r="EF15" s="539">
        <v>8</v>
      </c>
      <c r="EG15" s="539">
        <v>8</v>
      </c>
      <c r="EH15" s="539">
        <v>8</v>
      </c>
      <c r="EI15" s="539">
        <v>8</v>
      </c>
      <c r="EJ15" s="539">
        <v>8</v>
      </c>
      <c r="EK15" s="539">
        <v>8</v>
      </c>
      <c r="EL15" s="539">
        <v>8</v>
      </c>
      <c r="EM15" s="539">
        <v>8</v>
      </c>
      <c r="EN15" s="539">
        <v>8</v>
      </c>
      <c r="EO15" s="539">
        <v>8</v>
      </c>
      <c r="EP15" s="539">
        <v>8</v>
      </c>
      <c r="EQ15" s="539">
        <v>8</v>
      </c>
      <c r="ER15" s="539">
        <v>8</v>
      </c>
      <c r="ES15" s="539">
        <v>8</v>
      </c>
      <c r="ET15" s="539">
        <v>8</v>
      </c>
      <c r="EU15" s="539">
        <v>8</v>
      </c>
      <c r="EV15" s="539">
        <v>8</v>
      </c>
      <c r="EW15" s="539">
        <v>8</v>
      </c>
      <c r="EX15" s="539">
        <v>8</v>
      </c>
      <c r="EY15" s="539">
        <v>8</v>
      </c>
      <c r="EZ15" s="539">
        <v>8</v>
      </c>
      <c r="FA15" s="539">
        <v>8</v>
      </c>
      <c r="FB15" s="539">
        <v>8</v>
      </c>
      <c r="FC15" s="539">
        <v>8</v>
      </c>
      <c r="FD15" s="539">
        <v>8</v>
      </c>
      <c r="FE15" s="539">
        <v>8</v>
      </c>
      <c r="FF15" s="539">
        <v>8</v>
      </c>
      <c r="FG15" s="539">
        <v>8</v>
      </c>
      <c r="FH15" s="539">
        <v>8</v>
      </c>
      <c r="FI15" s="539">
        <v>8</v>
      </c>
      <c r="FJ15" s="539">
        <v>8</v>
      </c>
      <c r="FK15" s="539">
        <v>8</v>
      </c>
      <c r="FL15" s="539">
        <v>8</v>
      </c>
      <c r="FM15" s="539">
        <v>8</v>
      </c>
      <c r="FN15" s="539">
        <v>8</v>
      </c>
      <c r="FO15" s="539">
        <v>8</v>
      </c>
      <c r="FP15" s="539">
        <v>8</v>
      </c>
      <c r="FQ15" s="539">
        <v>8</v>
      </c>
      <c r="FR15" s="539">
        <v>8</v>
      </c>
      <c r="FS15" s="539">
        <v>8</v>
      </c>
      <c r="FT15" s="539">
        <v>8</v>
      </c>
      <c r="FU15" s="539">
        <v>8</v>
      </c>
      <c r="FV15" s="539">
        <v>8</v>
      </c>
      <c r="FW15" s="539">
        <v>8</v>
      </c>
      <c r="FX15" s="539">
        <v>8</v>
      </c>
      <c r="FY15" s="539">
        <v>8</v>
      </c>
      <c r="FZ15" s="539">
        <v>8</v>
      </c>
      <c r="GA15" s="539">
        <v>8</v>
      </c>
      <c r="GB15" s="539">
        <v>8</v>
      </c>
      <c r="GC15" s="539">
        <v>8</v>
      </c>
      <c r="GD15" s="539">
        <v>8</v>
      </c>
      <c r="GE15" s="539">
        <v>8</v>
      </c>
      <c r="GF15" s="539">
        <v>8</v>
      </c>
      <c r="GG15" s="539">
        <v>8</v>
      </c>
      <c r="GH15" s="539">
        <v>8</v>
      </c>
      <c r="GI15" s="539">
        <v>8</v>
      </c>
      <c r="GJ15" s="539">
        <v>8</v>
      </c>
      <c r="GK15" s="539">
        <v>8</v>
      </c>
      <c r="GL15" s="539">
        <v>8</v>
      </c>
      <c r="GM15" s="539">
        <v>8</v>
      </c>
      <c r="GN15" s="539">
        <v>8</v>
      </c>
      <c r="GO15" s="539">
        <v>8</v>
      </c>
      <c r="GP15" s="539">
        <v>8</v>
      </c>
      <c r="GQ15" s="539">
        <v>8</v>
      </c>
      <c r="GR15" s="539">
        <v>8</v>
      </c>
      <c r="GS15" s="539">
        <v>8</v>
      </c>
      <c r="GT15" s="539">
        <v>8</v>
      </c>
      <c r="GU15" s="539">
        <v>8</v>
      </c>
      <c r="GV15" s="539">
        <v>8</v>
      </c>
      <c r="GW15" s="539">
        <v>8</v>
      </c>
      <c r="GX15" s="539">
        <v>8</v>
      </c>
      <c r="GY15" s="539">
        <v>8</v>
      </c>
      <c r="GZ15" s="539">
        <v>8</v>
      </c>
      <c r="HA15" s="539">
        <v>8</v>
      </c>
      <c r="HB15" s="539">
        <v>8</v>
      </c>
      <c r="HC15" s="539">
        <v>8</v>
      </c>
      <c r="HD15" s="539">
        <v>8</v>
      </c>
      <c r="HE15" s="539">
        <v>8</v>
      </c>
      <c r="HF15" s="539">
        <v>8</v>
      </c>
      <c r="HG15" s="539">
        <v>8</v>
      </c>
      <c r="HH15" s="539">
        <v>8</v>
      </c>
      <c r="HI15" s="539">
        <v>8</v>
      </c>
      <c r="HJ15" s="539">
        <v>8</v>
      </c>
      <c r="HK15" s="539">
        <v>8</v>
      </c>
      <c r="HL15" s="539">
        <v>8</v>
      </c>
      <c r="HM15" s="539">
        <v>8</v>
      </c>
      <c r="HN15" s="539">
        <v>8</v>
      </c>
      <c r="HO15" s="539">
        <v>8</v>
      </c>
      <c r="HP15" s="539">
        <v>8</v>
      </c>
      <c r="HQ15" s="539">
        <v>8</v>
      </c>
      <c r="HR15" s="539">
        <v>8</v>
      </c>
      <c r="HS15" s="539">
        <v>8</v>
      </c>
      <c r="HT15" s="539">
        <v>8</v>
      </c>
      <c r="HU15" s="539">
        <v>8</v>
      </c>
      <c r="HV15" s="539">
        <v>8</v>
      </c>
      <c r="HW15" s="539">
        <v>8</v>
      </c>
      <c r="HX15" s="539">
        <v>8</v>
      </c>
      <c r="HY15" s="539">
        <v>8</v>
      </c>
      <c r="HZ15" s="539">
        <v>8</v>
      </c>
      <c r="IA15" s="539">
        <v>8</v>
      </c>
      <c r="IB15" s="539">
        <v>8</v>
      </c>
      <c r="IC15" s="539">
        <v>8</v>
      </c>
      <c r="ID15" s="539">
        <v>8</v>
      </c>
      <c r="IE15" s="539">
        <v>8</v>
      </c>
      <c r="IF15" s="539">
        <v>8</v>
      </c>
      <c r="IG15" s="539">
        <v>8</v>
      </c>
      <c r="IH15" s="539">
        <v>8</v>
      </c>
      <c r="II15" s="539">
        <v>8</v>
      </c>
      <c r="IJ15" s="539">
        <v>8</v>
      </c>
      <c r="IK15" s="539">
        <v>8</v>
      </c>
      <c r="IL15" s="539">
        <v>8</v>
      </c>
      <c r="IM15" s="539">
        <v>8</v>
      </c>
      <c r="IN15" s="539">
        <v>8</v>
      </c>
      <c r="IO15" s="539">
        <v>8</v>
      </c>
      <c r="IP15" s="539">
        <v>8</v>
      </c>
      <c r="IQ15" s="539">
        <v>8</v>
      </c>
      <c r="IR15" s="539">
        <v>8</v>
      </c>
      <c r="IS15" s="539">
        <v>8</v>
      </c>
      <c r="IT15" s="539">
        <v>8</v>
      </c>
      <c r="IU15" s="539">
        <v>8</v>
      </c>
      <c r="IV15" s="539">
        <v>8</v>
      </c>
      <c r="IW15" s="53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2" width="9.140625" style="1030" hidden="1"/>
    <col min="3" max="3" width="3.7109375" style="1030" hidden="1" customWidth="1"/>
    <col min="4" max="4" width="3" style="1030" customWidth="1"/>
    <col min="5" max="5" width="6" style="1030" customWidth="1"/>
    <col min="6" max="6" width="27" style="1030" customWidth="1"/>
    <col min="7" max="7" width="29" style="1030" customWidth="1"/>
    <col min="8" max="8" width="25" style="1030" customWidth="1"/>
    <col min="9" max="9" width="5" style="1030" customWidth="1"/>
    <col min="10" max="10" width="6" style="1030" customWidth="1"/>
    <col min="11" max="11" width="41" style="1030" customWidth="1"/>
    <col min="12" max="12" width="42" style="1030" customWidth="1"/>
    <col min="13" max="13" width="41" style="1030" customWidth="1"/>
    <col min="14" max="14" width="89" style="1030" customWidth="1"/>
    <col min="15" max="15" width="3" style="1030" customWidth="1"/>
    <col min="16" max="16" width="8" style="1030" customWidth="1"/>
    <col min="17" max="17" width="9.140625" style="1030" hidden="1"/>
  </cols>
  <sheetData>
    <row r="1" spans="1:17" ht="22.5" hidden="1" customHeight="1">
      <c r="Q1" s="539" t="s">
        <v>14</v>
      </c>
    </row>
    <row r="2" spans="1:17" ht="22.5" hidden="1" customHeight="1">
      <c r="B2" s="556">
        <v>1</v>
      </c>
      <c r="D2" s="732" t="s">
        <v>103</v>
      </c>
      <c r="E2" s="1070">
        <v>1</v>
      </c>
      <c r="F2" s="1231" t="str">
        <f>IF(region_name="","",region_name)</f>
        <v>Нижегородская область</v>
      </c>
      <c r="G2" s="1425"/>
      <c r="H2" s="1426"/>
      <c r="I2" s="639"/>
      <c r="J2" s="544">
        <v>1</v>
      </c>
      <c r="K2" s="123"/>
      <c r="L2" s="123"/>
      <c r="M2" s="123"/>
      <c r="N2" s="645"/>
      <c r="Q2" s="41">
        <v>0</v>
      </c>
    </row>
    <row r="3" spans="1:17" ht="22.5" hidden="1" customHeight="1">
      <c r="E3" s="1070"/>
      <c r="F3" s="1231"/>
      <c r="G3" s="1425"/>
      <c r="H3" s="1363"/>
      <c r="I3" s="42"/>
      <c r="J3" s="304"/>
      <c r="K3" s="304" t="s">
        <v>2021</v>
      </c>
      <c r="L3" s="503"/>
      <c r="M3" s="504"/>
      <c r="N3" s="985"/>
      <c r="Q3" s="41">
        <v>0</v>
      </c>
    </row>
    <row r="4" spans="1:17" ht="5.25" hidden="1" customHeight="1">
      <c r="F4" s="575" t="s">
        <v>82</v>
      </c>
      <c r="G4" s="576" t="s">
        <v>83</v>
      </c>
      <c r="J4" s="986"/>
      <c r="O4" s="575" t="s">
        <v>82</v>
      </c>
      <c r="Q4" s="578">
        <v>0</v>
      </c>
    </row>
    <row r="5" spans="1:17" ht="22.5" hidden="1" customHeight="1">
      <c r="B5" s="556">
        <v>1</v>
      </c>
      <c r="E5" s="985"/>
      <c r="F5" s="985"/>
      <c r="G5" s="985"/>
      <c r="H5" s="987"/>
      <c r="I5" s="753" t="s">
        <v>103</v>
      </c>
      <c r="J5" s="581">
        <v>1</v>
      </c>
      <c r="K5" s="123"/>
      <c r="L5" s="123"/>
      <c r="M5" s="123"/>
      <c r="N5" s="645"/>
      <c r="Q5" s="41">
        <v>0</v>
      </c>
    </row>
    <row r="6" spans="1:17" ht="14.65" customHeight="1">
      <c r="Q6" s="580">
        <v>14</v>
      </c>
    </row>
    <row r="7" spans="1:17" ht="27.4" customHeight="1">
      <c r="E7" s="141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19"/>
      <c r="G7" s="1419"/>
      <c r="H7" s="1419"/>
      <c r="I7" s="1419"/>
      <c r="J7" s="1419"/>
      <c r="K7" s="1419"/>
      <c r="L7" s="1419"/>
      <c r="M7" s="1419"/>
      <c r="Q7" s="580">
        <v>26</v>
      </c>
    </row>
    <row r="8" spans="1:17" ht="14.65" customHeight="1">
      <c r="Q8" s="580">
        <v>14</v>
      </c>
    </row>
    <row r="9" spans="1:17" ht="14.25" hidden="1" customHeight="1">
      <c r="E9" s="505"/>
      <c r="F9" s="505"/>
      <c r="G9" s="505"/>
      <c r="H9" s="505"/>
      <c r="I9" s="1422"/>
      <c r="J9" s="1422"/>
      <c r="K9" s="1422"/>
      <c r="L9" s="505"/>
      <c r="M9" s="506"/>
      <c r="Q9" s="988">
        <v>0</v>
      </c>
    </row>
    <row r="10" spans="1:17" ht="14.65" customHeight="1">
      <c r="E10" s="1070" t="s">
        <v>308</v>
      </c>
      <c r="F10" s="1070"/>
      <c r="G10" s="1070"/>
      <c r="H10" s="1070"/>
      <c r="I10" s="1070"/>
      <c r="J10" s="1070"/>
      <c r="K10" s="1070"/>
      <c r="L10" s="1070"/>
      <c r="M10" s="1051"/>
      <c r="N10" s="1412" t="s">
        <v>309</v>
      </c>
      <c r="Q10" s="580">
        <v>14</v>
      </c>
    </row>
    <row r="11" spans="1:17" ht="44.25" customHeight="1">
      <c r="E11" s="1421" t="s">
        <v>87</v>
      </c>
      <c r="F11" s="1421" t="s">
        <v>312</v>
      </c>
      <c r="G11" s="1421" t="s">
        <v>2022</v>
      </c>
      <c r="H11" s="1421"/>
      <c r="I11" s="1421" t="s">
        <v>2023</v>
      </c>
      <c r="J11" s="1421"/>
      <c r="K11" s="1421"/>
      <c r="L11" s="1421" t="s">
        <v>2024</v>
      </c>
      <c r="M11" s="1414" t="s">
        <v>2025</v>
      </c>
      <c r="N11" s="1420"/>
      <c r="Q11" s="580">
        <v>42</v>
      </c>
    </row>
    <row r="12" spans="1:17" ht="29.25" customHeight="1">
      <c r="E12" s="1412"/>
      <c r="F12" s="1421"/>
      <c r="G12" s="30" t="s">
        <v>2026</v>
      </c>
      <c r="H12" s="30" t="s">
        <v>316</v>
      </c>
      <c r="I12" s="1421"/>
      <c r="J12" s="1421"/>
      <c r="K12" s="1421"/>
      <c r="L12" s="1421"/>
      <c r="M12" s="1414"/>
      <c r="N12" s="1413"/>
      <c r="Q12" s="580">
        <v>28</v>
      </c>
    </row>
    <row r="13" spans="1:17" ht="23.25" customHeight="1">
      <c r="A13" s="1054">
        <v>26379339</v>
      </c>
      <c r="B13" s="556">
        <v>1</v>
      </c>
      <c r="E13" s="1070">
        <v>1</v>
      </c>
      <c r="F13" s="1427" t="str">
        <f>IF(region_name="","",region_name)</f>
        <v>Нижегородская область</v>
      </c>
      <c r="G13" s="1428"/>
      <c r="H13" s="1423"/>
      <c r="I13" s="639"/>
      <c r="J13" s="587">
        <v>1</v>
      </c>
      <c r="K13" s="507"/>
      <c r="L13" s="508"/>
      <c r="M13" s="508"/>
      <c r="N13" s="1417" t="s">
        <v>2027</v>
      </c>
      <c r="Q13" s="41">
        <v>22</v>
      </c>
    </row>
    <row r="14" spans="1:17" ht="23.25" customHeight="1">
      <c r="A14" s="1038"/>
      <c r="E14" s="1070"/>
      <c r="F14" s="1427"/>
      <c r="G14" s="1428"/>
      <c r="H14" s="1424"/>
      <c r="I14" s="42"/>
      <c r="J14" s="304"/>
      <c r="K14" s="304" t="s">
        <v>2021</v>
      </c>
      <c r="L14" s="503"/>
      <c r="M14" s="503"/>
      <c r="N14" s="1418"/>
      <c r="Q14" s="41">
        <v>22</v>
      </c>
    </row>
    <row r="15" spans="1:17" ht="23.25" customHeight="1">
      <c r="A15" s="1038"/>
      <c r="E15" s="42"/>
      <c r="F15" s="304" t="s">
        <v>2013</v>
      </c>
      <c r="G15" s="495"/>
      <c r="H15" s="495"/>
      <c r="I15" s="45"/>
      <c r="J15" s="45"/>
      <c r="K15" s="45"/>
      <c r="L15" s="45"/>
      <c r="M15" s="45"/>
      <c r="N15" s="1418"/>
      <c r="Q15" s="41">
        <v>22</v>
      </c>
    </row>
    <row r="16" spans="1:17" ht="21.95" customHeight="1">
      <c r="E16" s="589"/>
      <c r="F16" s="589"/>
      <c r="G16" s="589"/>
      <c r="H16" s="589"/>
      <c r="I16" s="589"/>
      <c r="J16" s="589"/>
      <c r="K16" s="589"/>
      <c r="L16" s="589"/>
      <c r="Q16" s="580">
        <v>21</v>
      </c>
    </row>
    <row r="17" spans="1:17" ht="14.65" customHeight="1">
      <c r="Q17" s="580">
        <v>14</v>
      </c>
    </row>
    <row r="18" spans="1:17" ht="1.1499999999999999" customHeight="1">
      <c r="Q18" s="580">
        <v>1</v>
      </c>
    </row>
    <row r="19" spans="1:17" ht="22.5" hidden="1" customHeight="1">
      <c r="A19" s="539" t="s">
        <v>81</v>
      </c>
      <c r="B19" s="556">
        <v>0</v>
      </c>
      <c r="C19" s="539">
        <v>0</v>
      </c>
      <c r="D19" s="591">
        <v>3</v>
      </c>
      <c r="E19" s="539">
        <v>6</v>
      </c>
      <c r="F19" s="539">
        <v>27</v>
      </c>
      <c r="G19" s="539">
        <v>29</v>
      </c>
      <c r="H19" s="539">
        <v>25</v>
      </c>
      <c r="I19" s="539">
        <v>5</v>
      </c>
      <c r="J19" s="539">
        <v>6</v>
      </c>
      <c r="K19" s="539">
        <v>41</v>
      </c>
      <c r="L19" s="539">
        <v>42</v>
      </c>
      <c r="M19" s="539">
        <v>41</v>
      </c>
      <c r="N19" s="539">
        <v>89</v>
      </c>
      <c r="O19" s="583">
        <v>3</v>
      </c>
      <c r="P19" s="583">
        <v>8</v>
      </c>
      <c r="Q19" s="539">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030" hidden="1"/>
    <col min="3" max="3" width="3" style="1030" customWidth="1"/>
    <col min="4" max="4" width="6" style="1030" customWidth="1"/>
    <col min="5" max="5" width="22" style="1030" customWidth="1"/>
    <col min="6" max="6" width="15" style="1030" customWidth="1"/>
    <col min="7" max="7" width="14" style="1030" customWidth="1"/>
    <col min="8" max="8" width="47" style="1030" customWidth="1"/>
    <col min="9" max="9" width="115" style="1030" customWidth="1"/>
    <col min="10" max="10" width="3" style="1030" customWidth="1"/>
    <col min="11" max="12" width="8" style="1030" customWidth="1"/>
    <col min="13" max="13" width="9.140625" style="1030" hidden="1"/>
  </cols>
  <sheetData>
    <row r="1" spans="1:13" ht="14.25" hidden="1" customHeight="1">
      <c r="M1" s="79" t="s">
        <v>14</v>
      </c>
    </row>
    <row r="2" spans="1:13" ht="14.25" hidden="1" customHeight="1">
      <c r="M2" s="79">
        <v>0</v>
      </c>
    </row>
    <row r="3" spans="1:13" ht="14.25" hidden="1" customHeight="1">
      <c r="M3" s="79">
        <v>0</v>
      </c>
    </row>
    <row r="4" spans="1:13" ht="3" customHeight="1">
      <c r="M4" s="79">
        <v>3</v>
      </c>
    </row>
    <row r="5" spans="1:13" ht="31.5" customHeight="1">
      <c r="C5" s="654"/>
      <c r="D5" s="1055" t="s">
        <v>2028</v>
      </c>
      <c r="E5" s="1055"/>
      <c r="F5" s="1055"/>
      <c r="G5" s="1055"/>
      <c r="H5" s="1055"/>
      <c r="M5" s="539">
        <v>30</v>
      </c>
    </row>
    <row r="6" spans="1:13" ht="3" hidden="1" customHeight="1">
      <c r="D6" s="625"/>
      <c r="E6" s="625"/>
      <c r="F6" s="625"/>
      <c r="G6" s="625"/>
      <c r="H6" s="625"/>
      <c r="I6" s="625"/>
      <c r="M6" s="79">
        <v>0</v>
      </c>
    </row>
    <row r="7" spans="1:13" ht="14.65" customHeight="1">
      <c r="D7" s="967"/>
      <c r="E7" s="967"/>
      <c r="F7" s="967"/>
      <c r="G7" s="967"/>
      <c r="H7" s="630"/>
      <c r="I7" s="967"/>
      <c r="J7" s="968"/>
      <c r="M7" s="89">
        <v>14</v>
      </c>
    </row>
    <row r="8" spans="1:13" ht="14.65" customHeight="1">
      <c r="D8" s="1155" t="s">
        <v>308</v>
      </c>
      <c r="E8" s="1155"/>
      <c r="F8" s="1155"/>
      <c r="G8" s="1155"/>
      <c r="H8" s="1155"/>
      <c r="I8" s="1155" t="s">
        <v>309</v>
      </c>
      <c r="M8" s="79">
        <v>14</v>
      </c>
    </row>
    <row r="9" spans="1:13" ht="29.25" customHeight="1">
      <c r="D9" s="1155" t="s">
        <v>87</v>
      </c>
      <c r="E9" s="1155" t="s">
        <v>2029</v>
      </c>
      <c r="F9" s="1155"/>
      <c r="G9" s="1155"/>
      <c r="H9" s="1155"/>
      <c r="I9" s="1155"/>
      <c r="M9" s="79">
        <v>28</v>
      </c>
    </row>
    <row r="10" spans="1:13" ht="24" customHeight="1">
      <c r="D10" s="1155"/>
      <c r="E10" s="633" t="s">
        <v>2030</v>
      </c>
      <c r="F10" s="633" t="s">
        <v>2031</v>
      </c>
      <c r="G10" s="633" t="s">
        <v>2032</v>
      </c>
      <c r="H10" s="633" t="s">
        <v>398</v>
      </c>
      <c r="I10" s="1155"/>
      <c r="M10" s="79">
        <v>23</v>
      </c>
    </row>
    <row r="11" spans="1:13" ht="12" hidden="1" customHeight="1">
      <c r="D11" s="109" t="s">
        <v>114</v>
      </c>
      <c r="E11" s="109" t="s">
        <v>90</v>
      </c>
      <c r="F11" s="109" t="s">
        <v>115</v>
      </c>
      <c r="G11" s="109" t="s">
        <v>91</v>
      </c>
      <c r="H11" s="109" t="s">
        <v>92</v>
      </c>
      <c r="I11" s="109" t="s">
        <v>116</v>
      </c>
      <c r="M11" s="79">
        <v>0</v>
      </c>
    </row>
    <row r="12" spans="1:13" ht="26.25" customHeight="1">
      <c r="A12" s="202" t="s">
        <v>89</v>
      </c>
      <c r="B12" t="s">
        <v>22</v>
      </c>
      <c r="D12" s="55" t="s">
        <v>114</v>
      </c>
      <c r="E12" s="123"/>
      <c r="F12" s="123"/>
      <c r="G12" s="203" t="s">
        <v>22</v>
      </c>
      <c r="H12" s="133"/>
      <c r="I12" s="1113" t="s">
        <v>2033</v>
      </c>
      <c r="M12" s="79">
        <v>25</v>
      </c>
    </row>
    <row r="13" spans="1:13" ht="15.75" customHeight="1">
      <c r="D13" s="761"/>
      <c r="E13" s="49" t="s">
        <v>476</v>
      </c>
      <c r="F13" s="298"/>
      <c r="G13" s="298"/>
      <c r="H13" s="296"/>
      <c r="I13" s="1115"/>
      <c r="M13" s="79">
        <v>15</v>
      </c>
    </row>
    <row r="14" spans="1:13" ht="3" customHeight="1">
      <c r="M14" s="79">
        <v>3</v>
      </c>
    </row>
    <row r="15" spans="1:13" ht="29.25" customHeight="1">
      <c r="E15" s="1429" t="s">
        <v>2034</v>
      </c>
      <c r="F15" s="1038"/>
      <c r="G15" s="1038"/>
      <c r="H15" s="1038"/>
      <c r="M15" s="79">
        <v>28</v>
      </c>
    </row>
    <row r="16" spans="1:13" ht="14.25" hidden="1" customHeight="1">
      <c r="A16" s="89" t="s">
        <v>81</v>
      </c>
      <c r="B16" s="79">
        <v>0</v>
      </c>
      <c r="C16" s="485">
        <v>3</v>
      </c>
      <c r="D16" s="79">
        <v>6</v>
      </c>
      <c r="E16" s="79">
        <v>22</v>
      </c>
      <c r="F16" s="79">
        <v>15</v>
      </c>
      <c r="G16" s="79">
        <v>14</v>
      </c>
      <c r="H16" s="79">
        <v>47</v>
      </c>
      <c r="I16" s="79">
        <v>115</v>
      </c>
      <c r="J16" s="79">
        <v>3</v>
      </c>
      <c r="K16" s="79">
        <v>8</v>
      </c>
      <c r="L16" s="79">
        <v>8</v>
      </c>
      <c r="M16" s="7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030" hidden="1"/>
    <col min="3" max="3" width="3" style="1030" customWidth="1"/>
    <col min="4" max="4" width="6" style="1030" customWidth="1"/>
    <col min="5" max="5" width="94" style="1030" customWidth="1"/>
    <col min="6" max="9" width="8" style="1030" customWidth="1"/>
    <col min="10" max="10" width="9.140625" style="1030" hidden="1"/>
  </cols>
  <sheetData>
    <row r="1" spans="1:10" ht="14.25" hidden="1" customHeight="1">
      <c r="J1" s="969" t="s">
        <v>14</v>
      </c>
    </row>
    <row r="2" spans="1:10" ht="14.25" hidden="1" customHeight="1">
      <c r="J2" s="969">
        <v>0</v>
      </c>
    </row>
    <row r="3" spans="1:10" ht="14.25" hidden="1" customHeight="1">
      <c r="J3" s="969">
        <v>0</v>
      </c>
    </row>
    <row r="4" spans="1:10" ht="14.25" hidden="1" customHeight="1">
      <c r="J4" s="969">
        <v>0</v>
      </c>
    </row>
    <row r="5" spans="1:10" ht="14.25" hidden="1" customHeight="1">
      <c r="J5" s="969">
        <v>0</v>
      </c>
    </row>
    <row r="6" spans="1:10" ht="3" customHeight="1">
      <c r="C6" s="970"/>
      <c r="D6" s="625"/>
      <c r="E6" s="625"/>
      <c r="J6" s="969">
        <v>3</v>
      </c>
    </row>
    <row r="7" spans="1:10" ht="23.25" customHeight="1">
      <c r="C7" s="970"/>
      <c r="D7" s="1430" t="s">
        <v>2035</v>
      </c>
      <c r="E7" s="1431"/>
      <c r="J7" s="969">
        <v>22</v>
      </c>
    </row>
    <row r="8" spans="1:10" ht="3" customHeight="1">
      <c r="C8" s="970"/>
      <c r="D8" s="625"/>
      <c r="E8" s="625"/>
      <c r="J8" s="969">
        <v>3</v>
      </c>
    </row>
    <row r="9" spans="1:10" ht="16.899999999999999" customHeight="1">
      <c r="C9" s="970"/>
      <c r="D9" s="633" t="s">
        <v>87</v>
      </c>
      <c r="E9" s="584" t="s">
        <v>2036</v>
      </c>
      <c r="J9" s="969">
        <v>16</v>
      </c>
    </row>
    <row r="10" spans="1:10" ht="1.1499999999999999" customHeight="1">
      <c r="C10" s="970"/>
      <c r="D10" s="109"/>
      <c r="E10" s="109"/>
      <c r="J10" s="969">
        <v>1</v>
      </c>
    </row>
    <row r="11" spans="1:10" ht="11.25" hidden="1" customHeight="1">
      <c r="C11" s="970"/>
      <c r="D11" s="971">
        <v>0</v>
      </c>
      <c r="E11" s="290"/>
      <c r="J11" s="969">
        <v>0</v>
      </c>
    </row>
    <row r="12" spans="1:10" ht="15.75" customHeight="1">
      <c r="C12" s="654"/>
      <c r="D12" s="746">
        <v>1</v>
      </c>
      <c r="E12" s="123"/>
      <c r="J12" s="969">
        <v>15</v>
      </c>
    </row>
    <row r="13" spans="1:10" ht="12.75" customHeight="1">
      <c r="C13" s="970"/>
      <c r="D13" s="119"/>
      <c r="E13" s="486" t="s">
        <v>2037</v>
      </c>
      <c r="J13" s="969">
        <v>12</v>
      </c>
    </row>
    <row r="14" spans="1:10" ht="3" customHeight="1">
      <c r="J14" s="969">
        <v>3</v>
      </c>
    </row>
    <row r="15" spans="1:10" ht="23.25" customHeight="1">
      <c r="D15" s="1429" t="s">
        <v>2038</v>
      </c>
      <c r="E15" s="1038"/>
      <c r="J15" s="969">
        <v>22</v>
      </c>
    </row>
    <row r="16" spans="1:10" ht="14.25" hidden="1" customHeight="1">
      <c r="A16" s="969" t="s">
        <v>81</v>
      </c>
      <c r="B16" s="969">
        <v>0</v>
      </c>
      <c r="C16" s="972">
        <v>3</v>
      </c>
      <c r="D16" s="969">
        <v>6</v>
      </c>
      <c r="E16" s="969">
        <v>94</v>
      </c>
      <c r="F16" s="969">
        <v>8</v>
      </c>
      <c r="G16" s="969">
        <v>8</v>
      </c>
      <c r="H16" s="969">
        <v>8</v>
      </c>
      <c r="I16" s="969">
        <v>8</v>
      </c>
      <c r="J16" s="96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5"/>
  <sheetViews>
    <sheetView showGridLines="0" topLeftCell="C6" zoomScale="90" workbookViewId="0">
      <selection activeCell="E28" sqref="E28"/>
    </sheetView>
  </sheetViews>
  <sheetFormatPr defaultColWidth="9.140625" defaultRowHeight="14.25" customHeight="1"/>
  <cols>
    <col min="1" max="2" width="9.140625" style="1030" hidden="1"/>
    <col min="3" max="3" width="3" style="1030" customWidth="1"/>
    <col min="4" max="4" width="6" style="1030" customWidth="1"/>
    <col min="5" max="5" width="174.28515625" style="1030" customWidth="1"/>
    <col min="6" max="12" width="8" style="1030" customWidth="1"/>
    <col min="13" max="13" width="9.140625" style="1030" hidden="1"/>
  </cols>
  <sheetData>
    <row r="1" spans="1:13" ht="14.25" hidden="1" customHeight="1">
      <c r="M1" s="969" t="s">
        <v>14</v>
      </c>
    </row>
    <row r="2" spans="1:13" ht="14.25" hidden="1" customHeight="1">
      <c r="M2" s="969">
        <v>0</v>
      </c>
    </row>
    <row r="3" spans="1:13" ht="14.25" hidden="1" customHeight="1">
      <c r="M3" s="969">
        <v>0</v>
      </c>
    </row>
    <row r="4" spans="1:13" ht="14.25" hidden="1" customHeight="1">
      <c r="M4" s="969">
        <v>0</v>
      </c>
    </row>
    <row r="5" spans="1:13" ht="14.25" hidden="1" customHeight="1">
      <c r="M5" s="969">
        <v>0</v>
      </c>
    </row>
    <row r="6" spans="1:13" ht="3" customHeight="1">
      <c r="C6" s="970"/>
      <c r="D6" s="625"/>
      <c r="E6" s="625"/>
      <c r="M6" s="969">
        <v>3</v>
      </c>
    </row>
    <row r="7" spans="1:13" ht="23.25" customHeight="1">
      <c r="C7" s="970"/>
      <c r="D7" s="1055" t="s">
        <v>2039</v>
      </c>
      <c r="E7" s="1055"/>
      <c r="M7" s="969">
        <v>22</v>
      </c>
    </row>
    <row r="8" spans="1:13" ht="3" customHeight="1">
      <c r="C8" s="970"/>
      <c r="D8" s="625"/>
      <c r="E8" s="625"/>
      <c r="M8" s="969">
        <v>3</v>
      </c>
    </row>
    <row r="9" spans="1:13" ht="16.899999999999999" customHeight="1">
      <c r="C9" s="970"/>
      <c r="D9" s="633" t="s">
        <v>87</v>
      </c>
      <c r="E9" s="603" t="s">
        <v>295</v>
      </c>
      <c r="M9" s="969">
        <v>16</v>
      </c>
    </row>
    <row r="10" spans="1:13" ht="12.75" customHeight="1">
      <c r="C10" s="970"/>
      <c r="D10" s="109" t="s">
        <v>114</v>
      </c>
      <c r="E10" s="109" t="s">
        <v>102</v>
      </c>
      <c r="M10" s="969">
        <v>12</v>
      </c>
    </row>
    <row r="11" spans="1:13" ht="15" hidden="1" customHeight="1">
      <c r="C11" s="970"/>
      <c r="D11" s="746">
        <v>0</v>
      </c>
      <c r="E11" s="127"/>
      <c r="M11" s="969">
        <v>0</v>
      </c>
    </row>
    <row r="12" spans="1:13" ht="27.6" customHeight="1">
      <c r="A12"/>
      <c r="B12"/>
      <c r="C12" s="747" t="s">
        <v>103</v>
      </c>
      <c r="D12" s="746" t="s">
        <v>114</v>
      </c>
      <c r="E12" s="106" t="s">
        <v>2040</v>
      </c>
      <c r="F12"/>
      <c r="G12"/>
      <c r="H12"/>
      <c r="I12"/>
      <c r="J12"/>
      <c r="K12"/>
      <c r="L12"/>
      <c r="M12"/>
    </row>
    <row r="13" spans="1:13" ht="23.25" customHeight="1">
      <c r="C13" s="747" t="s">
        <v>103</v>
      </c>
      <c r="D13" s="746" t="s">
        <v>102</v>
      </c>
      <c r="E13" s="106" t="s">
        <v>2041</v>
      </c>
    </row>
    <row r="14" spans="1:13" ht="14.65" customHeight="1">
      <c r="C14" s="970"/>
      <c r="D14" s="761"/>
      <c r="E14" s="486" t="s">
        <v>2037</v>
      </c>
      <c r="M14" s="969">
        <v>14</v>
      </c>
    </row>
    <row r="15" spans="1:13" ht="14.25" hidden="1" customHeight="1">
      <c r="A15" s="969" t="s">
        <v>81</v>
      </c>
      <c r="B15" s="969">
        <v>0</v>
      </c>
      <c r="C15" s="972">
        <v>3</v>
      </c>
      <c r="D15" s="969">
        <v>6</v>
      </c>
      <c r="E15" s="969">
        <v>94</v>
      </c>
      <c r="F15" s="969">
        <v>8</v>
      </c>
      <c r="G15" s="969">
        <v>8</v>
      </c>
      <c r="H15" s="969">
        <v>8</v>
      </c>
      <c r="I15" s="969">
        <v>8</v>
      </c>
      <c r="J15" s="969">
        <v>8</v>
      </c>
      <c r="K15" s="969">
        <v>8</v>
      </c>
      <c r="L15" s="969">
        <v>8</v>
      </c>
      <c r="M15" s="969">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030" hidden="1"/>
    <col min="3" max="4" width="3" style="1030" customWidth="1"/>
    <col min="5" max="6" width="15" style="1030" customWidth="1"/>
    <col min="7" max="7" width="11.5703125" style="1030" customWidth="1"/>
    <col min="8" max="9" width="3" style="1030" customWidth="1"/>
    <col min="10" max="10" width="12" style="1030" customWidth="1"/>
    <col min="11" max="11" width="0.28515625" style="1030" customWidth="1"/>
    <col min="12" max="13" width="10" style="1030" customWidth="1"/>
    <col min="14" max="15" width="3" style="1030" customWidth="1"/>
    <col min="16" max="16" width="19" style="1030" customWidth="1"/>
    <col min="17" max="17" width="0.28515625" style="1030" customWidth="1"/>
    <col min="18" max="19" width="10" style="1030" customWidth="1"/>
    <col min="20" max="21" width="3" style="1030" customWidth="1"/>
    <col min="22" max="22" width="25" style="1030" customWidth="1"/>
    <col min="23" max="23" width="0.28515625" style="1030" customWidth="1"/>
    <col min="24" max="25" width="10" style="1030" customWidth="1"/>
    <col min="26" max="27" width="3" style="1030" customWidth="1"/>
    <col min="28" max="28" width="16" style="1030" customWidth="1"/>
    <col min="29" max="29" width="0.28515625" style="1030" customWidth="1"/>
    <col min="30" max="31" width="10" style="1030" customWidth="1"/>
    <col min="32" max="33" width="3" style="1030" customWidth="1"/>
    <col min="34" max="34" width="8" style="1030" customWidth="1"/>
    <col min="35" max="35" width="21" style="1030" customWidth="1"/>
    <col min="36" max="64" width="8" style="1030" customWidth="1"/>
    <col min="65" max="65" width="9.140625" style="1030" hidden="1"/>
  </cols>
  <sheetData>
    <row r="1" spans="4:65" ht="11.25" hidden="1" customHeight="1">
      <c r="BM1" s="73" t="s">
        <v>14</v>
      </c>
    </row>
    <row r="2" spans="4:65" ht="11.25" hidden="1" customHeight="1">
      <c r="L2" s="74" t="s">
        <v>287</v>
      </c>
      <c r="M2" s="74" t="s">
        <v>288</v>
      </c>
      <c r="R2" s="74" t="s">
        <v>289</v>
      </c>
      <c r="S2" s="74" t="s">
        <v>288</v>
      </c>
      <c r="X2" s="74" t="s">
        <v>287</v>
      </c>
      <c r="Y2" s="74" t="s">
        <v>288</v>
      </c>
      <c r="AD2" s="74" t="s">
        <v>287</v>
      </c>
      <c r="AE2" s="74" t="s">
        <v>288</v>
      </c>
      <c r="BM2" s="74">
        <v>0</v>
      </c>
    </row>
    <row r="3" spans="4:65" ht="11.45" customHeight="1">
      <c r="BM3" s="75">
        <v>11</v>
      </c>
    </row>
    <row r="4" spans="4:65" ht="34.5" customHeight="1">
      <c r="D4" s="1127" t="s">
        <v>290</v>
      </c>
      <c r="E4" s="1127"/>
      <c r="F4" s="1127"/>
      <c r="G4" s="1127"/>
      <c r="H4" s="1127"/>
      <c r="I4" s="1127"/>
      <c r="J4" s="1127"/>
      <c r="BM4" s="580">
        <v>33</v>
      </c>
    </row>
    <row r="5" spans="4:65" ht="14.65" customHeight="1">
      <c r="D5" s="1148" t="str">
        <f>IF(org=0,"Не определено",org)</f>
        <v>АО "НИЖЕГОРОДСКИЙ ВОДОКАНАЛ"</v>
      </c>
      <c r="E5" s="1148"/>
      <c r="F5" s="1148"/>
      <c r="G5" s="1148"/>
      <c r="H5" s="1148"/>
      <c r="I5" s="1148"/>
      <c r="J5" s="1148"/>
      <c r="BM5" s="580">
        <v>14</v>
      </c>
    </row>
    <row r="6" spans="4:65" ht="14.65" customHeight="1">
      <c r="BM6" s="580">
        <v>14</v>
      </c>
    </row>
    <row r="7" spans="4:65" ht="1.1499999999999999" customHeight="1">
      <c r="BM7" s="73">
        <v>1</v>
      </c>
    </row>
    <row r="8" spans="4:65" ht="33.75" customHeight="1">
      <c r="D8" s="1070" t="s">
        <v>87</v>
      </c>
      <c r="E8" s="1070" t="s">
        <v>110</v>
      </c>
      <c r="F8" s="1129" t="s">
        <v>132</v>
      </c>
      <c r="G8" s="1130"/>
      <c r="H8" s="1129" t="s">
        <v>87</v>
      </c>
      <c r="I8" s="1130"/>
      <c r="J8" s="1070" t="s">
        <v>133</v>
      </c>
      <c r="K8" s="617"/>
      <c r="L8" s="1128" t="s">
        <v>291</v>
      </c>
      <c r="M8" s="1128"/>
      <c r="N8" s="1128"/>
      <c r="O8" s="1128"/>
      <c r="P8" s="1128"/>
      <c r="Q8" s="615"/>
      <c r="R8" s="1051" t="s">
        <v>292</v>
      </c>
      <c r="S8" s="1056"/>
      <c r="T8" s="1056"/>
      <c r="U8" s="1056"/>
      <c r="V8" s="1056"/>
      <c r="W8" s="615"/>
      <c r="X8" s="1070" t="s">
        <v>293</v>
      </c>
      <c r="Y8" s="1070"/>
      <c r="Z8" s="1070"/>
      <c r="AA8" s="1070"/>
      <c r="AB8" s="1070"/>
      <c r="AC8" s="618"/>
      <c r="AD8" s="1070" t="s">
        <v>294</v>
      </c>
      <c r="AE8" s="1070"/>
      <c r="AF8" s="1070"/>
      <c r="AG8" s="1070"/>
      <c r="AH8" s="1051"/>
      <c r="AI8" s="1070" t="s">
        <v>295</v>
      </c>
      <c r="BM8" s="41">
        <v>32</v>
      </c>
    </row>
    <row r="9" spans="4:65" ht="23.25" customHeight="1">
      <c r="D9" s="1070"/>
      <c r="E9" s="1070"/>
      <c r="F9" s="1128" t="s">
        <v>88</v>
      </c>
      <c r="G9" s="1128" t="s">
        <v>138</v>
      </c>
      <c r="H9" s="1131"/>
      <c r="I9" s="1132"/>
      <c r="J9" s="1051"/>
      <c r="K9" s="619"/>
      <c r="L9" s="1070" t="s">
        <v>296</v>
      </c>
      <c r="M9" s="1051"/>
      <c r="N9" s="1129" t="s">
        <v>87</v>
      </c>
      <c r="O9" s="1130"/>
      <c r="P9" s="1070" t="s">
        <v>139</v>
      </c>
      <c r="Q9" s="617"/>
      <c r="R9" s="1070" t="s">
        <v>296</v>
      </c>
      <c r="S9" s="1051"/>
      <c r="T9" s="1129" t="s">
        <v>87</v>
      </c>
      <c r="U9" s="1130"/>
      <c r="V9" s="1070" t="s">
        <v>139</v>
      </c>
      <c r="W9" s="617"/>
      <c r="X9" s="1070" t="s">
        <v>296</v>
      </c>
      <c r="Y9" s="1051"/>
      <c r="Z9" s="1129" t="s">
        <v>87</v>
      </c>
      <c r="AA9" s="1130"/>
      <c r="AB9" s="1070" t="s">
        <v>297</v>
      </c>
      <c r="AC9" s="617"/>
      <c r="AD9" s="1070" t="s">
        <v>296</v>
      </c>
      <c r="AE9" s="1051"/>
      <c r="AF9" s="1129" t="s">
        <v>87</v>
      </c>
      <c r="AG9" s="1130"/>
      <c r="AH9" s="1051" t="s">
        <v>297</v>
      </c>
      <c r="AI9" s="1070"/>
      <c r="BM9" s="41">
        <v>22</v>
      </c>
    </row>
    <row r="10" spans="4:65" ht="24" customHeight="1">
      <c r="D10" s="1128"/>
      <c r="E10" s="1128"/>
      <c r="F10" s="1133"/>
      <c r="G10" s="1133"/>
      <c r="H10" s="1134"/>
      <c r="I10" s="1135"/>
      <c r="J10" s="1129"/>
      <c r="K10" s="619"/>
      <c r="L10" s="618" t="s">
        <v>298</v>
      </c>
      <c r="M10" s="615" t="s">
        <v>299</v>
      </c>
      <c r="N10" s="1131"/>
      <c r="O10" s="1132"/>
      <c r="P10" s="1128"/>
      <c r="Q10" s="617"/>
      <c r="R10" s="618" t="s">
        <v>298</v>
      </c>
      <c r="S10" s="615" t="s">
        <v>299</v>
      </c>
      <c r="T10" s="1131"/>
      <c r="U10" s="1132"/>
      <c r="V10" s="1128"/>
      <c r="W10" s="617"/>
      <c r="X10" s="618" t="s">
        <v>298</v>
      </c>
      <c r="Y10" s="615" t="s">
        <v>299</v>
      </c>
      <c r="Z10" s="1131"/>
      <c r="AA10" s="1132"/>
      <c r="AB10" s="1128"/>
      <c r="AC10" s="617"/>
      <c r="AD10" s="618" t="s">
        <v>298</v>
      </c>
      <c r="AE10" s="615" t="s">
        <v>299</v>
      </c>
      <c r="AF10" s="1131"/>
      <c r="AG10" s="1132"/>
      <c r="AH10" s="1129"/>
      <c r="AI10" s="1128"/>
      <c r="AK10" s="79" t="s">
        <v>300</v>
      </c>
      <c r="AL10" s="79" t="s">
        <v>140</v>
      </c>
      <c r="BM10" s="41">
        <v>23</v>
      </c>
    </row>
    <row r="11" spans="4:65" ht="15" customHeight="1">
      <c r="D11" s="1136" t="s">
        <v>114</v>
      </c>
      <c r="E11" s="1138" t="s">
        <v>301</v>
      </c>
      <c r="F11" s="1138" t="s">
        <v>302</v>
      </c>
      <c r="G11" s="1141" t="s">
        <v>19</v>
      </c>
      <c r="H11" s="81"/>
      <c r="I11" s="1143"/>
      <c r="J11" s="1102"/>
      <c r="K11" s="67"/>
      <c r="L11" s="1096"/>
      <c r="M11" s="1096"/>
      <c r="N11" s="82"/>
      <c r="O11" s="1096"/>
      <c r="P11" s="1102"/>
      <c r="Q11" s="67"/>
      <c r="R11" s="1096"/>
      <c r="S11" s="1096"/>
      <c r="T11" s="83"/>
      <c r="U11" s="1096"/>
      <c r="V11" s="1102"/>
      <c r="W11" s="68"/>
      <c r="X11" s="1096"/>
      <c r="Y11" s="1096"/>
      <c r="Z11" s="82"/>
      <c r="AA11" s="1096"/>
      <c r="AB11" s="1102"/>
      <c r="AC11" s="621"/>
      <c r="AD11" s="1096"/>
      <c r="AE11" s="1096"/>
      <c r="AF11" s="68"/>
      <c r="AG11" s="68"/>
      <c r="AH11" s="82"/>
      <c r="AI11" s="70"/>
      <c r="BM11" s="41">
        <v>14</v>
      </c>
    </row>
    <row r="12" spans="4:65" ht="14.65" customHeight="1">
      <c r="D12" s="1136"/>
      <c r="E12" s="1138"/>
      <c r="F12" s="1138"/>
      <c r="G12" s="1142"/>
      <c r="H12" s="85"/>
      <c r="I12" s="1038"/>
      <c r="J12" s="1038"/>
      <c r="L12" s="1038"/>
      <c r="M12" s="1038"/>
      <c r="O12" s="1038"/>
      <c r="P12" s="1038"/>
      <c r="R12" s="1038"/>
      <c r="S12" s="1038"/>
      <c r="U12" s="1038"/>
      <c r="V12" s="1038"/>
      <c r="X12" s="1038"/>
      <c r="Y12" s="1038"/>
      <c r="AA12" s="1038"/>
      <c r="AB12" s="1038"/>
      <c r="AD12" s="1038"/>
      <c r="AE12" s="1038"/>
      <c r="AH12" s="1038"/>
      <c r="AI12" s="1146"/>
      <c r="BM12" s="41">
        <v>14</v>
      </c>
    </row>
    <row r="13" spans="4:65" ht="14.65" customHeight="1">
      <c r="D13" s="1136"/>
      <c r="E13" s="1138"/>
      <c r="F13" s="1138"/>
      <c r="G13" s="1142"/>
      <c r="H13" s="85"/>
      <c r="I13" s="1038"/>
      <c r="J13" s="1038"/>
      <c r="L13" s="1038"/>
      <c r="M13" s="1038"/>
      <c r="O13" s="1038"/>
      <c r="P13" s="1038"/>
      <c r="R13" s="1038"/>
      <c r="S13" s="1038"/>
      <c r="U13" s="1038"/>
      <c r="V13" s="1038"/>
      <c r="X13" s="1038"/>
      <c r="Y13" s="1038"/>
      <c r="AB13" s="1038"/>
      <c r="AC13" s="1038"/>
      <c r="AD13" s="1038"/>
      <c r="AE13" s="1038"/>
      <c r="AF13" s="1038"/>
      <c r="AG13" s="1038"/>
      <c r="AH13" s="1038"/>
      <c r="AI13" s="1146"/>
      <c r="BM13" s="41">
        <v>14</v>
      </c>
    </row>
    <row r="14" spans="4:65" ht="14.65" customHeight="1">
      <c r="D14" s="1136"/>
      <c r="E14" s="1138"/>
      <c r="F14" s="1138"/>
      <c r="G14" s="1142"/>
      <c r="H14" s="85"/>
      <c r="I14" s="1038"/>
      <c r="J14" s="1038"/>
      <c r="L14" s="1038"/>
      <c r="M14" s="1038"/>
      <c r="O14" s="1038"/>
      <c r="P14" s="1038"/>
      <c r="R14" s="1038"/>
      <c r="S14" s="1038"/>
      <c r="V14" s="1038"/>
      <c r="W14" s="1038"/>
      <c r="X14" s="1038"/>
      <c r="Y14" s="1038"/>
      <c r="Z14" s="1038"/>
      <c r="AA14" s="1038"/>
      <c r="AB14" s="1038"/>
      <c r="AC14" s="1038"/>
      <c r="AD14" s="1038"/>
      <c r="AE14" s="1038"/>
      <c r="AF14" s="1038"/>
      <c r="AG14" s="1038"/>
      <c r="AH14" s="1038"/>
      <c r="AI14" s="1146"/>
      <c r="BM14" s="41">
        <v>14</v>
      </c>
    </row>
    <row r="15" spans="4:65" ht="11.45" customHeight="1">
      <c r="D15" s="1136"/>
      <c r="E15" s="1138"/>
      <c r="F15" s="1138"/>
      <c r="G15" s="1142"/>
      <c r="H15" s="622"/>
      <c r="I15" s="1038"/>
      <c r="J15" s="1038"/>
      <c r="L15" s="1038"/>
      <c r="M15" s="1038"/>
      <c r="P15" s="1038"/>
      <c r="Q15" s="1038"/>
      <c r="R15" s="1038"/>
      <c r="S15" s="1038"/>
      <c r="T15" s="1038"/>
      <c r="U15" s="1038"/>
      <c r="V15" s="1038"/>
      <c r="W15" s="1038"/>
      <c r="X15" s="1038"/>
      <c r="Y15" s="1038"/>
      <c r="Z15" s="1038"/>
      <c r="AA15" s="1038"/>
      <c r="AB15" s="1038"/>
      <c r="AC15" s="1038"/>
      <c r="AD15" s="1038"/>
      <c r="AE15" s="1038"/>
      <c r="AF15" s="1038"/>
      <c r="AG15" s="1038"/>
      <c r="AH15" s="1038"/>
      <c r="AI15" s="1146"/>
      <c r="BM15" s="41">
        <v>11</v>
      </c>
    </row>
    <row r="16" spans="4:65" ht="11.45" customHeight="1">
      <c r="D16" s="1137"/>
      <c r="E16" s="1139"/>
      <c r="F16" s="1140"/>
      <c r="G16" s="1085"/>
      <c r="H16" s="87"/>
      <c r="I16" s="88"/>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5"/>
      <c r="BM16" s="75">
        <v>11</v>
      </c>
    </row>
    <row r="17" spans="4:65" ht="15" customHeight="1">
      <c r="D17" s="1136" t="s">
        <v>102</v>
      </c>
      <c r="E17" s="1138" t="s">
        <v>301</v>
      </c>
      <c r="F17" s="1138" t="s">
        <v>303</v>
      </c>
      <c r="G17" s="1141" t="s">
        <v>19</v>
      </c>
      <c r="H17" s="81"/>
      <c r="I17" s="1143"/>
      <c r="J17" s="1102"/>
      <c r="K17" s="67"/>
      <c r="L17" s="1096"/>
      <c r="M17" s="1096"/>
      <c r="N17" s="82"/>
      <c r="O17" s="1096"/>
      <c r="P17" s="1102"/>
      <c r="Q17" s="67"/>
      <c r="R17" s="1096"/>
      <c r="S17" s="1096"/>
      <c r="T17" s="83"/>
      <c r="U17" s="1096"/>
      <c r="V17" s="1102"/>
      <c r="W17" s="68"/>
      <c r="X17" s="1096"/>
      <c r="Y17" s="1096"/>
      <c r="Z17" s="82"/>
      <c r="AA17" s="1096"/>
      <c r="AB17" s="1102"/>
      <c r="AC17" s="621"/>
      <c r="AD17" s="1096"/>
      <c r="AE17" s="1096"/>
      <c r="AF17" s="68"/>
      <c r="AG17" s="68"/>
      <c r="AH17" s="82"/>
      <c r="AI17" s="70"/>
      <c r="BM17" s="41">
        <v>14</v>
      </c>
    </row>
    <row r="18" spans="4:65" ht="14.65" customHeight="1">
      <c r="D18" s="1136"/>
      <c r="E18" s="1138"/>
      <c r="F18" s="1138"/>
      <c r="G18" s="1142"/>
      <c r="H18" s="85"/>
      <c r="I18" s="1038"/>
      <c r="J18" s="1038"/>
      <c r="L18" s="1038"/>
      <c r="M18" s="1038"/>
      <c r="O18" s="1038"/>
      <c r="P18" s="1038"/>
      <c r="R18" s="1038"/>
      <c r="S18" s="1038"/>
      <c r="U18" s="1038"/>
      <c r="V18" s="1038"/>
      <c r="X18" s="1038"/>
      <c r="Y18" s="1038"/>
      <c r="AA18" s="1038"/>
      <c r="AB18" s="1038"/>
      <c r="AD18" s="1038"/>
      <c r="AE18" s="1038"/>
      <c r="AH18" s="1038"/>
      <c r="AI18" s="1146"/>
      <c r="BM18" s="41">
        <v>14</v>
      </c>
    </row>
    <row r="19" spans="4:65" ht="14.65" customHeight="1">
      <c r="D19" s="1136"/>
      <c r="E19" s="1138"/>
      <c r="F19" s="1138"/>
      <c r="G19" s="1142"/>
      <c r="H19" s="85"/>
      <c r="I19" s="1038"/>
      <c r="J19" s="1038"/>
      <c r="L19" s="1038"/>
      <c r="M19" s="1038"/>
      <c r="O19" s="1038"/>
      <c r="P19" s="1038"/>
      <c r="R19" s="1038"/>
      <c r="S19" s="1038"/>
      <c r="U19" s="1038"/>
      <c r="V19" s="1038"/>
      <c r="X19" s="1038"/>
      <c r="Y19" s="1038"/>
      <c r="AB19" s="1038"/>
      <c r="AC19" s="1038"/>
      <c r="AD19" s="1038"/>
      <c r="AE19" s="1038"/>
      <c r="AF19" s="1038"/>
      <c r="AG19" s="1038"/>
      <c r="AH19" s="1038"/>
      <c r="AI19" s="1146"/>
      <c r="BM19" s="41">
        <v>14</v>
      </c>
    </row>
    <row r="20" spans="4:65" ht="14.65" customHeight="1">
      <c r="D20" s="1136"/>
      <c r="E20" s="1138"/>
      <c r="F20" s="1138"/>
      <c r="G20" s="1142"/>
      <c r="H20" s="85"/>
      <c r="I20" s="1038"/>
      <c r="J20" s="1038"/>
      <c r="L20" s="1038"/>
      <c r="M20" s="1038"/>
      <c r="O20" s="1038"/>
      <c r="P20" s="1038"/>
      <c r="R20" s="1038"/>
      <c r="S20" s="1038"/>
      <c r="V20" s="1038"/>
      <c r="W20" s="1038"/>
      <c r="X20" s="1038"/>
      <c r="Y20" s="1038"/>
      <c r="Z20" s="1038"/>
      <c r="AA20" s="1038"/>
      <c r="AB20" s="1038"/>
      <c r="AC20" s="1038"/>
      <c r="AD20" s="1038"/>
      <c r="AE20" s="1038"/>
      <c r="AF20" s="1038"/>
      <c r="AG20" s="1038"/>
      <c r="AH20" s="1038"/>
      <c r="AI20" s="1146"/>
      <c r="BM20" s="41">
        <v>14</v>
      </c>
    </row>
    <row r="21" spans="4:65" ht="11.45" customHeight="1">
      <c r="D21" s="1136"/>
      <c r="E21" s="1138"/>
      <c r="F21" s="1138"/>
      <c r="G21" s="1142"/>
      <c r="H21" s="622"/>
      <c r="I21" s="1038"/>
      <c r="J21" s="1038"/>
      <c r="L21" s="1038"/>
      <c r="M21" s="1038"/>
      <c r="P21" s="1038"/>
      <c r="Q21" s="1038"/>
      <c r="R21" s="1038"/>
      <c r="S21" s="1038"/>
      <c r="T21" s="1038"/>
      <c r="U21" s="1038"/>
      <c r="V21" s="1038"/>
      <c r="W21" s="1038"/>
      <c r="X21" s="1038"/>
      <c r="Y21" s="1038"/>
      <c r="Z21" s="1038"/>
      <c r="AA21" s="1038"/>
      <c r="AB21" s="1038"/>
      <c r="AC21" s="1038"/>
      <c r="AD21" s="1038"/>
      <c r="AE21" s="1038"/>
      <c r="AF21" s="1038"/>
      <c r="AG21" s="1038"/>
      <c r="AH21" s="1038"/>
      <c r="AI21" s="1146"/>
      <c r="BM21" s="41">
        <v>11</v>
      </c>
    </row>
    <row r="22" spans="4:65" ht="11.45" customHeight="1">
      <c r="D22" s="1137"/>
      <c r="E22" s="1139"/>
      <c r="F22" s="1140"/>
      <c r="G22" s="1085"/>
      <c r="H22" s="87"/>
      <c r="I22" s="88"/>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44"/>
      <c r="AG22" s="1144"/>
      <c r="AH22" s="1144"/>
      <c r="AI22" s="1145"/>
      <c r="BM22" s="75">
        <v>11</v>
      </c>
    </row>
    <row r="23" spans="4:65" ht="15" customHeight="1">
      <c r="D23" s="1136" t="s">
        <v>89</v>
      </c>
      <c r="E23" s="1138" t="s">
        <v>301</v>
      </c>
      <c r="F23" s="1138" t="s">
        <v>304</v>
      </c>
      <c r="G23" s="1141" t="s">
        <v>19</v>
      </c>
      <c r="H23" s="81"/>
      <c r="I23" s="1143"/>
      <c r="J23" s="1102"/>
      <c r="K23" s="67"/>
      <c r="L23" s="1096"/>
      <c r="M23" s="1096"/>
      <c r="N23" s="82"/>
      <c r="O23" s="1096"/>
      <c r="P23" s="1102"/>
      <c r="Q23" s="67"/>
      <c r="R23" s="1096"/>
      <c r="S23" s="1096"/>
      <c r="T23" s="83"/>
      <c r="U23" s="1096"/>
      <c r="V23" s="1102"/>
      <c r="W23" s="68"/>
      <c r="X23" s="1096"/>
      <c r="Y23" s="1096"/>
      <c r="Z23" s="82"/>
      <c r="AA23" s="1096"/>
      <c r="AB23" s="1102"/>
      <c r="AC23" s="621"/>
      <c r="AD23" s="1096"/>
      <c r="AE23" s="1096"/>
      <c r="AF23" s="68"/>
      <c r="AG23" s="68"/>
      <c r="AH23" s="82"/>
      <c r="AI23" s="70"/>
      <c r="AK23" s="89" t="s">
        <v>97</v>
      </c>
      <c r="BM23" s="41">
        <v>14</v>
      </c>
    </row>
    <row r="24" spans="4:65" ht="14.65" customHeight="1">
      <c r="D24" s="1136"/>
      <c r="E24" s="1138"/>
      <c r="F24" s="1138"/>
      <c r="G24" s="1142"/>
      <c r="H24" s="85"/>
      <c r="I24" s="1038"/>
      <c r="J24" s="1038"/>
      <c r="L24" s="1038"/>
      <c r="M24" s="1038"/>
      <c r="O24" s="1038"/>
      <c r="P24" s="1038"/>
      <c r="R24" s="1038"/>
      <c r="S24" s="1038"/>
      <c r="U24" s="1038"/>
      <c r="V24" s="1038"/>
      <c r="X24" s="1038"/>
      <c r="Y24" s="1038"/>
      <c r="AA24" s="1038"/>
      <c r="AB24" s="1038"/>
      <c r="AD24" s="1038"/>
      <c r="AE24" s="1038"/>
      <c r="AH24" s="1038"/>
      <c r="AI24" s="1146"/>
      <c r="BM24" s="41">
        <v>14</v>
      </c>
    </row>
    <row r="25" spans="4:65" ht="14.65" customHeight="1">
      <c r="D25" s="1136"/>
      <c r="E25" s="1138"/>
      <c r="F25" s="1138"/>
      <c r="G25" s="1142"/>
      <c r="H25" s="85"/>
      <c r="I25" s="1038"/>
      <c r="J25" s="1038"/>
      <c r="L25" s="1038"/>
      <c r="M25" s="1038"/>
      <c r="O25" s="1038"/>
      <c r="P25" s="1038"/>
      <c r="R25" s="1038"/>
      <c r="S25" s="1038"/>
      <c r="U25" s="1038"/>
      <c r="V25" s="1038"/>
      <c r="X25" s="1038"/>
      <c r="Y25" s="1038"/>
      <c r="AB25" s="1038"/>
      <c r="AC25" s="1038"/>
      <c r="AD25" s="1038"/>
      <c r="AE25" s="1038"/>
      <c r="AF25" s="1038"/>
      <c r="AG25" s="1038"/>
      <c r="AH25" s="1038"/>
      <c r="AI25" s="1146"/>
      <c r="BM25" s="41">
        <v>14</v>
      </c>
    </row>
    <row r="26" spans="4:65" ht="14.65" customHeight="1">
      <c r="D26" s="1136"/>
      <c r="E26" s="1138"/>
      <c r="F26" s="1138"/>
      <c r="G26" s="1142"/>
      <c r="H26" s="85"/>
      <c r="I26" s="1038"/>
      <c r="J26" s="1038"/>
      <c r="L26" s="1038"/>
      <c r="M26" s="1038"/>
      <c r="O26" s="1038"/>
      <c r="P26" s="1038"/>
      <c r="R26" s="1038"/>
      <c r="S26" s="1038"/>
      <c r="V26" s="1038"/>
      <c r="W26" s="1038"/>
      <c r="X26" s="1038"/>
      <c r="Y26" s="1038"/>
      <c r="Z26" s="1038"/>
      <c r="AA26" s="1038"/>
      <c r="AB26" s="1038"/>
      <c r="AC26" s="1038"/>
      <c r="AD26" s="1038"/>
      <c r="AE26" s="1038"/>
      <c r="AF26" s="1038"/>
      <c r="AG26" s="1038"/>
      <c r="AH26" s="1038"/>
      <c r="AI26" s="1146"/>
      <c r="BM26" s="41">
        <v>14</v>
      </c>
    </row>
    <row r="27" spans="4:65" ht="11.45" customHeight="1">
      <c r="D27" s="1136"/>
      <c r="E27" s="1138"/>
      <c r="F27" s="1138"/>
      <c r="G27" s="1142"/>
      <c r="H27" s="622"/>
      <c r="I27" s="1038"/>
      <c r="J27" s="1038"/>
      <c r="L27" s="1038"/>
      <c r="M27" s="1038"/>
      <c r="P27" s="1038"/>
      <c r="Q27" s="1038"/>
      <c r="R27" s="1038"/>
      <c r="S27" s="1038"/>
      <c r="T27" s="1038"/>
      <c r="U27" s="1038"/>
      <c r="V27" s="1038"/>
      <c r="W27" s="1038"/>
      <c r="X27" s="1038"/>
      <c r="Y27" s="1038"/>
      <c r="Z27" s="1038"/>
      <c r="AA27" s="1038"/>
      <c r="AB27" s="1038"/>
      <c r="AC27" s="1038"/>
      <c r="AD27" s="1038"/>
      <c r="AE27" s="1038"/>
      <c r="AF27" s="1038"/>
      <c r="AG27" s="1038"/>
      <c r="AH27" s="1038"/>
      <c r="AI27" s="1146"/>
      <c r="BM27" s="41">
        <v>11</v>
      </c>
    </row>
    <row r="28" spans="4:65" ht="11.45" customHeight="1">
      <c r="D28" s="1137"/>
      <c r="E28" s="1139"/>
      <c r="F28" s="1140"/>
      <c r="G28" s="1085"/>
      <c r="H28" s="87"/>
      <c r="I28" s="88"/>
      <c r="J28" s="1144"/>
      <c r="K28" s="1144"/>
      <c r="L28" s="1144"/>
      <c r="M28" s="1144"/>
      <c r="N28" s="1144"/>
      <c r="O28" s="1144"/>
      <c r="P28" s="1144"/>
      <c r="Q28" s="1144"/>
      <c r="R28" s="1144"/>
      <c r="S28" s="1144"/>
      <c r="T28" s="1144"/>
      <c r="U28" s="1144"/>
      <c r="V28" s="1144"/>
      <c r="W28" s="1144"/>
      <c r="X28" s="1144"/>
      <c r="Y28" s="1144"/>
      <c r="Z28" s="1144"/>
      <c r="AA28" s="1144"/>
      <c r="AB28" s="1144"/>
      <c r="AC28" s="1144"/>
      <c r="AD28" s="1144"/>
      <c r="AE28" s="1144"/>
      <c r="AF28" s="1144"/>
      <c r="AG28" s="1144"/>
      <c r="AH28" s="1144"/>
      <c r="AI28" s="1145"/>
      <c r="BM28" s="75">
        <v>11</v>
      </c>
    </row>
    <row r="29" spans="4:65" ht="15" customHeight="1">
      <c r="D29" s="1136" t="s">
        <v>90</v>
      </c>
      <c r="E29" s="1138" t="s">
        <v>301</v>
      </c>
      <c r="F29" s="1138" t="s">
        <v>305</v>
      </c>
      <c r="G29" s="1141" t="s">
        <v>19</v>
      </c>
      <c r="H29" s="81"/>
      <c r="I29" s="1143"/>
      <c r="J29" s="1102"/>
      <c r="K29" s="67"/>
      <c r="L29" s="1096"/>
      <c r="M29" s="1096"/>
      <c r="N29" s="82"/>
      <c r="O29" s="1096"/>
      <c r="P29" s="1102"/>
      <c r="Q29" s="67"/>
      <c r="R29" s="1096"/>
      <c r="S29" s="1096"/>
      <c r="T29" s="83"/>
      <c r="U29" s="1096"/>
      <c r="V29" s="1102"/>
      <c r="W29" s="68"/>
      <c r="X29" s="1096"/>
      <c r="Y29" s="1096"/>
      <c r="Z29" s="82"/>
      <c r="AA29" s="1096"/>
      <c r="AB29" s="1102"/>
      <c r="AC29" s="621"/>
      <c r="AD29" s="1096"/>
      <c r="AE29" s="1096"/>
      <c r="AF29" s="68"/>
      <c r="AG29" s="68"/>
      <c r="AH29" s="82"/>
      <c r="AI29" s="70"/>
      <c r="BM29" s="41">
        <v>14</v>
      </c>
    </row>
    <row r="30" spans="4:65" ht="14.65" customHeight="1">
      <c r="D30" s="1136"/>
      <c r="E30" s="1138"/>
      <c r="F30" s="1138"/>
      <c r="G30" s="1142"/>
      <c r="H30" s="85"/>
      <c r="I30" s="1038"/>
      <c r="J30" s="1038"/>
      <c r="L30" s="1038"/>
      <c r="M30" s="1038"/>
      <c r="O30" s="1038"/>
      <c r="P30" s="1038"/>
      <c r="R30" s="1038"/>
      <c r="S30" s="1038"/>
      <c r="U30" s="1038"/>
      <c r="V30" s="1038"/>
      <c r="X30" s="1038"/>
      <c r="Y30" s="1038"/>
      <c r="AA30" s="1038"/>
      <c r="AB30" s="1038"/>
      <c r="AD30" s="1038"/>
      <c r="AE30" s="1038"/>
      <c r="AH30" s="1038"/>
      <c r="AI30" s="1146"/>
      <c r="BM30" s="41">
        <v>14</v>
      </c>
    </row>
    <row r="31" spans="4:65" ht="14.65" customHeight="1">
      <c r="D31" s="1136"/>
      <c r="E31" s="1138"/>
      <c r="F31" s="1138"/>
      <c r="G31" s="1142"/>
      <c r="H31" s="85"/>
      <c r="I31" s="1038"/>
      <c r="J31" s="1038"/>
      <c r="L31" s="1038"/>
      <c r="M31" s="1038"/>
      <c r="O31" s="1038"/>
      <c r="P31" s="1038"/>
      <c r="R31" s="1038"/>
      <c r="S31" s="1038"/>
      <c r="U31" s="1038"/>
      <c r="V31" s="1038"/>
      <c r="X31" s="1038"/>
      <c r="Y31" s="1038"/>
      <c r="AB31" s="1038"/>
      <c r="AC31" s="1038"/>
      <c r="AD31" s="1038"/>
      <c r="AE31" s="1038"/>
      <c r="AF31" s="1038"/>
      <c r="AG31" s="1038"/>
      <c r="AH31" s="1038"/>
      <c r="AI31" s="1146"/>
      <c r="BM31" s="41">
        <v>14</v>
      </c>
    </row>
    <row r="32" spans="4:65" ht="14.65" customHeight="1">
      <c r="D32" s="1136"/>
      <c r="E32" s="1138"/>
      <c r="F32" s="1138"/>
      <c r="G32" s="1142"/>
      <c r="H32" s="85"/>
      <c r="I32" s="1038"/>
      <c r="J32" s="1038"/>
      <c r="L32" s="1038"/>
      <c r="M32" s="1038"/>
      <c r="O32" s="1038"/>
      <c r="P32" s="1038"/>
      <c r="R32" s="1038"/>
      <c r="S32" s="1038"/>
      <c r="V32" s="1038"/>
      <c r="W32" s="1038"/>
      <c r="X32" s="1038"/>
      <c r="Y32" s="1038"/>
      <c r="Z32" s="1038"/>
      <c r="AA32" s="1038"/>
      <c r="AB32" s="1038"/>
      <c r="AC32" s="1038"/>
      <c r="AD32" s="1038"/>
      <c r="AE32" s="1038"/>
      <c r="AF32" s="1038"/>
      <c r="AG32" s="1038"/>
      <c r="AH32" s="1038"/>
      <c r="AI32" s="1146"/>
      <c r="BM32" s="41">
        <v>14</v>
      </c>
    </row>
    <row r="33" spans="4:65" ht="11.45" customHeight="1">
      <c r="D33" s="1136"/>
      <c r="E33" s="1138"/>
      <c r="F33" s="1138"/>
      <c r="G33" s="1142"/>
      <c r="H33" s="622"/>
      <c r="I33" s="1038"/>
      <c r="J33" s="1038"/>
      <c r="L33" s="1038"/>
      <c r="M33" s="1038"/>
      <c r="P33" s="1038"/>
      <c r="Q33" s="1038"/>
      <c r="R33" s="1038"/>
      <c r="S33" s="1038"/>
      <c r="T33" s="1038"/>
      <c r="U33" s="1038"/>
      <c r="V33" s="1038"/>
      <c r="W33" s="1038"/>
      <c r="X33" s="1038"/>
      <c r="Y33" s="1038"/>
      <c r="Z33" s="1038"/>
      <c r="AA33" s="1038"/>
      <c r="AB33" s="1038"/>
      <c r="AC33" s="1038"/>
      <c r="AD33" s="1038"/>
      <c r="AE33" s="1038"/>
      <c r="AF33" s="1038"/>
      <c r="AG33" s="1038"/>
      <c r="AH33" s="1038"/>
      <c r="AI33" s="1146"/>
      <c r="BM33" s="41">
        <v>11</v>
      </c>
    </row>
    <row r="34" spans="4:65" ht="11.45" customHeight="1">
      <c r="D34" s="1137"/>
      <c r="E34" s="1139"/>
      <c r="F34" s="1140"/>
      <c r="G34" s="1085"/>
      <c r="H34" s="87"/>
      <c r="I34" s="88"/>
      <c r="J34" s="1144"/>
      <c r="K34" s="1144"/>
      <c r="L34" s="1144"/>
      <c r="M34" s="1144"/>
      <c r="N34" s="1144"/>
      <c r="O34" s="1144"/>
      <c r="P34" s="1144"/>
      <c r="Q34" s="1144"/>
      <c r="R34" s="1144"/>
      <c r="S34" s="1144"/>
      <c r="T34" s="1144"/>
      <c r="U34" s="1144"/>
      <c r="V34" s="1144"/>
      <c r="W34" s="1144"/>
      <c r="X34" s="1144"/>
      <c r="Y34" s="1144"/>
      <c r="Z34" s="1144"/>
      <c r="AA34" s="1144"/>
      <c r="AB34" s="1144"/>
      <c r="AC34" s="1144"/>
      <c r="AD34" s="1144"/>
      <c r="AE34" s="1144"/>
      <c r="AF34" s="1144"/>
      <c r="AG34" s="1144"/>
      <c r="AH34" s="1144"/>
      <c r="AI34" s="1145"/>
      <c r="BM34" s="75">
        <v>11</v>
      </c>
    </row>
    <row r="35" spans="4:65" ht="15" customHeight="1">
      <c r="D35" s="1136" t="s">
        <v>115</v>
      </c>
      <c r="E35" s="1138" t="s">
        <v>301</v>
      </c>
      <c r="F35" s="1138" t="s">
        <v>306</v>
      </c>
      <c r="G35" s="1141" t="s">
        <v>19</v>
      </c>
      <c r="H35" s="81"/>
      <c r="I35" s="1143"/>
      <c r="J35" s="1102"/>
      <c r="K35" s="67"/>
      <c r="L35" s="1096"/>
      <c r="M35" s="1096"/>
      <c r="N35" s="82"/>
      <c r="O35" s="1096"/>
      <c r="P35" s="1102"/>
      <c r="Q35" s="67"/>
      <c r="R35" s="1096"/>
      <c r="S35" s="1096"/>
      <c r="T35" s="83"/>
      <c r="U35" s="1096"/>
      <c r="V35" s="1102"/>
      <c r="W35" s="68"/>
      <c r="X35" s="1096"/>
      <c r="Y35" s="1096"/>
      <c r="Z35" s="82"/>
      <c r="AA35" s="1096"/>
      <c r="AB35" s="1102"/>
      <c r="AC35" s="621"/>
      <c r="AD35" s="1096"/>
      <c r="AE35" s="1096"/>
      <c r="AF35" s="68"/>
      <c r="AG35" s="68"/>
      <c r="AH35" s="82"/>
      <c r="AI35" s="70"/>
      <c r="BM35" s="41">
        <v>14</v>
      </c>
    </row>
    <row r="36" spans="4:65" ht="14.65" customHeight="1">
      <c r="D36" s="1136"/>
      <c r="E36" s="1138"/>
      <c r="F36" s="1138"/>
      <c r="G36" s="1142"/>
      <c r="H36" s="85"/>
      <c r="I36" s="1038"/>
      <c r="J36" s="1038"/>
      <c r="L36" s="1038"/>
      <c r="M36" s="1038"/>
      <c r="O36" s="1038"/>
      <c r="P36" s="1038"/>
      <c r="R36" s="1038"/>
      <c r="S36" s="1038"/>
      <c r="U36" s="1038"/>
      <c r="V36" s="1038"/>
      <c r="X36" s="1038"/>
      <c r="Y36" s="1038"/>
      <c r="AA36" s="1038"/>
      <c r="AB36" s="1038"/>
      <c r="AD36" s="1038"/>
      <c r="AE36" s="1038"/>
      <c r="AH36" s="1038"/>
      <c r="AI36" s="1146"/>
      <c r="BM36" s="41">
        <v>14</v>
      </c>
    </row>
    <row r="37" spans="4:65" ht="14.65" customHeight="1">
      <c r="D37" s="1136"/>
      <c r="E37" s="1138"/>
      <c r="F37" s="1138"/>
      <c r="G37" s="1142"/>
      <c r="H37" s="85"/>
      <c r="I37" s="1038"/>
      <c r="J37" s="1038"/>
      <c r="L37" s="1038"/>
      <c r="M37" s="1038"/>
      <c r="O37" s="1038"/>
      <c r="P37" s="1038"/>
      <c r="R37" s="1038"/>
      <c r="S37" s="1038"/>
      <c r="U37" s="1038"/>
      <c r="V37" s="1038"/>
      <c r="X37" s="1038"/>
      <c r="Y37" s="1038"/>
      <c r="AB37" s="1038"/>
      <c r="AC37" s="1038"/>
      <c r="AD37" s="1038"/>
      <c r="AE37" s="1038"/>
      <c r="AF37" s="1038"/>
      <c r="AG37" s="1038"/>
      <c r="AH37" s="1038"/>
      <c r="AI37" s="1146"/>
      <c r="BM37" s="41">
        <v>14</v>
      </c>
    </row>
    <row r="38" spans="4:65" ht="14.65" customHeight="1">
      <c r="D38" s="1136"/>
      <c r="E38" s="1138"/>
      <c r="F38" s="1138"/>
      <c r="G38" s="1142"/>
      <c r="H38" s="85"/>
      <c r="I38" s="1038"/>
      <c r="J38" s="1038"/>
      <c r="L38" s="1038"/>
      <c r="M38" s="1038"/>
      <c r="O38" s="1038"/>
      <c r="P38" s="1038"/>
      <c r="R38" s="1038"/>
      <c r="S38" s="1038"/>
      <c r="V38" s="1038"/>
      <c r="W38" s="1038"/>
      <c r="X38" s="1038"/>
      <c r="Y38" s="1038"/>
      <c r="Z38" s="1038"/>
      <c r="AA38" s="1038"/>
      <c r="AB38" s="1038"/>
      <c r="AC38" s="1038"/>
      <c r="AD38" s="1038"/>
      <c r="AE38" s="1038"/>
      <c r="AF38" s="1038"/>
      <c r="AG38" s="1038"/>
      <c r="AH38" s="1038"/>
      <c r="AI38" s="1146"/>
      <c r="BM38" s="41">
        <v>14</v>
      </c>
    </row>
    <row r="39" spans="4:65" ht="11.45" customHeight="1">
      <c r="D39" s="1136"/>
      <c r="E39" s="1138"/>
      <c r="F39" s="1138"/>
      <c r="G39" s="1142"/>
      <c r="H39" s="622"/>
      <c r="I39" s="1038"/>
      <c r="J39" s="1038"/>
      <c r="L39" s="1038"/>
      <c r="M39" s="1038"/>
      <c r="P39" s="1038"/>
      <c r="Q39" s="1038"/>
      <c r="R39" s="1038"/>
      <c r="S39" s="1038"/>
      <c r="T39" s="1038"/>
      <c r="U39" s="1038"/>
      <c r="V39" s="1038"/>
      <c r="W39" s="1038"/>
      <c r="X39" s="1038"/>
      <c r="Y39" s="1038"/>
      <c r="Z39" s="1038"/>
      <c r="AA39" s="1038"/>
      <c r="AB39" s="1038"/>
      <c r="AC39" s="1038"/>
      <c r="AD39" s="1038"/>
      <c r="AE39" s="1038"/>
      <c r="AF39" s="1038"/>
      <c r="AG39" s="1038"/>
      <c r="AH39" s="1038"/>
      <c r="AI39" s="1146"/>
      <c r="BM39" s="41">
        <v>11</v>
      </c>
    </row>
    <row r="40" spans="4:65" ht="11.45" customHeight="1">
      <c r="D40" s="1136"/>
      <c r="E40" s="1138"/>
      <c r="F40" s="1147"/>
      <c r="G40" s="1085"/>
      <c r="H40" s="87"/>
      <c r="I40" s="88"/>
      <c r="J40" s="1144"/>
      <c r="K40" s="1144"/>
      <c r="L40" s="1144"/>
      <c r="M40" s="1144"/>
      <c r="N40" s="1144"/>
      <c r="O40" s="1144"/>
      <c r="P40" s="1144"/>
      <c r="Q40" s="1144"/>
      <c r="R40" s="1144"/>
      <c r="S40" s="1144"/>
      <c r="T40" s="1144"/>
      <c r="U40" s="1144"/>
      <c r="V40" s="1144"/>
      <c r="W40" s="1144"/>
      <c r="X40" s="1144"/>
      <c r="Y40" s="1144"/>
      <c r="Z40" s="1144"/>
      <c r="AA40" s="1144"/>
      <c r="AB40" s="1144"/>
      <c r="AC40" s="1144"/>
      <c r="AD40" s="1144"/>
      <c r="AE40" s="1144"/>
      <c r="AF40" s="1144"/>
      <c r="AG40" s="1144"/>
      <c r="AH40" s="1144"/>
      <c r="AI40" s="1145"/>
      <c r="BM40" s="75">
        <v>11</v>
      </c>
    </row>
    <row r="41" spans="4:65" ht="11.45" customHeight="1">
      <c r="BM41" s="41">
        <v>11</v>
      </c>
    </row>
    <row r="42" spans="4:65" ht="11.45" customHeight="1">
      <c r="BM42" s="41">
        <v>11</v>
      </c>
    </row>
    <row r="43" spans="4:65" ht="11.45" customHeight="1">
      <c r="BM43" s="41">
        <v>11</v>
      </c>
    </row>
    <row r="44" spans="4:65" ht="11.45" customHeight="1">
      <c r="BM44" s="41">
        <v>11</v>
      </c>
    </row>
    <row r="45" spans="4:65" ht="11.45" customHeight="1">
      <c r="BM45" s="41">
        <v>11</v>
      </c>
    </row>
    <row r="46" spans="4:65" ht="11.45" customHeight="1">
      <c r="BM46" s="41">
        <v>11</v>
      </c>
    </row>
    <row r="47" spans="4:65" ht="11.45" customHeight="1">
      <c r="BM47" s="41">
        <v>11</v>
      </c>
    </row>
    <row r="48" spans="4:65" ht="11.45" customHeight="1">
      <c r="BM48" s="41">
        <v>11</v>
      </c>
    </row>
    <row r="49" spans="1:65" ht="11.45" customHeight="1">
      <c r="BM49" s="41">
        <v>11</v>
      </c>
    </row>
    <row r="50" spans="1:65" ht="11.25" hidden="1" customHeight="1">
      <c r="A50" s="41" t="s">
        <v>81</v>
      </c>
      <c r="B50" s="41">
        <v>0</v>
      </c>
      <c r="C50" s="41">
        <v>3</v>
      </c>
      <c r="D50" s="41">
        <v>3</v>
      </c>
      <c r="E50" s="41">
        <v>15</v>
      </c>
      <c r="F50" s="41">
        <v>15</v>
      </c>
      <c r="G50" s="41">
        <v>11</v>
      </c>
      <c r="H50" s="41">
        <v>3</v>
      </c>
      <c r="I50" s="41">
        <v>3</v>
      </c>
      <c r="J50" s="41">
        <v>12</v>
      </c>
      <c r="K50" s="41">
        <v>0</v>
      </c>
      <c r="L50" s="41">
        <v>10</v>
      </c>
      <c r="M50" s="41">
        <v>10</v>
      </c>
      <c r="N50" s="41">
        <v>3</v>
      </c>
      <c r="O50" s="41">
        <v>3</v>
      </c>
      <c r="P50" s="41">
        <v>19</v>
      </c>
      <c r="Q50" s="41">
        <v>0</v>
      </c>
      <c r="R50" s="41">
        <v>10</v>
      </c>
      <c r="S50" s="41">
        <v>10</v>
      </c>
      <c r="T50" s="41">
        <v>3</v>
      </c>
      <c r="U50" s="41">
        <v>3</v>
      </c>
      <c r="V50" s="41">
        <v>25</v>
      </c>
      <c r="W50" s="41">
        <v>0</v>
      </c>
      <c r="X50" s="41">
        <v>10</v>
      </c>
      <c r="Y50" s="41">
        <v>10</v>
      </c>
      <c r="Z50" s="41">
        <v>3</v>
      </c>
      <c r="AA50" s="41">
        <v>3</v>
      </c>
      <c r="AB50" s="41">
        <v>16</v>
      </c>
      <c r="AC50" s="41">
        <v>0</v>
      </c>
      <c r="AD50" s="41">
        <v>10</v>
      </c>
      <c r="AE50" s="41">
        <v>10</v>
      </c>
      <c r="AF50" s="41">
        <v>3</v>
      </c>
      <c r="AG50" s="41">
        <v>3</v>
      </c>
      <c r="AH50" s="41">
        <v>8</v>
      </c>
      <c r="AI50" s="41">
        <v>21</v>
      </c>
      <c r="AJ50" s="41">
        <v>8</v>
      </c>
      <c r="AK50" s="89">
        <v>8</v>
      </c>
      <c r="AL50" s="41">
        <v>8</v>
      </c>
      <c r="AM50" s="41">
        <v>8</v>
      </c>
      <c r="AN50" s="41">
        <v>8</v>
      </c>
      <c r="AO50" s="41">
        <v>8</v>
      </c>
      <c r="AP50" s="41">
        <v>8</v>
      </c>
      <c r="AQ50" s="41">
        <v>8</v>
      </c>
      <c r="AR50" s="41">
        <v>8</v>
      </c>
      <c r="AS50" s="41">
        <v>8</v>
      </c>
      <c r="AT50" s="41">
        <v>8</v>
      </c>
      <c r="AU50" s="41">
        <v>8</v>
      </c>
      <c r="AV50" s="41">
        <v>8</v>
      </c>
      <c r="AW50" s="41">
        <v>8</v>
      </c>
      <c r="AX50" s="41">
        <v>8</v>
      </c>
      <c r="AY50" s="41">
        <v>8</v>
      </c>
      <c r="AZ50" s="41">
        <v>8</v>
      </c>
      <c r="BA50" s="41">
        <v>8</v>
      </c>
      <c r="BB50" s="41">
        <v>8</v>
      </c>
      <c r="BC50" s="41">
        <v>8</v>
      </c>
      <c r="BD50" s="41">
        <v>8</v>
      </c>
      <c r="BE50" s="41">
        <v>8</v>
      </c>
      <c r="BF50" s="41">
        <v>8</v>
      </c>
      <c r="BG50" s="41">
        <v>8</v>
      </c>
      <c r="BH50" s="41">
        <v>8</v>
      </c>
      <c r="BI50" s="41">
        <v>8</v>
      </c>
      <c r="BJ50" s="41">
        <v>8</v>
      </c>
      <c r="BK50" s="41">
        <v>8</v>
      </c>
      <c r="BL50" s="41">
        <v>8</v>
      </c>
      <c r="BM50" s="4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030" customWidth="1"/>
    <col min="2" max="2" width="34.5703125" style="1030" customWidth="1"/>
    <col min="3" max="3" width="85" style="1030" customWidth="1"/>
    <col min="4" max="4" width="17" style="1030" customWidth="1"/>
    <col min="5" max="5" width="8" style="1030" customWidth="1"/>
    <col min="6" max="6" width="9.140625" style="1030" hidden="1"/>
  </cols>
  <sheetData>
    <row r="1" spans="1:6" ht="3" customHeight="1">
      <c r="F1" s="41" t="s">
        <v>14</v>
      </c>
    </row>
    <row r="2" spans="1:6" ht="22.5" customHeight="1">
      <c r="B2" s="1432" t="s">
        <v>2042</v>
      </c>
      <c r="C2" s="1432"/>
      <c r="D2" s="1432"/>
      <c r="F2" s="41">
        <v>22</v>
      </c>
    </row>
    <row r="3" spans="1:6" ht="3" customHeight="1">
      <c r="F3" s="41">
        <v>3</v>
      </c>
    </row>
    <row r="4" spans="1:6" ht="23.25" customHeight="1">
      <c r="B4" s="521" t="s">
        <v>2043</v>
      </c>
      <c r="C4" s="521" t="s">
        <v>2044</v>
      </c>
      <c r="D4" s="521" t="s">
        <v>2045</v>
      </c>
      <c r="F4" s="41">
        <v>22</v>
      </c>
    </row>
    <row r="5" spans="1:6" ht="11.25" hidden="1" customHeight="1">
      <c r="A5" s="41" t="s">
        <v>81</v>
      </c>
      <c r="B5" s="41">
        <v>34</v>
      </c>
      <c r="C5" s="41">
        <v>85</v>
      </c>
      <c r="D5" s="41">
        <v>17</v>
      </c>
      <c r="E5" s="41">
        <v>8</v>
      </c>
      <c r="F5" s="41">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FW215"/>
  <sheetViews>
    <sheetView showGridLines="0" zoomScale="85" workbookViewId="0"/>
  </sheetViews>
  <sheetFormatPr defaultColWidth="9.140625" defaultRowHeight="17.100000000000001" customHeight="1"/>
  <cols>
    <col min="1" max="1" width="26.5703125" style="1030" customWidth="1"/>
    <col min="2" max="2" width="10" style="1030" customWidth="1"/>
    <col min="4" max="4" width="11.140625" style="1030" customWidth="1"/>
    <col min="5" max="5" width="16.5703125" style="1030" customWidth="1"/>
    <col min="6" max="6" width="16.28515625" style="1030" customWidth="1"/>
    <col min="7" max="7" width="19.140625" style="1030" customWidth="1"/>
    <col min="8" max="11" width="10" style="1030" customWidth="1"/>
    <col min="12" max="12" width="12.7109375" style="1030" customWidth="1"/>
    <col min="13" max="13" width="61.28515625" style="1030" customWidth="1"/>
    <col min="14" max="14" width="10" style="1030" customWidth="1"/>
    <col min="15" max="17" width="23.7109375" style="1030" customWidth="1"/>
    <col min="18" max="18" width="11.7109375" style="1030" customWidth="1"/>
    <col min="19" max="19" width="8.5703125" style="1030" customWidth="1"/>
    <col min="20" max="20" width="11.7109375" style="1030" customWidth="1"/>
    <col min="21" max="21" width="8.5703125" style="1030" customWidth="1"/>
    <col min="22" max="22" width="4.7109375" style="1030" customWidth="1"/>
    <col min="23" max="23" width="115.7109375" style="1030" customWidth="1"/>
    <col min="24" max="24" width="115.28515625" style="1030" customWidth="1"/>
    <col min="28" max="28" width="115.7109375" style="1030" customWidth="1"/>
    <col min="30" max="90" width="115.7109375" style="1030" customWidth="1"/>
  </cols>
  <sheetData>
    <row r="2" spans="1:15" ht="17.25" customHeight="1">
      <c r="A2" s="193" t="s">
        <v>2046</v>
      </c>
    </row>
    <row r="4" spans="1:15" ht="15" customHeight="1">
      <c r="C4" s="654"/>
      <c r="D4" s="746"/>
      <c r="E4" s="123"/>
    </row>
    <row r="6" spans="1:15" ht="17.25" customHeight="1">
      <c r="A6" s="193" t="s">
        <v>2047</v>
      </c>
    </row>
    <row r="8" spans="1:15" ht="17.25" customHeight="1">
      <c r="C8" s="747"/>
      <c r="D8" s="746"/>
      <c r="E8" s="106"/>
    </row>
    <row r="11" spans="1:15" ht="17.25" customHeight="1">
      <c r="A11" s="193" t="s">
        <v>2048</v>
      </c>
    </row>
    <row r="13" spans="1:15" ht="15" customHeight="1">
      <c r="A13" s="1058">
        <v>1</v>
      </c>
      <c r="C13" s="748" t="s">
        <v>103</v>
      </c>
      <c r="E13" s="584">
        <f>A13</f>
        <v>1</v>
      </c>
      <c r="F13" s="604"/>
      <c r="G13" s="37" t="str">
        <f>"Территория "&amp;E13</f>
        <v>Территория 1</v>
      </c>
      <c r="H13" s="38"/>
      <c r="I13" s="38"/>
    </row>
    <row r="14" spans="1:15" ht="15" customHeight="1">
      <c r="A14" s="1038"/>
      <c r="B14" s="556">
        <v>1</v>
      </c>
      <c r="D14" s="586"/>
      <c r="E14" s="587" t="str">
        <f>A13&amp;"."&amp;B14</f>
        <v>1.1</v>
      </c>
      <c r="F14" s="749">
        <f>$F$20</f>
        <v>0</v>
      </c>
      <c r="G14" s="39"/>
      <c r="H14" s="39"/>
      <c r="I14" s="40"/>
      <c r="M14" s="583" t="str">
        <f t="array" ref="M14">IF(ISERROR(MATCH(MID(N14,1,250),MID(note_ter,1,250),0)),"n","y")</f>
        <v>n</v>
      </c>
      <c r="O14" s="583" t="str">
        <f>H14&amp;"("&amp;I14&amp;")"</f>
        <v>()</v>
      </c>
    </row>
    <row r="15" spans="1:15" ht="15" customHeight="1">
      <c r="A15" s="1038"/>
      <c r="E15" s="42"/>
      <c r="F15" s="43"/>
      <c r="G15" s="44" t="s">
        <v>101</v>
      </c>
      <c r="H15" s="45"/>
      <c r="I15" s="46"/>
    </row>
    <row r="17" spans="1:26" ht="17.25" customHeight="1">
      <c r="A17" s="193" t="s">
        <v>2049</v>
      </c>
    </row>
    <row r="19" spans="1:26" ht="15" customHeight="1">
      <c r="B19" s="556">
        <v>1</v>
      </c>
      <c r="D19" s="586" t="s">
        <v>103</v>
      </c>
      <c r="E19" s="584"/>
      <c r="F19" s="750">
        <f>$F$20</f>
        <v>0</v>
      </c>
      <c r="G19" s="195"/>
      <c r="H19" s="195"/>
      <c r="I19" s="196"/>
      <c r="M19" s="583" t="str">
        <f t="array" ref="M19">IF(ISERROR(MATCH(MID(N19,1,250),MID(note_ter,1,250),0)),"n","y")</f>
        <v>n</v>
      </c>
      <c r="O19" s="583" t="str">
        <f>H19&amp;"("&amp;I19&amp;")"</f>
        <v>()</v>
      </c>
    </row>
    <row r="21" spans="1:26" ht="15" customHeight="1">
      <c r="A21" s="193" t="s">
        <v>2050</v>
      </c>
      <c r="B21" s="193"/>
      <c r="C21" s="193"/>
      <c r="D21" s="193"/>
      <c r="E21" s="193"/>
      <c r="F21" s="193"/>
      <c r="G21" s="193"/>
      <c r="H21" s="193"/>
      <c r="I21" s="193"/>
      <c r="J21" s="193"/>
      <c r="K21" s="193"/>
      <c r="L21" s="193"/>
      <c r="M21" s="193"/>
      <c r="N21" s="193"/>
      <c r="O21" s="193"/>
      <c r="P21" s="193"/>
      <c r="Q21" s="193"/>
      <c r="R21" s="193"/>
      <c r="S21" s="193"/>
      <c r="T21" s="193"/>
      <c r="U21" s="197"/>
      <c r="V21" s="193"/>
      <c r="W21" s="193"/>
    </row>
    <row r="22" spans="1:26" ht="15" customHeight="1"/>
    <row r="23" spans="1:26" ht="15" customHeight="1">
      <c r="C23" s="751" t="s">
        <v>103</v>
      </c>
      <c r="D23" s="1080" t="s">
        <v>114</v>
      </c>
      <c r="E23" s="1082"/>
      <c r="F23" s="1079" t="s">
        <v>19</v>
      </c>
      <c r="G23" s="1090"/>
      <c r="H23" s="1070">
        <v>1</v>
      </c>
      <c r="I23" s="1092" t="str">
        <f>IF(U23="","",INDEX(TERRITORY_MR_LIST,MATCH(U23,TERRITORY_LIST_ID,0)))</f>
        <v/>
      </c>
      <c r="J23" s="1079" t="s">
        <v>19</v>
      </c>
      <c r="K23" s="752"/>
      <c r="L23" s="55" t="s">
        <v>114</v>
      </c>
      <c r="M23" s="58"/>
      <c r="Y23" s="599" t="s">
        <v>124</v>
      </c>
      <c r="Z23" s="599">
        <v>1705000</v>
      </c>
    </row>
    <row r="24" spans="1:26" ht="15" customHeight="1">
      <c r="D24" s="1080"/>
      <c r="E24" s="1083"/>
      <c r="F24" s="1079"/>
      <c r="G24" s="1091"/>
      <c r="H24" s="1070"/>
      <c r="I24" s="1093"/>
      <c r="J24" s="1079"/>
      <c r="K24" s="42"/>
      <c r="L24" s="43"/>
      <c r="M24" s="59" t="s">
        <v>125</v>
      </c>
    </row>
    <row r="25" spans="1:26" ht="15" customHeight="1">
      <c r="D25" s="1080"/>
      <c r="E25" s="1084"/>
      <c r="F25" s="1079"/>
      <c r="G25" s="42"/>
      <c r="H25" s="43"/>
      <c r="I25" s="44" t="s">
        <v>128</v>
      </c>
      <c r="J25" s="43"/>
      <c r="K25" s="43"/>
      <c r="L25" s="43"/>
      <c r="M25" s="62"/>
    </row>
    <row r="26" spans="1:26" ht="15" customHeight="1"/>
    <row r="27" spans="1:26" ht="15" customHeight="1">
      <c r="A27" s="193" t="s">
        <v>2051</v>
      </c>
      <c r="B27" s="193"/>
      <c r="C27" s="193"/>
      <c r="D27" s="193"/>
      <c r="E27" s="193"/>
      <c r="F27" s="193"/>
      <c r="G27" s="193"/>
      <c r="H27" s="193"/>
      <c r="I27" s="193"/>
      <c r="J27" s="193"/>
      <c r="K27" s="193"/>
      <c r="L27" s="193"/>
      <c r="M27" s="193"/>
      <c r="N27" s="193"/>
      <c r="O27" s="193"/>
      <c r="P27" s="193"/>
      <c r="Q27" s="193"/>
      <c r="R27" s="193"/>
      <c r="S27" s="193"/>
      <c r="T27" s="193"/>
      <c r="U27" s="197"/>
      <c r="V27" s="193"/>
      <c r="W27" s="193"/>
    </row>
    <row r="28" spans="1:26" ht="15" customHeight="1"/>
    <row r="29" spans="1:26" ht="15" customHeight="1">
      <c r="D29" s="71"/>
      <c r="E29" s="71"/>
      <c r="F29" s="71"/>
      <c r="G29" s="1088" t="s">
        <v>103</v>
      </c>
      <c r="H29" s="1050">
        <v>1</v>
      </c>
      <c r="I29" s="1089" t="str">
        <f>IF(U29="","",INDEX(TERRITORY_MR_LIST,MATCH(U29,TERRITORY_LIST_ID,0)))</f>
        <v/>
      </c>
      <c r="J29" s="1079" t="s">
        <v>19</v>
      </c>
      <c r="K29" s="752"/>
      <c r="L29" s="55" t="s">
        <v>114</v>
      </c>
      <c r="M29" s="58"/>
      <c r="Y29" s="599" t="s">
        <v>124</v>
      </c>
      <c r="Z29" s="599">
        <v>1705000</v>
      </c>
    </row>
    <row r="30" spans="1:26" ht="15" customHeight="1">
      <c r="D30" s="71"/>
      <c r="E30" s="71"/>
      <c r="F30" s="71"/>
      <c r="G30" s="1088"/>
      <c r="H30" s="1050"/>
      <c r="I30" s="1089"/>
      <c r="J30" s="1079"/>
      <c r="K30" s="42"/>
      <c r="L30" s="43"/>
      <c r="M30" s="59" t="s">
        <v>125</v>
      </c>
    </row>
    <row r="31" spans="1:26" ht="15" customHeight="1"/>
    <row r="32" spans="1:26" ht="15" customHeight="1">
      <c r="A32" s="193" t="s">
        <v>2052</v>
      </c>
      <c r="B32" s="193"/>
      <c r="C32" s="193"/>
      <c r="D32" s="193"/>
      <c r="E32" s="193"/>
      <c r="F32" s="193"/>
      <c r="G32" s="193"/>
      <c r="H32" s="193"/>
      <c r="I32" s="193"/>
      <c r="J32" s="193"/>
      <c r="K32" s="193"/>
      <c r="L32" s="193"/>
      <c r="M32" s="193"/>
      <c r="N32" s="193"/>
      <c r="O32" s="193"/>
      <c r="P32" s="193"/>
      <c r="Q32" s="193"/>
      <c r="R32" s="193"/>
      <c r="S32" s="193"/>
      <c r="T32" s="193"/>
      <c r="U32" s="197"/>
      <c r="V32" s="193"/>
      <c r="W32" s="193"/>
    </row>
    <row r="33" spans="1:26" ht="15" customHeight="1"/>
    <row r="34" spans="1:26" ht="15" customHeight="1">
      <c r="D34" s="71"/>
      <c r="E34" s="71"/>
      <c r="F34" s="71"/>
      <c r="G34" s="71"/>
      <c r="H34" s="71"/>
      <c r="I34" s="71"/>
      <c r="J34" s="71"/>
      <c r="K34" s="753" t="s">
        <v>103</v>
      </c>
      <c r="L34" s="198" t="s">
        <v>114</v>
      </c>
      <c r="M34" s="199"/>
      <c r="N34" s="596"/>
      <c r="Y34" s="599" t="s">
        <v>124</v>
      </c>
      <c r="Z34" s="599">
        <v>1705000</v>
      </c>
    </row>
    <row r="35" spans="1:26" ht="15" customHeight="1"/>
    <row r="36" spans="1:26" ht="15" customHeight="1"/>
    <row r="37" spans="1:26" ht="11.25" customHeight="1">
      <c r="A37" s="193" t="s">
        <v>2053</v>
      </c>
    </row>
    <row r="38" spans="1:26" ht="11.25" customHeight="1"/>
    <row r="39" spans="1:26" ht="22.5" customHeight="1">
      <c r="A39" s="96"/>
      <c r="B39" s="557"/>
      <c r="C39" s="754"/>
      <c r="D39" s="643"/>
      <c r="E39" s="103"/>
      <c r="F39" s="108"/>
      <c r="G39" s="71"/>
      <c r="H39" s="637"/>
    </row>
    <row r="40" spans="1:26" ht="11.25" customHeight="1"/>
    <row r="41" spans="1:26" ht="11.25" customHeight="1">
      <c r="A41" s="193" t="s">
        <v>2054</v>
      </c>
    </row>
    <row r="42" spans="1:26" ht="11.25" customHeight="1"/>
    <row r="43" spans="1:26" ht="22.5" customHeight="1">
      <c r="A43" s="557"/>
      <c r="B43" s="557"/>
      <c r="C43" s="557"/>
      <c r="D43" s="643"/>
      <c r="E43" s="103"/>
      <c r="F43" s="104"/>
      <c r="G43" s="71"/>
      <c r="H43" s="637"/>
    </row>
    <row r="44" spans="1:26" ht="11.25" customHeight="1"/>
    <row r="45" spans="1:26" ht="11.25" customHeight="1">
      <c r="A45" s="193" t="s">
        <v>2055</v>
      </c>
    </row>
    <row r="46" spans="1:26" ht="11.25" customHeight="1"/>
    <row r="47" spans="1:26" ht="24" customHeight="1">
      <c r="A47" s="1149" t="s">
        <v>321</v>
      </c>
      <c r="B47" s="631"/>
      <c r="C47" s="1159"/>
      <c r="D47" s="94" t="str">
        <f>A47</f>
        <v>5.1</v>
      </c>
      <c r="E47" s="640" t="s">
        <v>322</v>
      </c>
      <c r="F47" s="603" t="s">
        <v>314</v>
      </c>
      <c r="G47" s="638" t="s">
        <v>323</v>
      </c>
      <c r="H47" s="637"/>
    </row>
    <row r="48" spans="1:26" ht="22.5" customHeight="1">
      <c r="A48" s="1149"/>
      <c r="B48" s="631"/>
      <c r="C48" s="1159"/>
      <c r="D48" s="643" t="str">
        <f>D47&amp;".1"</f>
        <v>5.1.1</v>
      </c>
      <c r="E48" s="644" t="s">
        <v>324</v>
      </c>
      <c r="F48" s="95" t="s">
        <v>22</v>
      </c>
      <c r="G48" s="639"/>
      <c r="H48" s="637"/>
    </row>
    <row r="49" spans="1:43" ht="22.5" customHeight="1">
      <c r="A49" s="1149"/>
      <c r="B49" s="631"/>
      <c r="C49" s="1159"/>
      <c r="D49" s="643" t="str">
        <f>D47&amp;".2"</f>
        <v>5.1.2</v>
      </c>
      <c r="E49" s="644" t="s">
        <v>325</v>
      </c>
      <c r="F49" s="8" t="s">
        <v>22</v>
      </c>
      <c r="G49" s="638" t="s">
        <v>326</v>
      </c>
      <c r="H49" s="637"/>
    </row>
    <row r="50" spans="1:43" ht="22.5" customHeight="1">
      <c r="A50" s="1149"/>
      <c r="B50" s="631"/>
      <c r="C50" s="1159"/>
      <c r="D50" s="643" t="str">
        <f>D47&amp;".3"</f>
        <v>5.1.3</v>
      </c>
      <c r="E50" s="644" t="s">
        <v>327</v>
      </c>
      <c r="F50" s="95" t="s">
        <v>22</v>
      </c>
      <c r="G50" s="639"/>
      <c r="H50" s="637"/>
    </row>
    <row r="51" spans="1:43" ht="22.5" customHeight="1">
      <c r="A51" s="1149"/>
      <c r="B51" s="631"/>
      <c r="C51" s="1159"/>
      <c r="D51" s="643" t="str">
        <f>D47&amp;".4"</f>
        <v>5.1.4</v>
      </c>
      <c r="E51" s="644" t="s">
        <v>328</v>
      </c>
      <c r="F51" s="95" t="s">
        <v>22</v>
      </c>
      <c r="G51" s="638" t="s">
        <v>329</v>
      </c>
      <c r="H51" s="637"/>
    </row>
    <row r="54" spans="1:43" ht="17.25" customHeight="1">
      <c r="A54" s="193" t="s">
        <v>2056</v>
      </c>
    </row>
    <row r="56" spans="1:43" ht="18.75" customHeight="1">
      <c r="D56" s="690"/>
      <c r="E56" s="755"/>
      <c r="F56" s="756">
        <v>13</v>
      </c>
      <c r="G56" s="200"/>
      <c r="H56" s="39"/>
      <c r="I56" s="40"/>
      <c r="J56" s="132" t="s">
        <v>61</v>
      </c>
      <c r="K56" s="201" t="s">
        <v>22</v>
      </c>
      <c r="P56" s="692" t="s">
        <v>400</v>
      </c>
      <c r="Q56" s="692" t="s">
        <v>401</v>
      </c>
      <c r="R56" s="134" t="s">
        <v>402</v>
      </c>
      <c r="S56" s="578" t="s">
        <v>403</v>
      </c>
    </row>
    <row r="58" spans="1:43" ht="11.25" customHeight="1">
      <c r="A58" s="193" t="s">
        <v>2057</v>
      </c>
    </row>
    <row r="60" spans="1:43" ht="14.25" customHeight="1">
      <c r="C60" s="654"/>
      <c r="D60" s="113"/>
      <c r="E60" s="101" t="s">
        <v>22</v>
      </c>
      <c r="F60" s="683"/>
      <c r="G60" s="114"/>
      <c r="H60" s="115"/>
      <c r="I60" s="115"/>
      <c r="J60" s="116"/>
      <c r="K60" s="117"/>
      <c r="L60" s="684"/>
      <c r="M60" s="117"/>
      <c r="N60" s="116"/>
      <c r="O60" s="117"/>
      <c r="P60" s="116"/>
      <c r="Q60" s="117"/>
      <c r="R60" s="116"/>
      <c r="S60" s="118"/>
      <c r="T60" s="115"/>
      <c r="U60" s="116"/>
      <c r="V60" s="116"/>
      <c r="W60" s="678"/>
      <c r="X60" s="115"/>
      <c r="Y60" s="116"/>
      <c r="Z60" s="116"/>
      <c r="AA60" s="678"/>
      <c r="AB60" s="115"/>
      <c r="AC60" s="116"/>
      <c r="AD60" s="678"/>
      <c r="AP60" s="583" t="s">
        <v>389</v>
      </c>
      <c r="AQ60" s="583" t="s">
        <v>389</v>
      </c>
    </row>
    <row r="62" spans="1:43" ht="11.25" customHeight="1">
      <c r="A62" s="193" t="s">
        <v>2058</v>
      </c>
    </row>
    <row r="64" spans="1:43" ht="15" customHeight="1">
      <c r="A64" s="202" t="s">
        <v>89</v>
      </c>
      <c r="B64" t="s">
        <v>22</v>
      </c>
      <c r="D64" s="55"/>
      <c r="E64" s="123"/>
      <c r="F64" s="123"/>
      <c r="G64" s="203"/>
      <c r="H64" s="201"/>
      <c r="I64" s="204"/>
    </row>
    <row r="66" spans="1:30" ht="11.25" customHeight="1">
      <c r="A66" s="193" t="s">
        <v>2059</v>
      </c>
    </row>
    <row r="68" spans="1:30" ht="14.25" customHeight="1">
      <c r="C68" s="757"/>
      <c r="D68" s="91"/>
      <c r="E68" s="758"/>
      <c r="F68" s="201"/>
    </row>
    <row r="70" spans="1:30" ht="11.25" customHeight="1">
      <c r="A70" s="193" t="s">
        <v>2060</v>
      </c>
    </row>
    <row r="72" spans="1:30" ht="27" customHeight="1">
      <c r="E72" s="759"/>
      <c r="F72" s="1310"/>
      <c r="G72" s="1311"/>
      <c r="H72" s="1312" t="s">
        <v>61</v>
      </c>
      <c r="I72" s="1314"/>
      <c r="J72" s="1316"/>
      <c r="K72" s="1318"/>
      <c r="L72" s="1319"/>
      <c r="M72" s="1319"/>
      <c r="N72" s="1323"/>
      <c r="O72" s="1323"/>
      <c r="P72" s="1324" t="e">
        <f>DATEDIF(DATEVALUE(N72),DATEVALUE(O72),"y")&amp;"г. "&amp;DATEDIF(DATEVALUE(N72),DATEVALUE(O72),"ym")&amp;"мес. "&amp;DATEVALUE(O72)-DATE(YEAR(DATEVALUE(O72)),MONTH(DATEVALUE(O72)),1)&amp;"дн. "</f>
        <v>#VALUE!</v>
      </c>
      <c r="Q72" s="1320"/>
      <c r="R72" s="1320"/>
      <c r="S72" s="1320"/>
      <c r="T72" s="1316"/>
      <c r="U72" s="1320"/>
      <c r="V72" s="1320"/>
      <c r="W72" s="1320"/>
      <c r="X72" s="1316"/>
      <c r="Y72" s="1321" t="s">
        <v>61</v>
      </c>
      <c r="Z72" s="617"/>
      <c r="AA72" s="584">
        <v>1</v>
      </c>
      <c r="AB72" s="205"/>
      <c r="AD72" s="578" t="s">
        <v>2061</v>
      </c>
    </row>
    <row r="73" spans="1:30" ht="10.5" customHeight="1">
      <c r="E73" s="760"/>
      <c r="F73" s="1310"/>
      <c r="G73" s="1311"/>
      <c r="H73" s="1313"/>
      <c r="I73" s="1315"/>
      <c r="J73" s="1317"/>
      <c r="K73" s="1318"/>
      <c r="L73" s="1319"/>
      <c r="M73" s="1319"/>
      <c r="N73" s="1323"/>
      <c r="O73" s="1323"/>
      <c r="P73" s="1324"/>
      <c r="Q73" s="1320"/>
      <c r="R73" s="1320"/>
      <c r="S73" s="1320"/>
      <c r="T73" s="1317"/>
      <c r="U73" s="1320"/>
      <c r="V73" s="1320"/>
      <c r="W73" s="1320"/>
      <c r="X73" s="1317"/>
      <c r="Y73" s="1322"/>
      <c r="Z73" s="761"/>
      <c r="AA73" s="762"/>
      <c r="AB73" s="59" t="s">
        <v>1020</v>
      </c>
    </row>
    <row r="75" spans="1:30" ht="11.25" customHeight="1">
      <c r="A75" s="193" t="s">
        <v>2062</v>
      </c>
    </row>
    <row r="77" spans="1:30" ht="27" customHeight="1">
      <c r="E77" s="759"/>
      <c r="F77" s="207"/>
      <c r="G77" s="763"/>
      <c r="H77" s="208"/>
      <c r="I77" s="209"/>
      <c r="J77" s="210"/>
      <c r="K77" s="211"/>
      <c r="L77" s="212"/>
      <c r="M77" s="212"/>
      <c r="N77" s="213"/>
      <c r="O77" s="213"/>
      <c r="P77" s="764"/>
      <c r="Q77" s="765"/>
      <c r="R77" s="765"/>
      <c r="S77" s="765"/>
      <c r="T77" s="210"/>
      <c r="U77" s="765"/>
      <c r="V77" s="765"/>
      <c r="W77" s="765"/>
      <c r="X77" s="210"/>
      <c r="Y77" s="208"/>
      <c r="Z77" s="617"/>
      <c r="AA77" s="584">
        <v>1</v>
      </c>
      <c r="AB77" s="205"/>
      <c r="AD77" s="578" t="s">
        <v>2061</v>
      </c>
    </row>
    <row r="79" spans="1:30" ht="11.25" customHeight="1">
      <c r="A79" s="193" t="s">
        <v>2063</v>
      </c>
    </row>
    <row r="80" spans="1:30" ht="17.25" customHeight="1"/>
    <row r="81" spans="1:38" ht="21" customHeight="1">
      <c r="E81" s="557"/>
      <c r="F81" s="766" t="e">
        <f>INDEX(IP_MAIN_LIST_NAME_IP,MATCH(A81,IP_MAIN_LIST_IP_ID,0))&amp;" ("&amp;INDEX(IP_MAIN_START_DATE,MATCH(A81,IP_MAIN_LIST_IP_ID,0))&amp;"-"&amp;INDEX(IP_MAIN_END_DATE,MATCH(A81,IP_MAIN_LIST_IP_ID,0))&amp;")"</f>
        <v>#N/A</v>
      </c>
      <c r="G81" s="767"/>
      <c r="H81" s="767"/>
      <c r="I81" s="768"/>
      <c r="J81" s="768"/>
      <c r="K81" s="769"/>
      <c r="L81" s="769"/>
      <c r="M81" s="769"/>
      <c r="N81" s="770"/>
      <c r="O81" s="770"/>
      <c r="P81" s="770"/>
      <c r="Q81" s="770"/>
      <c r="R81" s="770"/>
      <c r="S81" s="770"/>
      <c r="T81" s="770"/>
      <c r="U81" s="770"/>
      <c r="V81" s="770"/>
      <c r="W81" s="770"/>
      <c r="X81" s="770"/>
      <c r="Y81" s="770"/>
      <c r="Z81" s="770"/>
      <c r="AA81" s="770"/>
      <c r="AB81" s="770"/>
      <c r="AC81" s="770"/>
      <c r="AD81" s="770"/>
      <c r="AE81" s="771"/>
      <c r="AF81" s="769"/>
      <c r="AG81" s="769"/>
      <c r="AH81" s="769"/>
      <c r="AI81" s="769"/>
      <c r="AJ81" s="769"/>
      <c r="AK81" s="769"/>
      <c r="AL81" s="772"/>
    </row>
    <row r="82" spans="1:38" ht="0.75" customHeight="1">
      <c r="E82" s="557"/>
      <c r="F82" s="1338"/>
      <c r="G82" s="1335"/>
      <c r="H82" s="1343" t="s">
        <v>384</v>
      </c>
      <c r="I82" s="1344"/>
      <c r="J82" s="1334"/>
      <c r="K82" s="1334"/>
      <c r="L82" s="1336"/>
      <c r="M82" s="1190"/>
      <c r="N82" s="214"/>
      <c r="O82" s="215"/>
      <c r="P82" s="214"/>
      <c r="Q82" s="214"/>
      <c r="R82" s="214"/>
      <c r="S82" s="214"/>
      <c r="T82" s="214"/>
      <c r="U82" s="214"/>
      <c r="V82" s="214"/>
      <c r="W82" s="214"/>
      <c r="X82" s="214"/>
      <c r="Y82" s="214"/>
      <c r="Z82" s="214"/>
      <c r="AA82" s="214"/>
      <c r="AB82" s="214"/>
      <c r="AC82" s="214"/>
      <c r="AD82" s="214"/>
      <c r="AE82" s="214"/>
      <c r="AF82" s="1342"/>
      <c r="AG82" s="1336"/>
      <c r="AH82" s="1336"/>
      <c r="AI82" s="1342"/>
      <c r="AJ82" s="1336"/>
      <c r="AK82" s="1336"/>
      <c r="AL82" s="772"/>
    </row>
    <row r="83" spans="1:38" ht="0.75" customHeight="1">
      <c r="E83" s="557"/>
      <c r="F83" s="1338"/>
      <c r="G83" s="1335"/>
      <c r="H83" s="1343"/>
      <c r="I83" s="1344"/>
      <c r="J83" s="1334"/>
      <c r="K83" s="1334"/>
      <c r="L83" s="1336"/>
      <c r="M83" s="1190"/>
      <c r="N83" s="1345"/>
      <c r="O83" s="1346"/>
      <c r="P83" s="1331"/>
      <c r="Q83" s="1334"/>
      <c r="R83" s="1334"/>
      <c r="S83" s="1334"/>
      <c r="T83" s="1334"/>
      <c r="U83" s="1334"/>
      <c r="V83" s="1334"/>
      <c r="W83" s="1334"/>
      <c r="X83" s="1334"/>
      <c r="Y83" s="1334"/>
      <c r="Z83" s="216"/>
      <c r="AA83" s="217"/>
      <c r="AB83" s="217"/>
      <c r="AC83" s="218"/>
      <c r="AD83" s="218"/>
      <c r="AE83" s="219"/>
      <c r="AF83" s="1342"/>
      <c r="AG83" s="1336"/>
      <c r="AH83" s="1336"/>
      <c r="AI83" s="1342"/>
      <c r="AJ83" s="1336"/>
      <c r="AK83" s="1336"/>
      <c r="AL83" s="772"/>
    </row>
    <row r="84" spans="1:38" ht="0.75" customHeight="1">
      <c r="E84" s="557"/>
      <c r="F84" s="1338"/>
      <c r="G84" s="1335"/>
      <c r="H84" s="1343"/>
      <c r="I84" s="1344"/>
      <c r="J84" s="1334"/>
      <c r="K84" s="1334"/>
      <c r="L84" s="1336"/>
      <c r="M84" s="1190"/>
      <c r="N84" s="1345"/>
      <c r="O84" s="1346"/>
      <c r="P84" s="1332"/>
      <c r="Q84" s="1334"/>
      <c r="R84" s="1334"/>
      <c r="S84" s="1334"/>
      <c r="T84" s="1334"/>
      <c r="U84" s="1334"/>
      <c r="V84" s="1334"/>
      <c r="W84" s="1334"/>
      <c r="X84" s="1334"/>
      <c r="Y84" s="1334"/>
      <c r="AA84" s="773"/>
      <c r="AB84" s="774"/>
      <c r="AC84" s="220"/>
      <c r="AD84" s="774"/>
      <c r="AE84" s="220"/>
      <c r="AF84" s="1342"/>
      <c r="AG84" s="1336"/>
      <c r="AH84" s="1336"/>
      <c r="AI84" s="1342"/>
      <c r="AJ84" s="1336"/>
      <c r="AK84" s="1336"/>
      <c r="AL84" s="772"/>
    </row>
    <row r="85" spans="1:38" ht="0.75" customHeight="1">
      <c r="E85" s="557"/>
      <c r="F85" s="1338"/>
      <c r="G85" s="1335"/>
      <c r="H85" s="1343"/>
      <c r="I85" s="1344"/>
      <c r="J85" s="1334"/>
      <c r="K85" s="1334"/>
      <c r="L85" s="1336"/>
      <c r="M85" s="1190"/>
      <c r="N85" s="1345"/>
      <c r="O85" s="1346"/>
      <c r="P85" s="1333"/>
      <c r="Q85" s="1334"/>
      <c r="R85" s="1334"/>
      <c r="S85" s="1334"/>
      <c r="T85" s="1334"/>
      <c r="U85" s="1334"/>
      <c r="V85" s="1334"/>
      <c r="W85" s="1334"/>
      <c r="X85" s="1334"/>
      <c r="Y85" s="1334"/>
      <c r="Z85" s="216"/>
      <c r="AA85" s="217"/>
      <c r="AB85" s="221"/>
      <c r="AC85" s="218"/>
      <c r="AD85" s="218"/>
      <c r="AE85" s="222"/>
      <c r="AF85" s="1342"/>
      <c r="AG85" s="1336"/>
      <c r="AH85" s="1336"/>
      <c r="AI85" s="1342"/>
      <c r="AJ85" s="1336"/>
      <c r="AK85" s="1336"/>
      <c r="AL85" s="772"/>
    </row>
    <row r="86" spans="1:38" ht="0.75" customHeight="1">
      <c r="E86" s="557"/>
      <c r="F86" s="1338"/>
      <c r="G86" s="1335"/>
      <c r="H86" s="1343"/>
      <c r="I86" s="1344"/>
      <c r="J86" s="1334"/>
      <c r="K86" s="1334"/>
      <c r="L86" s="1336"/>
      <c r="M86" s="1190"/>
      <c r="N86" s="217"/>
      <c r="O86" s="217"/>
      <c r="P86" s="221"/>
      <c r="Q86" s="217"/>
      <c r="R86" s="217"/>
      <c r="S86" s="217"/>
      <c r="T86" s="217"/>
      <c r="U86" s="217"/>
      <c r="V86" s="217"/>
      <c r="W86" s="217"/>
      <c r="X86" s="217"/>
      <c r="Y86" s="217"/>
      <c r="Z86" s="217"/>
      <c r="AA86" s="217"/>
      <c r="AB86" s="217"/>
      <c r="AC86" s="217"/>
      <c r="AD86" s="217"/>
      <c r="AE86" s="223"/>
      <c r="AF86" s="1342"/>
      <c r="AG86" s="1336"/>
      <c r="AH86" s="1336"/>
      <c r="AI86" s="1342"/>
      <c r="AJ86" s="1336"/>
      <c r="AK86" s="1336"/>
      <c r="AL86" s="772"/>
    </row>
    <row r="87" spans="1:38" ht="12" customHeight="1">
      <c r="E87" s="557"/>
      <c r="F87" s="1341"/>
      <c r="G87" s="775"/>
      <c r="H87" s="775"/>
      <c r="I87" s="1337" t="s">
        <v>1070</v>
      </c>
      <c r="J87" s="1337"/>
      <c r="K87" s="1337"/>
      <c r="L87" s="776"/>
      <c r="M87" s="776"/>
      <c r="N87" s="777"/>
      <c r="O87" s="777"/>
      <c r="P87" s="777"/>
      <c r="Q87" s="777"/>
      <c r="R87" s="777"/>
      <c r="S87" s="777"/>
      <c r="T87" s="777"/>
      <c r="U87" s="777"/>
      <c r="V87" s="777"/>
      <c r="W87" s="777"/>
      <c r="X87" s="777"/>
      <c r="Y87" s="777"/>
      <c r="Z87" s="777"/>
      <c r="AA87" s="777"/>
      <c r="AB87" s="777"/>
      <c r="AC87" s="777"/>
      <c r="AD87" s="777"/>
      <c r="AE87" s="777"/>
      <c r="AF87" s="777"/>
      <c r="AG87" s="776"/>
      <c r="AH87" s="776"/>
      <c r="AI87" s="777"/>
      <c r="AJ87" s="776"/>
      <c r="AK87" s="777"/>
      <c r="AL87" s="772"/>
    </row>
    <row r="89" spans="1:38" ht="11.25" customHeight="1">
      <c r="A89" s="193" t="s">
        <v>2064</v>
      </c>
    </row>
    <row r="91" spans="1:38" ht="11.25" customHeight="1">
      <c r="E91" s="557"/>
      <c r="F91" s="225"/>
      <c r="G91" s="226"/>
      <c r="H91" s="226"/>
      <c r="I91" s="227"/>
      <c r="J91" s="227"/>
      <c r="K91" s="228"/>
      <c r="L91" s="227"/>
      <c r="M91" s="226"/>
      <c r="N91" s="1355"/>
      <c r="O91" s="1433">
        <v>1</v>
      </c>
      <c r="P91" s="1357" t="s">
        <v>19</v>
      </c>
      <c r="Q91" s="1308" t="s">
        <v>22</v>
      </c>
      <c r="R91" s="1308" t="s">
        <v>22</v>
      </c>
      <c r="S91" s="1308" t="s">
        <v>22</v>
      </c>
      <c r="T91" s="1308" t="s">
        <v>22</v>
      </c>
      <c r="U91" s="1308" t="s">
        <v>22</v>
      </c>
      <c r="V91" s="1308" t="s">
        <v>22</v>
      </c>
      <c r="W91" s="1308" t="s">
        <v>22</v>
      </c>
      <c r="X91" s="1308" t="s">
        <v>22</v>
      </c>
      <c r="Y91" s="1308"/>
      <c r="Z91" s="229"/>
      <c r="AA91" s="230"/>
      <c r="AB91" s="230"/>
      <c r="AC91" s="231"/>
      <c r="AD91" s="231"/>
      <c r="AE91" s="231"/>
      <c r="AF91" s="232"/>
      <c r="AG91" s="233"/>
      <c r="AH91" s="233"/>
      <c r="AI91" s="232"/>
      <c r="AJ91" s="233"/>
      <c r="AK91" s="234"/>
      <c r="AL91" s="772"/>
    </row>
    <row r="92" spans="1:38" ht="11.25" customHeight="1">
      <c r="E92" s="557"/>
      <c r="F92" s="225"/>
      <c r="G92" s="226"/>
      <c r="H92" s="226"/>
      <c r="I92" s="235"/>
      <c r="J92" s="235"/>
      <c r="K92" s="228"/>
      <c r="L92" s="235"/>
      <c r="M92" s="226"/>
      <c r="N92" s="1355"/>
      <c r="O92" s="1433"/>
      <c r="P92" s="1358"/>
      <c r="Q92" s="1308"/>
      <c r="R92" s="1308"/>
      <c r="S92" s="1361"/>
      <c r="T92" s="1308"/>
      <c r="U92" s="1308"/>
      <c r="V92" s="1308"/>
      <c r="W92" s="1308"/>
      <c r="X92" s="1308"/>
      <c r="Y92" s="1308"/>
      <c r="AA92" s="778">
        <v>1</v>
      </c>
      <c r="AB92" s="779"/>
      <c r="AC92" s="237"/>
      <c r="AD92" s="779">
        <f>AB92</f>
        <v>0</v>
      </c>
      <c r="AE92" s="238"/>
      <c r="AF92" s="228"/>
      <c r="AG92" s="233"/>
      <c r="AH92" s="233"/>
      <c r="AI92" s="228"/>
      <c r="AJ92" s="233"/>
      <c r="AK92" s="234"/>
      <c r="AL92" s="772"/>
    </row>
    <row r="93" spans="1:38" ht="11.25" customHeight="1">
      <c r="E93" s="557"/>
      <c r="F93" s="225"/>
      <c r="G93" s="226"/>
      <c r="H93" s="226"/>
      <c r="I93" s="239"/>
      <c r="J93" s="239"/>
      <c r="K93" s="228"/>
      <c r="L93" s="239"/>
      <c r="M93" s="226"/>
      <c r="N93" s="1355"/>
      <c r="O93" s="1433"/>
      <c r="P93" s="1359"/>
      <c r="Q93" s="1308"/>
      <c r="R93" s="1308"/>
      <c r="S93" s="1361"/>
      <c r="T93" s="1308"/>
      <c r="U93" s="1308"/>
      <c r="V93" s="1308"/>
      <c r="W93" s="1308"/>
      <c r="X93" s="1308"/>
      <c r="Y93" s="1308"/>
      <c r="Z93" s="229"/>
      <c r="AA93" s="230"/>
      <c r="AB93" s="44" t="s">
        <v>1059</v>
      </c>
      <c r="AC93" s="231"/>
      <c r="AD93" s="231"/>
      <c r="AE93" s="231"/>
      <c r="AF93" s="240"/>
      <c r="AG93" s="233"/>
      <c r="AH93" s="233"/>
      <c r="AI93" s="240"/>
      <c r="AJ93" s="233"/>
      <c r="AK93" s="234"/>
      <c r="AL93" s="772"/>
    </row>
    <row r="95" spans="1:38" ht="11.25" customHeight="1">
      <c r="A95" s="193" t="s">
        <v>2065</v>
      </c>
    </row>
    <row r="97" spans="1:179" ht="11.25" customHeight="1">
      <c r="E97" s="557"/>
      <c r="F97" s="226"/>
      <c r="G97" s="226"/>
      <c r="H97" s="226"/>
      <c r="I97" s="226"/>
      <c r="J97" s="226"/>
      <c r="K97" s="226"/>
      <c r="L97" s="226"/>
      <c r="M97" s="226"/>
      <c r="N97" s="226"/>
      <c r="O97" s="226"/>
      <c r="P97" s="226"/>
      <c r="Q97" s="226"/>
      <c r="R97" s="226"/>
      <c r="S97" s="226"/>
      <c r="T97" s="226"/>
      <c r="U97" s="226"/>
      <c r="V97" s="226"/>
      <c r="W97" s="226"/>
      <c r="X97" s="226"/>
      <c r="Y97" s="226"/>
      <c r="Z97" s="241"/>
      <c r="AA97" s="780">
        <v>1</v>
      </c>
      <c r="AB97" s="779"/>
      <c r="AC97" s="237"/>
      <c r="AD97" s="779">
        <f>AB97</f>
        <v>0</v>
      </c>
      <c r="AE97" s="237"/>
      <c r="AF97" s="228"/>
      <c r="AG97" s="233"/>
      <c r="AH97" s="233"/>
      <c r="AI97" s="228"/>
      <c r="AJ97" s="233"/>
      <c r="AK97" s="234"/>
      <c r="AL97" s="772"/>
    </row>
    <row r="99" spans="1:179" ht="11.25" customHeight="1">
      <c r="A99" s="193" t="s">
        <v>2066</v>
      </c>
    </row>
    <row r="101" spans="1:179" ht="11.25" customHeight="1">
      <c r="E101" s="557"/>
      <c r="F101" s="225"/>
      <c r="G101" s="226"/>
      <c r="H101" s="1335" t="s">
        <v>114</v>
      </c>
      <c r="I101" s="1347"/>
      <c r="J101" s="1363"/>
      <c r="K101" s="1349"/>
      <c r="L101" s="1079" t="s">
        <v>19</v>
      </c>
      <c r="M101" s="1080"/>
      <c r="N101" s="242"/>
      <c r="O101" s="243" t="s">
        <v>384</v>
      </c>
      <c r="P101" s="244"/>
      <c r="Q101" s="244"/>
      <c r="R101" s="244"/>
      <c r="S101" s="244"/>
      <c r="T101" s="244"/>
      <c r="U101" s="244"/>
      <c r="V101" s="244"/>
      <c r="W101" s="244"/>
      <c r="X101" s="244"/>
      <c r="Y101" s="244"/>
      <c r="Z101" s="244"/>
      <c r="AA101" s="244"/>
      <c r="AB101" s="244"/>
      <c r="AC101" s="244"/>
      <c r="AD101" s="244"/>
      <c r="AE101" s="244"/>
      <c r="AF101" s="1350"/>
      <c r="AG101" s="1352"/>
      <c r="AH101" s="1352"/>
      <c r="AI101" s="1350"/>
      <c r="AJ101" s="1352"/>
      <c r="AK101" s="1352"/>
      <c r="AL101" s="772"/>
    </row>
    <row r="102" spans="1:179" ht="11.25" customHeight="1">
      <c r="E102" s="557"/>
      <c r="F102" s="225"/>
      <c r="G102" s="226"/>
      <c r="H102" s="1335"/>
      <c r="I102" s="1347"/>
      <c r="J102" s="1363"/>
      <c r="K102" s="1349"/>
      <c r="L102" s="1079"/>
      <c r="M102" s="1080"/>
      <c r="N102" s="1355"/>
      <c r="O102" s="1356">
        <v>1</v>
      </c>
      <c r="P102" s="1357" t="s">
        <v>19</v>
      </c>
      <c r="Q102" s="1308" t="s">
        <v>22</v>
      </c>
      <c r="R102" s="1308" t="s">
        <v>22</v>
      </c>
      <c r="S102" s="1308" t="s">
        <v>22</v>
      </c>
      <c r="T102" s="1308" t="s">
        <v>22</v>
      </c>
      <c r="U102" s="1308" t="s">
        <v>22</v>
      </c>
      <c r="V102" s="1308" t="s">
        <v>22</v>
      </c>
      <c r="W102" s="1308" t="s">
        <v>22</v>
      </c>
      <c r="X102" s="1308" t="s">
        <v>22</v>
      </c>
      <c r="Y102" s="1308"/>
      <c r="Z102" s="229"/>
      <c r="AA102" s="230"/>
      <c r="AB102" s="230"/>
      <c r="AC102" s="231"/>
      <c r="AD102" s="231"/>
      <c r="AE102" s="245"/>
      <c r="AF102" s="1350"/>
      <c r="AG102" s="1352"/>
      <c r="AH102" s="1352"/>
      <c r="AI102" s="1350"/>
      <c r="AJ102" s="1352"/>
      <c r="AK102" s="1352"/>
      <c r="AL102" s="772"/>
    </row>
    <row r="103" spans="1:179" ht="11.25" customHeight="1">
      <c r="E103" s="557"/>
      <c r="F103" s="225"/>
      <c r="G103" s="226"/>
      <c r="H103" s="1335"/>
      <c r="I103" s="1347"/>
      <c r="J103" s="1363"/>
      <c r="K103" s="1349"/>
      <c r="L103" s="1079"/>
      <c r="M103" s="1080"/>
      <c r="N103" s="1355"/>
      <c r="O103" s="1356"/>
      <c r="P103" s="1358"/>
      <c r="Q103" s="1308"/>
      <c r="R103" s="1308"/>
      <c r="S103" s="1361"/>
      <c r="T103" s="1308"/>
      <c r="U103" s="1308"/>
      <c r="V103" s="1308"/>
      <c r="W103" s="1308"/>
      <c r="X103" s="1308"/>
      <c r="Y103" s="1308"/>
      <c r="AA103" s="778">
        <v>1</v>
      </c>
      <c r="AB103" s="779"/>
      <c r="AC103" s="237"/>
      <c r="AD103" s="779">
        <f>AB103</f>
        <v>0</v>
      </c>
      <c r="AE103" s="237"/>
      <c r="AF103" s="1350"/>
      <c r="AG103" s="1352"/>
      <c r="AH103" s="1352"/>
      <c r="AI103" s="1350"/>
      <c r="AJ103" s="1352"/>
      <c r="AK103" s="1352"/>
      <c r="AL103" s="772"/>
    </row>
    <row r="104" spans="1:179" ht="11.25" customHeight="1">
      <c r="E104" s="557"/>
      <c r="F104" s="225"/>
      <c r="G104" s="226"/>
      <c r="H104" s="1335"/>
      <c r="I104" s="1347"/>
      <c r="J104" s="1363"/>
      <c r="K104" s="1349"/>
      <c r="L104" s="1079"/>
      <c r="M104" s="1080"/>
      <c r="N104" s="1355"/>
      <c r="O104" s="1356"/>
      <c r="P104" s="1359"/>
      <c r="Q104" s="1308"/>
      <c r="R104" s="1308"/>
      <c r="S104" s="1361"/>
      <c r="T104" s="1308"/>
      <c r="U104" s="1308"/>
      <c r="V104" s="1308"/>
      <c r="W104" s="1308"/>
      <c r="X104" s="1308"/>
      <c r="Y104" s="1308"/>
      <c r="Z104" s="229"/>
      <c r="AA104" s="230"/>
      <c r="AB104" s="44" t="s">
        <v>1059</v>
      </c>
      <c r="AC104" s="231"/>
      <c r="AD104" s="231"/>
      <c r="AE104" s="246"/>
      <c r="AF104" s="1350"/>
      <c r="AG104" s="1352"/>
      <c r="AH104" s="1352"/>
      <c r="AI104" s="1350"/>
      <c r="AJ104" s="1352"/>
      <c r="AK104" s="1352"/>
      <c r="AL104" s="772"/>
    </row>
    <row r="105" spans="1:179" ht="11.25" customHeight="1">
      <c r="E105" s="557"/>
      <c r="F105" s="225"/>
      <c r="G105" s="226"/>
      <c r="H105" s="1335"/>
      <c r="I105" s="1347"/>
      <c r="J105" s="1363"/>
      <c r="K105" s="1349"/>
      <c r="L105" s="1079"/>
      <c r="M105" s="1080"/>
      <c r="N105" s="229"/>
      <c r="O105" s="230"/>
      <c r="P105" s="44" t="s">
        <v>1060</v>
      </c>
      <c r="Q105" s="230"/>
      <c r="R105" s="230"/>
      <c r="S105" s="230"/>
      <c r="T105" s="230"/>
      <c r="U105" s="230"/>
      <c r="V105" s="230"/>
      <c r="W105" s="230"/>
      <c r="X105" s="230"/>
      <c r="Y105" s="230"/>
      <c r="Z105" s="230"/>
      <c r="AA105" s="230"/>
      <c r="AB105" s="230"/>
      <c r="AC105" s="230"/>
      <c r="AD105" s="230"/>
      <c r="AE105" s="247"/>
      <c r="AF105" s="1350"/>
      <c r="AG105" s="1352"/>
      <c r="AH105" s="1352"/>
      <c r="AI105" s="1350"/>
      <c r="AJ105" s="1352"/>
      <c r="AK105" s="1352"/>
      <c r="AL105" s="772"/>
    </row>
    <row r="107" spans="1:179" ht="11.25" customHeight="1">
      <c r="A107" s="193" t="s">
        <v>2067</v>
      </c>
    </row>
    <row r="108" spans="1:179" ht="17.25" customHeight="1"/>
    <row r="109" spans="1:179" ht="21" customHeight="1">
      <c r="E109" s="248" t="s">
        <v>22</v>
      </c>
      <c r="F109" s="781" t="e">
        <f>INDEX(IP_MAIN_LIST_NAME_IP,MATCH(A109,IP_MAIN_LIST_IP_ID,0))&amp;" ("&amp;INDEX(IP_MAIN_START_DATE,MATCH(A109,IP_MAIN_LIST_IP_ID,0))&amp;"-"&amp;INDEX(IP_MAIN_END_DATE,MATCH(A109,IP_MAIN_LIST_IP_ID,0))&amp;")"</f>
        <v>#N/A</v>
      </c>
      <c r="G109" s="250"/>
      <c r="H109" s="782"/>
      <c r="I109" s="782"/>
      <c r="J109" s="782"/>
      <c r="K109" s="782"/>
      <c r="L109" s="782"/>
      <c r="M109" s="782"/>
      <c r="N109" s="782"/>
      <c r="O109" s="250"/>
      <c r="P109" s="250"/>
      <c r="Q109" s="250"/>
      <c r="R109" s="250"/>
      <c r="S109" s="250"/>
      <c r="T109" s="250"/>
      <c r="U109" s="783"/>
      <c r="V109" s="783"/>
      <c r="W109" s="783"/>
      <c r="X109" s="783"/>
      <c r="Y109" s="783"/>
      <c r="Z109" s="783"/>
      <c r="AA109" s="783"/>
      <c r="AB109" s="250"/>
      <c r="AC109" s="782"/>
      <c r="AD109" s="782"/>
      <c r="AE109" s="782"/>
      <c r="AF109" s="782"/>
      <c r="AG109" s="782"/>
      <c r="AH109" s="782"/>
      <c r="AI109" s="782"/>
      <c r="AJ109" s="782"/>
      <c r="AK109" s="782"/>
      <c r="AL109" s="782"/>
      <c r="AM109" s="782"/>
      <c r="AN109" s="782"/>
      <c r="AO109" s="782"/>
      <c r="AP109" s="782"/>
      <c r="AQ109" s="782"/>
      <c r="AR109" s="782"/>
      <c r="AS109" s="782"/>
      <c r="AT109" s="782"/>
      <c r="AU109" s="782"/>
      <c r="AV109" s="782"/>
      <c r="AW109" s="782"/>
      <c r="AX109" s="782"/>
      <c r="AY109" s="782"/>
      <c r="AZ109" s="782"/>
      <c r="BA109" s="782"/>
      <c r="BB109" s="782"/>
      <c r="BC109" s="782"/>
      <c r="BD109" s="782"/>
      <c r="BE109" s="782"/>
      <c r="BF109" s="782"/>
      <c r="BG109" s="782"/>
      <c r="BH109" s="782"/>
      <c r="BI109" s="782"/>
      <c r="BJ109" s="782"/>
      <c r="BK109" s="782"/>
      <c r="BL109" s="782"/>
      <c r="BM109" s="782"/>
      <c r="BN109" s="782"/>
      <c r="BO109" s="782"/>
      <c r="BP109" s="782"/>
      <c r="BQ109" s="782"/>
      <c r="BR109" s="782"/>
      <c r="BS109" s="782"/>
      <c r="BT109" s="782"/>
      <c r="BU109" s="782"/>
      <c r="BV109" s="782"/>
      <c r="BW109" s="782"/>
      <c r="BX109" s="782"/>
      <c r="BY109" s="782"/>
      <c r="BZ109" s="782"/>
      <c r="CA109" s="782"/>
      <c r="CB109" s="782"/>
      <c r="CC109" s="782"/>
      <c r="CD109" s="782"/>
      <c r="CE109" s="782"/>
      <c r="CF109" s="782"/>
      <c r="CG109" s="782"/>
      <c r="CH109" s="782"/>
      <c r="CI109" s="782"/>
      <c r="CJ109" s="782"/>
      <c r="CK109" s="782"/>
      <c r="CL109" s="784"/>
      <c r="CM109" s="784"/>
      <c r="CN109" s="784"/>
      <c r="CO109" s="784"/>
      <c r="CP109" s="784"/>
      <c r="CQ109" s="784"/>
      <c r="CR109" s="784"/>
      <c r="CS109" s="784"/>
      <c r="CT109" s="784"/>
      <c r="CU109" s="784"/>
      <c r="CV109" s="784"/>
      <c r="CW109" s="784"/>
      <c r="CX109" s="784"/>
      <c r="CY109" s="784"/>
      <c r="CZ109" s="784"/>
      <c r="DA109" s="784"/>
      <c r="DB109" s="784"/>
      <c r="DC109" s="784"/>
      <c r="DD109" s="784"/>
      <c r="DE109" s="784"/>
      <c r="DF109" s="784"/>
      <c r="DG109" s="784"/>
      <c r="DH109" s="784"/>
      <c r="DI109" s="784"/>
      <c r="DJ109" s="784"/>
      <c r="DK109" s="784"/>
      <c r="DL109" s="784"/>
      <c r="DM109" s="784"/>
      <c r="DN109" s="784"/>
      <c r="DO109" s="784"/>
      <c r="DP109" s="784"/>
      <c r="DQ109" s="784"/>
      <c r="DR109" s="784"/>
      <c r="DS109" s="784"/>
      <c r="DT109" s="784"/>
      <c r="DU109" s="784"/>
      <c r="DV109" s="784"/>
      <c r="DW109" s="784"/>
      <c r="DX109" s="784"/>
      <c r="DY109" s="784"/>
      <c r="DZ109" s="784"/>
      <c r="EA109" s="784"/>
      <c r="EB109" s="784"/>
      <c r="EC109" s="784"/>
      <c r="ED109" s="784"/>
      <c r="EE109" s="784"/>
      <c r="EF109" s="784"/>
      <c r="EG109" s="784"/>
      <c r="EH109" s="784"/>
      <c r="EI109" s="784"/>
      <c r="EJ109" s="784"/>
      <c r="EK109" s="784"/>
      <c r="EL109" s="784"/>
      <c r="EM109" s="784"/>
      <c r="EN109" s="784"/>
      <c r="EO109" s="784"/>
      <c r="EP109" s="784"/>
      <c r="EQ109" s="784"/>
      <c r="ER109" s="784"/>
      <c r="ES109" s="784"/>
      <c r="ET109" s="784"/>
      <c r="EU109" s="784"/>
      <c r="EV109" s="784"/>
      <c r="EW109" s="784"/>
      <c r="EX109" s="784"/>
      <c r="EY109" s="784"/>
      <c r="EZ109" s="784"/>
      <c r="FA109" s="784"/>
      <c r="FB109" s="784"/>
      <c r="FC109" s="784"/>
      <c r="FD109" s="784"/>
      <c r="FE109" s="784"/>
      <c r="FF109" s="784"/>
      <c r="FG109" s="784"/>
      <c r="FH109" s="784"/>
      <c r="FI109" s="784"/>
      <c r="FJ109" s="784"/>
      <c r="FK109" s="784"/>
      <c r="FL109" s="784"/>
      <c r="FM109" s="784"/>
      <c r="FN109" s="784"/>
      <c r="FO109" s="784"/>
      <c r="FP109" s="784"/>
      <c r="FQ109" s="784"/>
      <c r="FR109" s="784"/>
      <c r="FS109" s="784"/>
      <c r="FT109" s="784"/>
      <c r="FU109" s="784"/>
      <c r="FV109" s="785"/>
      <c r="FW109" s="786"/>
    </row>
    <row r="110" spans="1:179" ht="24.75" customHeight="1">
      <c r="F110" s="746">
        <v>1</v>
      </c>
      <c r="G110" s="569"/>
      <c r="H110" s="566"/>
      <c r="I110" s="256"/>
      <c r="J110" s="787"/>
      <c r="K110" s="787"/>
      <c r="L110" s="787"/>
      <c r="M110" s="787"/>
      <c r="N110" s="787"/>
      <c r="O110" s="258"/>
      <c r="P110" s="258"/>
      <c r="Q110" s="258"/>
      <c r="R110" s="258"/>
      <c r="S110" s="258"/>
      <c r="T110" s="258"/>
      <c r="U110" s="258"/>
      <c r="V110" s="258"/>
      <c r="W110" s="258"/>
      <c r="X110" s="258"/>
      <c r="Y110" s="258"/>
      <c r="Z110" s="258"/>
      <c r="AA110" s="258"/>
      <c r="AB110" s="258"/>
      <c r="AC110" s="787"/>
      <c r="AD110" s="787"/>
      <c r="AE110" s="787"/>
      <c r="AF110" s="787"/>
      <c r="AG110" s="787"/>
      <c r="AH110" s="787"/>
      <c r="AI110" s="787"/>
      <c r="AJ110" s="787"/>
      <c r="AK110" s="787"/>
      <c r="AL110" s="787"/>
      <c r="AM110" s="787"/>
      <c r="AN110" s="787"/>
      <c r="AO110" s="787"/>
      <c r="AP110" s="787"/>
      <c r="AQ110" s="787"/>
      <c r="AR110" s="787"/>
      <c r="AS110" s="787"/>
      <c r="AT110" s="787"/>
      <c r="AU110" s="787"/>
      <c r="AV110" s="787"/>
      <c r="AW110" s="787"/>
      <c r="AX110" s="787"/>
      <c r="AY110" s="787"/>
      <c r="AZ110" s="787"/>
      <c r="BA110" s="787"/>
      <c r="BB110" s="787"/>
      <c r="BC110" s="787"/>
      <c r="BD110" s="787"/>
      <c r="BE110" s="787"/>
      <c r="BF110" s="787"/>
      <c r="BG110" s="787"/>
      <c r="BH110" s="787"/>
      <c r="BI110" s="787"/>
      <c r="BJ110" s="787"/>
      <c r="BK110" s="787"/>
      <c r="BL110" s="787"/>
      <c r="BM110" s="787"/>
      <c r="BN110" s="787"/>
      <c r="BO110" s="787"/>
      <c r="BP110" s="787"/>
      <c r="BQ110" s="787"/>
      <c r="BR110" s="787"/>
      <c r="BS110" s="787"/>
      <c r="BT110" s="258"/>
      <c r="BU110" s="258"/>
      <c r="BV110" s="258"/>
      <c r="BW110" s="258"/>
      <c r="BX110" s="258"/>
      <c r="BY110" s="258"/>
      <c r="BZ110" s="258"/>
      <c r="CA110" s="258"/>
      <c r="CB110" s="258"/>
      <c r="CC110" s="258"/>
      <c r="CD110" s="258"/>
      <c r="CE110" s="258"/>
      <c r="CF110" s="258"/>
      <c r="CG110" s="258"/>
      <c r="CH110" s="258"/>
      <c r="CI110" s="258"/>
      <c r="CJ110" s="258"/>
      <c r="CK110" s="258"/>
      <c r="CL110" s="787"/>
      <c r="CM110" s="787"/>
      <c r="CN110" s="787"/>
      <c r="CO110" s="787"/>
      <c r="CP110" s="787"/>
      <c r="CQ110" s="787"/>
      <c r="CR110" s="787"/>
      <c r="CS110" s="787"/>
      <c r="CT110" s="787"/>
      <c r="CU110" s="787"/>
      <c r="CV110" s="787"/>
      <c r="CW110" s="787"/>
      <c r="CX110" s="787"/>
      <c r="CY110" s="258"/>
      <c r="CZ110" s="258"/>
      <c r="DA110" s="258"/>
      <c r="DB110" s="258"/>
      <c r="DC110" s="258"/>
      <c r="DD110" s="258"/>
      <c r="DE110" s="258"/>
      <c r="DF110" s="258"/>
      <c r="DG110" s="258"/>
      <c r="DH110" s="258"/>
      <c r="DI110" s="258"/>
      <c r="DJ110" s="258"/>
      <c r="DK110" s="787"/>
      <c r="DL110" s="787"/>
      <c r="DM110" s="787"/>
      <c r="DN110" s="787"/>
      <c r="DO110" s="787"/>
      <c r="DP110" s="787"/>
      <c r="DQ110" s="787"/>
      <c r="DR110" s="787"/>
      <c r="DS110" s="787"/>
      <c r="DT110" s="787"/>
      <c r="DU110" s="787"/>
      <c r="DV110" s="787"/>
      <c r="DW110" s="787"/>
      <c r="DX110" s="787"/>
      <c r="DY110" s="787"/>
      <c r="DZ110" s="787"/>
      <c r="EA110" s="787"/>
      <c r="EB110" s="787"/>
      <c r="EC110" s="787"/>
      <c r="ED110" s="787"/>
      <c r="EE110" s="787"/>
      <c r="EF110" s="787"/>
      <c r="EG110" s="787"/>
      <c r="EH110" s="787"/>
      <c r="EI110" s="787"/>
      <c r="EJ110" s="787"/>
      <c r="EK110" s="787"/>
      <c r="EL110" s="787"/>
      <c r="EM110" s="787"/>
      <c r="EN110" s="787"/>
      <c r="EO110" s="787"/>
      <c r="EP110" s="787"/>
      <c r="EQ110" s="787"/>
      <c r="ER110" s="787"/>
      <c r="ES110" s="787"/>
      <c r="ET110" s="787"/>
      <c r="EU110" s="787"/>
      <c r="EV110" s="787"/>
      <c r="EW110" s="787"/>
      <c r="EX110" s="787"/>
      <c r="EY110" s="787"/>
      <c r="EZ110" s="787"/>
      <c r="FA110" s="787"/>
      <c r="FB110" s="787"/>
      <c r="FC110" s="787"/>
      <c r="FD110" s="787"/>
      <c r="FE110" s="787"/>
      <c r="FF110" s="787"/>
      <c r="FG110" s="787"/>
      <c r="FH110" s="787"/>
      <c r="FI110" s="787"/>
      <c r="FJ110" s="787"/>
      <c r="FK110" s="787"/>
      <c r="FL110" s="787"/>
      <c r="FM110" s="787"/>
      <c r="FN110" s="787"/>
      <c r="FO110" s="787"/>
      <c r="FP110" s="787"/>
      <c r="FQ110" s="787"/>
      <c r="FR110" s="787"/>
      <c r="FS110" s="787"/>
      <c r="FT110" s="787"/>
      <c r="FU110" s="787"/>
      <c r="FV110" s="787"/>
      <c r="FW110" s="787"/>
    </row>
    <row r="111" spans="1:179" ht="12" customHeight="1">
      <c r="F111" s="259"/>
      <c r="G111" s="224" t="s">
        <v>1307</v>
      </c>
      <c r="H111" s="224"/>
      <c r="I111" s="224"/>
      <c r="J111" s="224"/>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60"/>
    </row>
    <row r="113" spans="1:34" ht="11.25" customHeight="1">
      <c r="A113" s="193" t="s">
        <v>2068</v>
      </c>
    </row>
    <row r="115" spans="1:34" ht="15" hidden="1" customHeight="1">
      <c r="D115" s="1290" t="s">
        <v>114</v>
      </c>
      <c r="E115" s="1287" t="s">
        <v>110</v>
      </c>
      <c r="F115" s="1288"/>
      <c r="G115" s="1289"/>
      <c r="H115" s="1285" t="str">
        <f>IF(A115="","",INDEX(DIFFERENTIATION_UNMERGE_VD,MATCH(A115,DIFFERENTIATION_ID_DIFF,0)))</f>
        <v/>
      </c>
      <c r="I115" s="1285"/>
      <c r="J115" s="1285"/>
      <c r="K115" s="1285"/>
      <c r="L115" s="1285"/>
      <c r="M115" s="1285"/>
      <c r="N115" s="1285"/>
      <c r="O115" s="1285"/>
      <c r="P115" s="1285"/>
      <c r="Q115" s="1285"/>
      <c r="R115" s="1285"/>
      <c r="S115" s="788"/>
      <c r="T115" s="261"/>
      <c r="AC115" s="1038"/>
      <c r="AE115" t="s">
        <v>22</v>
      </c>
      <c r="AG115" s="789" t="s">
        <v>624</v>
      </c>
      <c r="AH115" s="790">
        <v>3</v>
      </c>
    </row>
    <row r="116" spans="1:34" ht="15" hidden="1" customHeight="1">
      <c r="D116" s="1291"/>
      <c r="E116" s="1287" t="s">
        <v>572</v>
      </c>
      <c r="F116" s="1288"/>
      <c r="G116" s="1289"/>
      <c r="H116" s="1285" t="str">
        <f>IF(A115="","",INDEX(DIFFERENTIATION_UNMERGE_AREA,MATCH(A115,DIFFERENTIATION_ID_DIFF,0)))</f>
        <v/>
      </c>
      <c r="I116" s="1285"/>
      <c r="J116" s="1285"/>
      <c r="K116" s="1285"/>
      <c r="L116" s="1285"/>
      <c r="M116" s="1285"/>
      <c r="N116" s="1285"/>
      <c r="O116" s="1285"/>
      <c r="P116" s="1285"/>
      <c r="Q116" s="1285"/>
      <c r="R116" s="1285"/>
      <c r="S116" s="788"/>
      <c r="T116" s="261"/>
      <c r="AC116" s="1038"/>
    </row>
    <row r="117" spans="1:34" ht="15" hidden="1" customHeight="1">
      <c r="D117" s="1291"/>
      <c r="E117" s="1287" t="s">
        <v>573</v>
      </c>
      <c r="F117" s="1288"/>
      <c r="G117" s="1289"/>
      <c r="H117" s="1285" t="str">
        <f>IF(A115="","",INDEX(DIFFERENTIATION_UNMERGE_SYSTEM,MATCH(A115,DIFFERENTIATION_ID_DIFF,0)))</f>
        <v/>
      </c>
      <c r="I117" s="1285"/>
      <c r="J117" s="1285"/>
      <c r="K117" s="1285"/>
      <c r="L117" s="1285"/>
      <c r="M117" s="1285"/>
      <c r="N117" s="1285"/>
      <c r="O117" s="1285"/>
      <c r="P117" s="1285"/>
      <c r="Q117" s="1285"/>
      <c r="R117" s="1285"/>
      <c r="S117" s="788"/>
      <c r="T117" s="261"/>
      <c r="AC117" s="1038"/>
    </row>
    <row r="118" spans="1:34" ht="24.75" hidden="1" customHeight="1">
      <c r="D118" s="1291"/>
      <c r="E118" s="1286" t="s">
        <v>625</v>
      </c>
      <c r="F118" s="1286"/>
      <c r="G118" s="1286"/>
      <c r="H118" s="1286"/>
      <c r="I118" s="1286"/>
      <c r="J118" s="1286"/>
      <c r="K118" s="1286"/>
      <c r="L118" s="1286"/>
      <c r="M118" s="1286"/>
      <c r="N118" s="1286"/>
      <c r="O118" s="1286"/>
      <c r="P118" s="1286"/>
      <c r="Q118" s="263">
        <f>SUMIF(T119:T120,"i",Q119:Q120)</f>
        <v>0</v>
      </c>
      <c r="R118" s="264"/>
      <c r="S118" s="620" t="s">
        <v>626</v>
      </c>
      <c r="T118" s="261" t="s">
        <v>627</v>
      </c>
      <c r="U118" s="1196">
        <v>1</v>
      </c>
      <c r="V118" s="1196" t="s">
        <v>583</v>
      </c>
      <c r="AC118" s="1038"/>
    </row>
    <row r="119" spans="1:34" ht="11.25" hidden="1" customHeight="1">
      <c r="D119" s="1291"/>
      <c r="E119" s="636"/>
      <c r="F119" s="636">
        <v>0</v>
      </c>
      <c r="G119" s="636"/>
      <c r="H119" s="636"/>
      <c r="I119" s="636"/>
      <c r="J119" s="636"/>
      <c r="K119" s="636"/>
      <c r="L119" s="636"/>
      <c r="M119" s="636"/>
      <c r="N119" s="636"/>
      <c r="O119" s="636"/>
      <c r="P119" s="636"/>
      <c r="Q119" s="636"/>
      <c r="R119" s="636"/>
      <c r="S119" s="635"/>
      <c r="T119" s="792"/>
      <c r="U119" s="1038"/>
      <c r="V119" s="1038"/>
      <c r="AC119" s="1038"/>
    </row>
    <row r="120" spans="1:34" ht="11.25" hidden="1" customHeight="1">
      <c r="D120" s="1291"/>
      <c r="E120" s="265" t="s">
        <v>22</v>
      </c>
      <c r="F120" s="44" t="s">
        <v>22</v>
      </c>
      <c r="G120" s="44" t="s">
        <v>630</v>
      </c>
      <c r="H120" s="49" t="s">
        <v>22</v>
      </c>
      <c r="I120" s="49"/>
      <c r="J120" s="49"/>
      <c r="K120" s="49"/>
      <c r="L120" s="49"/>
      <c r="M120" s="49"/>
      <c r="N120" s="49"/>
      <c r="O120" s="49"/>
      <c r="P120" s="49"/>
      <c r="Q120" s="49"/>
      <c r="R120" s="59"/>
      <c r="S120" s="793"/>
      <c r="T120" s="792"/>
      <c r="U120" s="1038"/>
      <c r="V120" s="1038"/>
      <c r="AC120" s="1038"/>
    </row>
    <row r="121" spans="1:34" ht="24.75" hidden="1" customHeight="1">
      <c r="D121" s="1291"/>
      <c r="E121" s="1286" t="s">
        <v>628</v>
      </c>
      <c r="F121" s="1286"/>
      <c r="G121" s="1286"/>
      <c r="H121" s="1286"/>
      <c r="I121" s="1286"/>
      <c r="J121" s="1286"/>
      <c r="K121" s="1286"/>
      <c r="L121" s="1286"/>
      <c r="M121" s="1286"/>
      <c r="N121" s="1286"/>
      <c r="O121" s="1286"/>
      <c r="P121" s="1286"/>
      <c r="Q121" s="263">
        <f>SUMIF(T122:T123,"i",Q122:Q123)</f>
        <v>0</v>
      </c>
      <c r="R121" s="264"/>
      <c r="S121" s="620" t="s">
        <v>629</v>
      </c>
      <c r="T121" s="261" t="s">
        <v>627</v>
      </c>
      <c r="U121" s="1196">
        <v>1</v>
      </c>
      <c r="V121" s="1196" t="s">
        <v>583</v>
      </c>
    </row>
    <row r="122" spans="1:34" ht="11.25" hidden="1" customHeight="1">
      <c r="D122" s="1291"/>
      <c r="E122" s="636"/>
      <c r="F122" s="636">
        <v>0</v>
      </c>
      <c r="G122" s="636"/>
      <c r="H122" s="636"/>
      <c r="I122" s="636"/>
      <c r="J122" s="636"/>
      <c r="K122" s="636"/>
      <c r="L122" s="636"/>
      <c r="M122" s="636"/>
      <c r="N122" s="636"/>
      <c r="O122" s="636"/>
      <c r="P122" s="636"/>
      <c r="Q122" s="636"/>
      <c r="R122" s="636"/>
      <c r="S122" s="635"/>
      <c r="T122" s="792"/>
      <c r="U122" s="1038"/>
      <c r="V122" s="1038"/>
    </row>
    <row r="123" spans="1:34" ht="11.25" hidden="1" customHeight="1">
      <c r="D123" s="1292"/>
      <c r="E123" s="265" t="s">
        <v>22</v>
      </c>
      <c r="F123" s="44" t="s">
        <v>22</v>
      </c>
      <c r="G123" s="44" t="s">
        <v>630</v>
      </c>
      <c r="H123" s="49" t="s">
        <v>22</v>
      </c>
      <c r="I123" s="49"/>
      <c r="J123" s="49"/>
      <c r="K123" s="49"/>
      <c r="L123" s="49"/>
      <c r="M123" s="49"/>
      <c r="N123" s="49"/>
      <c r="O123" s="49"/>
      <c r="P123" s="49"/>
      <c r="Q123" s="49"/>
      <c r="R123" s="59"/>
      <c r="S123" s="793"/>
      <c r="T123" s="792"/>
      <c r="U123" s="1038"/>
      <c r="V123" s="1038"/>
    </row>
    <row r="125" spans="1:34" ht="11.25" customHeight="1">
      <c r="A125" s="193" t="s">
        <v>2069</v>
      </c>
    </row>
    <row r="127" spans="1:34" ht="15" customHeight="1">
      <c r="D127" s="1290" t="s">
        <v>114</v>
      </c>
      <c r="E127" s="1287" t="s">
        <v>110</v>
      </c>
      <c r="F127" s="1288"/>
      <c r="G127" s="1289"/>
      <c r="H127" s="1285" t="str">
        <f>IF(A127="","",INDEX(DIFFERENTIATION_UNMERGE_VD,MATCH(A127,DIFFERENTIATION_ID_DIFF,0)))</f>
        <v/>
      </c>
      <c r="I127" s="1285"/>
      <c r="J127" s="1285"/>
      <c r="K127" s="1285"/>
      <c r="L127" s="1285"/>
      <c r="M127" s="1285"/>
      <c r="N127" s="1285"/>
      <c r="O127" s="1285"/>
      <c r="P127" s="1285"/>
      <c r="Q127" s="1285"/>
      <c r="R127" s="1285"/>
      <c r="S127" s="788"/>
      <c r="T127" s="261"/>
      <c r="AC127" s="1038"/>
      <c r="AE127" t="s">
        <v>22</v>
      </c>
      <c r="AG127" s="789" t="s">
        <v>624</v>
      </c>
      <c r="AH127" s="790">
        <v>3</v>
      </c>
    </row>
    <row r="128" spans="1:34" ht="15" customHeight="1">
      <c r="D128" s="1291"/>
      <c r="E128" s="1287" t="s">
        <v>572</v>
      </c>
      <c r="F128" s="1288"/>
      <c r="G128" s="1289"/>
      <c r="H128" s="1285" t="str">
        <f>IF(A127="","",INDEX(DIFFERENTIATION_UNMERGE_AREA,MATCH(A127,DIFFERENTIATION_ID_DIFF,0)))</f>
        <v/>
      </c>
      <c r="I128" s="1285"/>
      <c r="J128" s="1285"/>
      <c r="K128" s="1285"/>
      <c r="L128" s="1285"/>
      <c r="M128" s="1285"/>
      <c r="N128" s="1285"/>
      <c r="O128" s="1285"/>
      <c r="P128" s="1285"/>
      <c r="Q128" s="1285"/>
      <c r="R128" s="1285"/>
      <c r="S128" s="788"/>
      <c r="T128" s="261"/>
      <c r="AC128" s="1038"/>
    </row>
    <row r="129" spans="1:29" ht="15" customHeight="1">
      <c r="D129" s="1291"/>
      <c r="E129" s="1287" t="s">
        <v>573</v>
      </c>
      <c r="F129" s="1288"/>
      <c r="G129" s="1289"/>
      <c r="H129" s="1285" t="str">
        <f>IF(A127="","",INDEX(DIFFERENTIATION_UNMERGE_SYSTEM,MATCH(A127,DIFFERENTIATION_ID_DIFF,0)))</f>
        <v/>
      </c>
      <c r="I129" s="1285"/>
      <c r="J129" s="1285"/>
      <c r="K129" s="1285"/>
      <c r="L129" s="1285"/>
      <c r="M129" s="1285"/>
      <c r="N129" s="1285"/>
      <c r="O129" s="1285"/>
      <c r="P129" s="1285"/>
      <c r="Q129" s="1285"/>
      <c r="R129" s="1285"/>
      <c r="S129" s="788"/>
      <c r="T129" s="261"/>
      <c r="AC129" s="1038"/>
    </row>
    <row r="130" spans="1:29" ht="24.75" customHeight="1">
      <c r="D130" s="1291"/>
      <c r="E130" s="1286" t="s">
        <v>625</v>
      </c>
      <c r="F130" s="1286"/>
      <c r="G130" s="1286"/>
      <c r="H130" s="1286"/>
      <c r="I130" s="1286"/>
      <c r="J130" s="1286"/>
      <c r="K130" s="1286"/>
      <c r="L130" s="1286"/>
      <c r="M130" s="1286"/>
      <c r="N130" s="1286"/>
      <c r="O130" s="1286"/>
      <c r="P130" s="1286"/>
      <c r="Q130" s="263">
        <f>SUMIF(T131:T132,"i",Q131:Q132)</f>
        <v>0</v>
      </c>
      <c r="R130" s="264"/>
      <c r="S130" s="620" t="s">
        <v>626</v>
      </c>
      <c r="T130" s="261" t="s">
        <v>627</v>
      </c>
      <c r="U130" s="1196">
        <v>1</v>
      </c>
      <c r="V130" s="1196" t="s">
        <v>583</v>
      </c>
      <c r="AC130" s="1038"/>
    </row>
    <row r="131" spans="1:29" ht="11.25" hidden="1" customHeight="1">
      <c r="D131" s="1291"/>
      <c r="E131" s="636"/>
      <c r="F131" s="636">
        <v>0</v>
      </c>
      <c r="G131" s="636"/>
      <c r="H131" s="636"/>
      <c r="I131" s="636"/>
      <c r="J131" s="636"/>
      <c r="K131" s="636"/>
      <c r="L131" s="636"/>
      <c r="M131" s="636"/>
      <c r="N131" s="636"/>
      <c r="O131" s="636"/>
      <c r="P131" s="636"/>
      <c r="Q131" s="636"/>
      <c r="R131" s="636"/>
      <c r="S131" s="635"/>
      <c r="T131" s="792"/>
      <c r="U131" s="1038"/>
      <c r="V131" s="1038"/>
      <c r="AC131" s="1038"/>
    </row>
    <row r="132" spans="1:29" ht="11.25" customHeight="1">
      <c r="D132" s="1291"/>
      <c r="E132" s="265" t="s">
        <v>22</v>
      </c>
      <c r="F132" s="44" t="s">
        <v>22</v>
      </c>
      <c r="G132" s="44" t="s">
        <v>630</v>
      </c>
      <c r="H132" s="49" t="s">
        <v>22</v>
      </c>
      <c r="I132" s="49"/>
      <c r="J132" s="49"/>
      <c r="K132" s="49"/>
      <c r="L132" s="49"/>
      <c r="M132" s="49"/>
      <c r="N132" s="49"/>
      <c r="O132" s="49"/>
      <c r="P132" s="49"/>
      <c r="Q132" s="49"/>
      <c r="R132" s="59"/>
      <c r="S132" s="793"/>
      <c r="T132" s="792"/>
      <c r="U132" s="1038"/>
      <c r="V132" s="1038"/>
      <c r="AC132" s="1038"/>
    </row>
    <row r="133" spans="1:29" ht="5.25" hidden="1" customHeight="1">
      <c r="D133" s="1291"/>
      <c r="E133" s="794"/>
      <c r="F133" s="794"/>
      <c r="G133" s="794"/>
      <c r="H133" s="794"/>
      <c r="I133" s="794"/>
      <c r="J133" s="794"/>
      <c r="K133" s="794"/>
      <c r="L133" s="794"/>
      <c r="M133" s="794"/>
      <c r="N133" s="794"/>
      <c r="O133" s="794"/>
      <c r="P133" s="794"/>
      <c r="Q133" s="266"/>
      <c r="R133" s="267"/>
      <c r="S133" s="636"/>
      <c r="T133" s="261" t="s">
        <v>627</v>
      </c>
      <c r="U133" s="1196">
        <v>1</v>
      </c>
      <c r="V133" s="1196" t="s">
        <v>583</v>
      </c>
    </row>
    <row r="134" spans="1:29" ht="5.25" hidden="1" customHeight="1">
      <c r="D134" s="1291"/>
      <c r="E134" s="636"/>
      <c r="F134" s="636"/>
      <c r="G134" s="636"/>
      <c r="H134" s="636"/>
      <c r="I134" s="636"/>
      <c r="J134" s="636"/>
      <c r="K134" s="636"/>
      <c r="L134" s="636"/>
      <c r="M134" s="636"/>
      <c r="N134" s="636"/>
      <c r="O134" s="636"/>
      <c r="P134" s="636"/>
      <c r="Q134" s="636"/>
      <c r="R134" s="636"/>
      <c r="S134" s="635"/>
      <c r="T134" s="792"/>
      <c r="U134" s="1038"/>
      <c r="V134" s="1038"/>
    </row>
    <row r="135" spans="1:29" ht="5.25" hidden="1" customHeight="1">
      <c r="D135" s="1292"/>
      <c r="E135" s="268"/>
      <c r="F135" s="269"/>
      <c r="G135" s="269"/>
      <c r="H135" s="270"/>
      <c r="I135" s="270"/>
      <c r="J135" s="270"/>
      <c r="K135" s="270"/>
      <c r="L135" s="270"/>
      <c r="M135" s="270"/>
      <c r="N135" s="270"/>
      <c r="O135" s="270"/>
      <c r="P135" s="270"/>
      <c r="Q135" s="270"/>
      <c r="R135" s="271"/>
      <c r="S135" s="795"/>
      <c r="T135" s="792"/>
      <c r="U135" s="1038"/>
      <c r="V135" s="1038"/>
    </row>
    <row r="136" spans="1:29" ht="17.25" customHeight="1">
      <c r="D136" s="272"/>
    </row>
    <row r="137" spans="1:29" ht="11.25" customHeight="1">
      <c r="A137" s="193" t="s">
        <v>2070</v>
      </c>
    </row>
    <row r="139" spans="1:29" ht="45" customHeight="1">
      <c r="E139" s="1440"/>
      <c r="F139" s="1080" t="s">
        <v>114</v>
      </c>
      <c r="G139" s="1443" t="s">
        <v>22</v>
      </c>
      <c r="H139" s="796"/>
      <c r="I139" s="273" t="s">
        <v>114</v>
      </c>
      <c r="J139" s="797" t="s">
        <v>2071</v>
      </c>
      <c r="K139" s="65" t="s">
        <v>554</v>
      </c>
      <c r="L139" s="1161" t="s">
        <v>554</v>
      </c>
      <c r="M139" s="1126"/>
      <c r="N139" s="65" t="s">
        <v>554</v>
      </c>
      <c r="O139" s="65" t="s">
        <v>554</v>
      </c>
      <c r="P139" s="65" t="s">
        <v>554</v>
      </c>
      <c r="Q139" s="274">
        <f>SUM(Q140:Q142)</f>
        <v>0</v>
      </c>
      <c r="R139" s="274">
        <f>IF(R136=0,0,(Q136/R136)*100)</f>
        <v>0</v>
      </c>
      <c r="S139" s="1138"/>
      <c r="T139" s="261" t="s">
        <v>627</v>
      </c>
    </row>
    <row r="140" spans="1:29" ht="11.25" customHeight="1">
      <c r="E140" s="1441"/>
      <c r="F140" s="1080"/>
      <c r="G140" s="1443"/>
      <c r="H140" s="1070"/>
      <c r="I140" s="1335" t="s">
        <v>1212</v>
      </c>
      <c r="J140" s="1438"/>
      <c r="K140" s="1439"/>
      <c r="L140" s="799"/>
      <c r="M140" s="275" t="s">
        <v>114</v>
      </c>
      <c r="N140" s="95"/>
      <c r="O140" s="115"/>
      <c r="P140" s="204"/>
      <c r="Q140" s="115"/>
      <c r="R140" s="276">
        <v>0</v>
      </c>
      <c r="S140" s="1138"/>
      <c r="T140" s="261"/>
    </row>
    <row r="141" spans="1:29" ht="11.25" customHeight="1">
      <c r="E141" s="1441"/>
      <c r="F141" s="1080"/>
      <c r="G141" s="1443"/>
      <c r="H141" s="1070"/>
      <c r="I141" s="1335"/>
      <c r="J141" s="1438"/>
      <c r="K141" s="1435"/>
      <c r="L141" s="277"/>
      <c r="M141" s="278"/>
      <c r="N141" s="49" t="s">
        <v>2072</v>
      </c>
      <c r="O141" s="49"/>
      <c r="P141" s="49"/>
      <c r="Q141" s="49"/>
      <c r="R141" s="59"/>
      <c r="S141" s="1138"/>
      <c r="T141" s="261"/>
    </row>
    <row r="142" spans="1:29" ht="11.25" customHeight="1">
      <c r="E142" s="1442"/>
      <c r="F142" s="1080"/>
      <c r="G142" s="1444"/>
      <c r="H142" s="277" t="s">
        <v>22</v>
      </c>
      <c r="I142" s="278"/>
      <c r="J142" s="49" t="s">
        <v>2073</v>
      </c>
      <c r="K142" s="49"/>
      <c r="L142" s="49"/>
      <c r="M142" s="49"/>
      <c r="N142" s="49"/>
      <c r="O142" s="49"/>
      <c r="P142" s="49"/>
      <c r="Q142" s="49"/>
      <c r="R142" s="59"/>
      <c r="S142" s="1138"/>
      <c r="T142" s="261"/>
    </row>
    <row r="147" spans="1:23" ht="11.25" customHeight="1">
      <c r="E147" s="226"/>
      <c r="F147" s="226"/>
      <c r="G147" s="226"/>
      <c r="H147" s="1070"/>
      <c r="I147" s="1335" t="s">
        <v>1212</v>
      </c>
      <c r="J147" s="1438"/>
      <c r="K147" s="1439"/>
      <c r="L147" s="799"/>
      <c r="M147" s="275" t="s">
        <v>114</v>
      </c>
      <c r="N147" s="95"/>
      <c r="O147" s="115"/>
      <c r="P147" s="204"/>
      <c r="Q147" s="115"/>
      <c r="R147" s="276">
        <v>0</v>
      </c>
      <c r="T147" s="261"/>
    </row>
    <row r="148" spans="1:23" ht="11.25" customHeight="1">
      <c r="E148" s="226"/>
      <c r="F148" s="226"/>
      <c r="G148" s="226"/>
      <c r="H148" s="1070"/>
      <c r="I148" s="1335"/>
      <c r="J148" s="1438"/>
      <c r="K148" s="1435"/>
      <c r="L148" s="277"/>
      <c r="M148" s="278"/>
      <c r="N148" s="49" t="s">
        <v>2072</v>
      </c>
      <c r="O148" s="49"/>
      <c r="P148" s="49"/>
      <c r="Q148" s="49"/>
      <c r="R148" s="59"/>
      <c r="T148" s="261"/>
    </row>
    <row r="150" spans="1:23" ht="11.25" customHeight="1">
      <c r="E150" s="279"/>
      <c r="H150" s="280"/>
      <c r="I150" s="226"/>
      <c r="J150" s="228"/>
      <c r="K150" s="228"/>
      <c r="L150" s="799"/>
      <c r="M150" s="275" t="s">
        <v>114</v>
      </c>
      <c r="N150" s="95"/>
      <c r="O150" s="115"/>
      <c r="P150" s="204"/>
      <c r="Q150" s="115"/>
      <c r="R150" s="276">
        <v>0</v>
      </c>
      <c r="T150" s="261"/>
    </row>
    <row r="152" spans="1:23" ht="17.25" customHeight="1">
      <c r="A152" s="193" t="s">
        <v>2074</v>
      </c>
    </row>
    <row r="153" spans="1:23" ht="17.25" customHeight="1"/>
    <row r="154" spans="1:23" ht="17.25" customHeight="1">
      <c r="D154" s="1434"/>
      <c r="E154" s="1097"/>
      <c r="F154" s="1105"/>
      <c r="G154" s="1436"/>
      <c r="H154" s="1434"/>
      <c r="I154" s="1434">
        <v>1</v>
      </c>
      <c r="J154" s="1447"/>
      <c r="K154" s="1141" t="s">
        <v>61</v>
      </c>
      <c r="L154" s="1080"/>
      <c r="M154" s="1080" t="s">
        <v>114</v>
      </c>
      <c r="N154" s="1445" t="str">
        <f>IF(Z154="","",INDEX(TERRITORY_MR_LIST,MATCH(Z154,TERRITORY_LIST_ID,0)))</f>
        <v/>
      </c>
      <c r="O154" s="1141" t="s">
        <v>61</v>
      </c>
      <c r="P154" s="1080"/>
      <c r="Q154" s="1080" t="s">
        <v>114</v>
      </c>
      <c r="R154" s="1435" t="s">
        <v>22</v>
      </c>
      <c r="S154" s="1079" t="s">
        <v>61</v>
      </c>
      <c r="T154" s="55"/>
      <c r="U154" s="55" t="s">
        <v>114</v>
      </c>
      <c r="V154" s="95" t="s">
        <v>22</v>
      </c>
      <c r="W154" s="106"/>
    </row>
    <row r="155" spans="1:23" ht="17.25" customHeight="1">
      <c r="D155" s="1434"/>
      <c r="E155" s="1097"/>
      <c r="F155" s="1106"/>
      <c r="G155" s="1436"/>
      <c r="H155" s="1434"/>
      <c r="I155" s="1434"/>
      <c r="J155" s="1447"/>
      <c r="K155" s="1142"/>
      <c r="L155" s="1080"/>
      <c r="M155" s="1080"/>
      <c r="N155" s="1445"/>
      <c r="O155" s="1142"/>
      <c r="P155" s="1080"/>
      <c r="Q155" s="1080"/>
      <c r="R155" s="1435"/>
      <c r="S155" s="1079"/>
      <c r="T155" s="800"/>
      <c r="U155" s="801"/>
      <c r="V155" s="801" t="s">
        <v>422</v>
      </c>
      <c r="W155" s="802"/>
    </row>
    <row r="156" spans="1:23" ht="17.25" customHeight="1">
      <c r="D156" s="1081"/>
      <c r="E156" s="1098"/>
      <c r="F156" s="1106"/>
      <c r="G156" s="1437"/>
      <c r="H156" s="1081"/>
      <c r="I156" s="1081"/>
      <c r="J156" s="1448"/>
      <c r="K156" s="1142"/>
      <c r="L156" s="1081"/>
      <c r="M156" s="1081"/>
      <c r="N156" s="1446"/>
      <c r="O156" s="1085"/>
      <c r="P156" s="800"/>
      <c r="Q156" s="801"/>
      <c r="R156" s="801" t="s">
        <v>423</v>
      </c>
      <c r="S156" s="803"/>
      <c r="T156" s="803"/>
      <c r="U156" s="803"/>
      <c r="V156" s="803"/>
      <c r="W156" s="802"/>
    </row>
    <row r="157" spans="1:23" ht="17.25" customHeight="1">
      <c r="D157" s="1081"/>
      <c r="E157" s="1098"/>
      <c r="F157" s="1106"/>
      <c r="G157" s="1437"/>
      <c r="H157" s="1081"/>
      <c r="I157" s="1081"/>
      <c r="J157" s="1448"/>
      <c r="K157" s="1085"/>
      <c r="L157" s="800"/>
      <c r="M157" s="801"/>
      <c r="N157" s="801" t="s">
        <v>424</v>
      </c>
      <c r="O157" s="801"/>
      <c r="P157" s="801"/>
      <c r="Q157" s="801"/>
      <c r="R157" s="801"/>
      <c r="S157" s="803"/>
      <c r="T157" s="803"/>
      <c r="U157" s="803"/>
      <c r="V157" s="803"/>
      <c r="W157" s="802"/>
    </row>
    <row r="158" spans="1:23" ht="17.25" customHeight="1">
      <c r="D158" s="1081"/>
      <c r="E158" s="1098"/>
      <c r="F158" s="1107"/>
      <c r="G158" s="1437"/>
      <c r="H158" s="800"/>
      <c r="I158" s="801"/>
      <c r="J158" s="801" t="s">
        <v>456</v>
      </c>
      <c r="K158" s="801"/>
      <c r="L158" s="801"/>
      <c r="M158" s="801"/>
      <c r="N158" s="801"/>
      <c r="O158" s="801"/>
      <c r="P158" s="801"/>
      <c r="Q158" s="801"/>
      <c r="R158" s="801"/>
      <c r="S158" s="803"/>
      <c r="T158" s="803"/>
      <c r="U158" s="803"/>
      <c r="V158" s="803"/>
      <c r="W158" s="802"/>
    </row>
    <row r="159" spans="1:23" ht="17.25" customHeight="1"/>
    <row r="160" spans="1:23" ht="17.25" customHeight="1">
      <c r="D160" s="226"/>
      <c r="E160" s="281"/>
      <c r="F160" s="608"/>
      <c r="G160" s="282"/>
      <c r="H160" s="1434"/>
      <c r="I160" s="1434">
        <v>1</v>
      </c>
      <c r="J160" s="1447"/>
      <c r="K160" s="1141" t="s">
        <v>61</v>
      </c>
      <c r="L160" s="1080"/>
      <c r="M160" s="1080" t="s">
        <v>114</v>
      </c>
      <c r="N160" s="1445" t="str">
        <f>IF(Z160="","",INDEX(TERRITORY_MR_LIST,MATCH(Z160,TERRITORY_LIST_ID,0)))</f>
        <v/>
      </c>
      <c r="O160" s="1141" t="s">
        <v>61</v>
      </c>
      <c r="P160" s="1080"/>
      <c r="Q160" s="1080" t="s">
        <v>114</v>
      </c>
      <c r="R160" s="1435" t="s">
        <v>22</v>
      </c>
      <c r="S160" s="1079" t="s">
        <v>61</v>
      </c>
      <c r="T160" s="55"/>
      <c r="U160" s="55" t="s">
        <v>114</v>
      </c>
      <c r="V160" s="95" t="s">
        <v>22</v>
      </c>
      <c r="W160" s="106"/>
    </row>
    <row r="161" spans="1:23" ht="17.25" customHeight="1">
      <c r="D161" s="226"/>
      <c r="E161" s="281"/>
      <c r="F161" s="608"/>
      <c r="G161" s="282"/>
      <c r="H161" s="1434"/>
      <c r="I161" s="1434"/>
      <c r="J161" s="1447"/>
      <c r="K161" s="1142"/>
      <c r="L161" s="1080"/>
      <c r="M161" s="1080"/>
      <c r="N161" s="1445"/>
      <c r="O161" s="1142"/>
      <c r="P161" s="1080"/>
      <c r="Q161" s="1080"/>
      <c r="R161" s="1435"/>
      <c r="S161" s="1079"/>
      <c r="T161" s="800"/>
      <c r="U161" s="801"/>
      <c r="V161" s="801" t="s">
        <v>422</v>
      </c>
      <c r="W161" s="802"/>
    </row>
    <row r="162" spans="1:23" ht="17.25" customHeight="1">
      <c r="D162" s="226"/>
      <c r="E162" s="281"/>
      <c r="F162" s="608"/>
      <c r="G162" s="282"/>
      <c r="H162" s="1081"/>
      <c r="I162" s="1081"/>
      <c r="J162" s="1448"/>
      <c r="K162" s="1142"/>
      <c r="L162" s="1081"/>
      <c r="M162" s="1081"/>
      <c r="N162" s="1446"/>
      <c r="O162" s="1085"/>
      <c r="P162" s="800"/>
      <c r="Q162" s="801"/>
      <c r="R162" s="801" t="s">
        <v>423</v>
      </c>
      <c r="S162" s="803"/>
      <c r="T162" s="803"/>
      <c r="U162" s="803"/>
      <c r="V162" s="803"/>
      <c r="W162" s="802"/>
    </row>
    <row r="163" spans="1:23" ht="17.25" customHeight="1">
      <c r="D163" s="226"/>
      <c r="E163" s="281"/>
      <c r="F163" s="608"/>
      <c r="G163" s="282"/>
      <c r="H163" s="1081"/>
      <c r="I163" s="1081"/>
      <c r="J163" s="1448"/>
      <c r="K163" s="1085"/>
      <c r="L163" s="800"/>
      <c r="M163" s="801"/>
      <c r="N163" s="801" t="s">
        <v>424</v>
      </c>
      <c r="O163" s="801"/>
      <c r="P163" s="801"/>
      <c r="Q163" s="801"/>
      <c r="R163" s="801"/>
      <c r="S163" s="803"/>
      <c r="T163" s="803"/>
      <c r="U163" s="803"/>
      <c r="V163" s="803"/>
      <c r="W163" s="802"/>
    </row>
    <row r="164" spans="1:23" ht="17.25" customHeight="1"/>
    <row r="165" spans="1:23" ht="17.25" customHeight="1">
      <c r="D165" s="226"/>
      <c r="E165" s="281"/>
      <c r="F165" s="608"/>
      <c r="G165" s="282"/>
      <c r="H165" s="226"/>
      <c r="I165" s="226"/>
      <c r="J165" s="283"/>
      <c r="K165" s="284"/>
      <c r="L165" s="1080"/>
      <c r="M165" s="1080" t="s">
        <v>114</v>
      </c>
      <c r="N165" s="1445" t="str">
        <f>IF(Z165="","",INDEX(TERRITORY_MR_LIST,MATCH(Z165,TERRITORY_LIST_ID,0)))</f>
        <v/>
      </c>
      <c r="O165" s="1141" t="s">
        <v>61</v>
      </c>
      <c r="P165" s="1080"/>
      <c r="Q165" s="1080" t="s">
        <v>114</v>
      </c>
      <c r="R165" s="1435" t="s">
        <v>22</v>
      </c>
      <c r="S165" s="1079" t="s">
        <v>61</v>
      </c>
      <c r="T165" s="55"/>
      <c r="U165" s="55" t="s">
        <v>114</v>
      </c>
      <c r="V165" s="95" t="s">
        <v>22</v>
      </c>
      <c r="W165" s="106"/>
    </row>
    <row r="166" spans="1:23" ht="17.25" customHeight="1">
      <c r="D166" s="226"/>
      <c r="E166" s="281"/>
      <c r="F166" s="608"/>
      <c r="G166" s="282"/>
      <c r="H166" s="226"/>
      <c r="I166" s="226"/>
      <c r="J166" s="283"/>
      <c r="K166" s="284"/>
      <c r="L166" s="1080"/>
      <c r="M166" s="1080"/>
      <c r="N166" s="1445"/>
      <c r="O166" s="1142"/>
      <c r="P166" s="1080"/>
      <c r="Q166" s="1080"/>
      <c r="R166" s="1435"/>
      <c r="S166" s="1079"/>
      <c r="T166" s="800"/>
      <c r="U166" s="801"/>
      <c r="V166" s="801" t="s">
        <v>422</v>
      </c>
      <c r="W166" s="802"/>
    </row>
    <row r="167" spans="1:23" ht="17.25" customHeight="1">
      <c r="D167" s="226"/>
      <c r="E167" s="281"/>
      <c r="F167" s="608"/>
      <c r="G167" s="282"/>
      <c r="H167" s="226"/>
      <c r="I167" s="226"/>
      <c r="J167" s="283"/>
      <c r="K167" s="284"/>
      <c r="L167" s="1081"/>
      <c r="M167" s="1081"/>
      <c r="N167" s="1446"/>
      <c r="O167" s="1085"/>
      <c r="P167" s="800"/>
      <c r="Q167" s="801"/>
      <c r="R167" s="801" t="s">
        <v>423</v>
      </c>
      <c r="S167" s="803"/>
      <c r="T167" s="803"/>
      <c r="U167" s="803"/>
      <c r="V167" s="803"/>
      <c r="W167" s="802"/>
    </row>
    <row r="168" spans="1:23" ht="17.25" customHeight="1"/>
    <row r="169" spans="1:23" ht="17.25" customHeight="1">
      <c r="D169" s="226"/>
      <c r="E169" s="281"/>
      <c r="F169" s="608"/>
      <c r="G169" s="282"/>
      <c r="H169" s="226"/>
      <c r="I169" s="226"/>
      <c r="J169" s="283"/>
      <c r="K169" s="284"/>
      <c r="L169" s="804"/>
      <c r="M169" s="804"/>
      <c r="N169" s="285"/>
      <c r="O169" s="84"/>
      <c r="P169" s="1080"/>
      <c r="Q169" s="1080" t="s">
        <v>114</v>
      </c>
      <c r="R169" s="1435" t="s">
        <v>22</v>
      </c>
      <c r="S169" s="1079" t="s">
        <v>61</v>
      </c>
      <c r="T169" s="55"/>
      <c r="U169" s="55" t="s">
        <v>114</v>
      </c>
      <c r="V169" s="95" t="s">
        <v>22</v>
      </c>
      <c r="W169" s="106"/>
    </row>
    <row r="170" spans="1:23" ht="17.25" customHeight="1">
      <c r="D170" s="226"/>
      <c r="E170" s="281"/>
      <c r="F170" s="608"/>
      <c r="G170" s="282"/>
      <c r="H170" s="226"/>
      <c r="I170" s="226"/>
      <c r="J170" s="283"/>
      <c r="K170" s="284"/>
      <c r="L170" s="804"/>
      <c r="M170" s="804"/>
      <c r="N170" s="285"/>
      <c r="O170" s="84"/>
      <c r="P170" s="1080"/>
      <c r="Q170" s="1080"/>
      <c r="R170" s="1435"/>
      <c r="S170" s="1079"/>
      <c r="T170" s="800"/>
      <c r="U170" s="801"/>
      <c r="V170" s="801" t="s">
        <v>422</v>
      </c>
      <c r="W170" s="802"/>
    </row>
    <row r="171" spans="1:23" ht="17.25" customHeight="1"/>
    <row r="172" spans="1:23" ht="17.25" customHeight="1">
      <c r="D172" s="226"/>
      <c r="E172" s="281"/>
      <c r="F172" s="608"/>
      <c r="G172" s="282"/>
      <c r="H172" s="804"/>
      <c r="I172" s="804"/>
      <c r="J172" s="805"/>
      <c r="K172" s="282"/>
      <c r="L172" s="804"/>
      <c r="M172" s="804"/>
      <c r="N172" s="282"/>
      <c r="O172" s="282"/>
      <c r="P172" s="804"/>
      <c r="Q172" s="804"/>
      <c r="R172" s="806"/>
      <c r="S172" s="282"/>
      <c r="T172" s="55"/>
      <c r="U172" s="55" t="s">
        <v>114</v>
      </c>
      <c r="V172" s="95" t="s">
        <v>22</v>
      </c>
      <c r="W172" s="106"/>
    </row>
    <row r="174" spans="1:23" ht="17.25" customHeight="1">
      <c r="A174" s="193" t="s">
        <v>2075</v>
      </c>
    </row>
    <row r="175" spans="1:23" ht="17.25" customHeight="1"/>
    <row r="176" spans="1:23" ht="17.25" customHeight="1">
      <c r="D176" s="1434"/>
      <c r="E176" s="1097"/>
      <c r="F176" s="1105"/>
      <c r="G176" s="1436"/>
      <c r="H176" s="1434"/>
      <c r="I176" s="1434">
        <v>1</v>
      </c>
      <c r="J176" s="1447"/>
      <c r="K176" s="1141" t="s">
        <v>61</v>
      </c>
      <c r="L176" s="1080"/>
      <c r="M176" s="1080" t="s">
        <v>114</v>
      </c>
      <c r="N176" s="1445" t="str">
        <f>IF(Z176="","",INDEX(TERRITORY_MR_LIST,MATCH(Z176,TERRITORY_LIST_ID,0)))</f>
        <v/>
      </c>
      <c r="O176" s="1141" t="s">
        <v>61</v>
      </c>
      <c r="P176" s="1080"/>
      <c r="Q176" s="1080" t="s">
        <v>114</v>
      </c>
      <c r="R176" s="1435" t="s">
        <v>22</v>
      </c>
      <c r="S176" s="1307" t="s">
        <v>19</v>
      </c>
      <c r="T176" s="286"/>
      <c r="U176" s="286" t="s">
        <v>114</v>
      </c>
      <c r="V176" s="287"/>
      <c r="W176" s="1447"/>
    </row>
    <row r="177" spans="4:23" ht="17.25" customHeight="1">
      <c r="D177" s="1434"/>
      <c r="E177" s="1097"/>
      <c r="F177" s="1106"/>
      <c r="G177" s="1436"/>
      <c r="H177" s="1434"/>
      <c r="I177" s="1434"/>
      <c r="J177" s="1447"/>
      <c r="K177" s="1142"/>
      <c r="L177" s="1080"/>
      <c r="M177" s="1080"/>
      <c r="N177" s="1445"/>
      <c r="O177" s="1142"/>
      <c r="P177" s="1080"/>
      <c r="Q177" s="1080"/>
      <c r="R177" s="1435"/>
      <c r="S177" s="1307"/>
      <c r="T177" s="807"/>
      <c r="U177" s="808"/>
      <c r="V177" s="808"/>
      <c r="W177" s="1447"/>
    </row>
    <row r="178" spans="4:23" ht="17.25" customHeight="1">
      <c r="D178" s="1081"/>
      <c r="E178" s="1098"/>
      <c r="F178" s="1106"/>
      <c r="G178" s="1437"/>
      <c r="H178" s="1081"/>
      <c r="I178" s="1081"/>
      <c r="J178" s="1448"/>
      <c r="K178" s="1142"/>
      <c r="L178" s="1081"/>
      <c r="M178" s="1081"/>
      <c r="N178" s="1446"/>
      <c r="O178" s="1085"/>
      <c r="P178" s="800"/>
      <c r="Q178" s="801"/>
      <c r="R178" s="801" t="s">
        <v>423</v>
      </c>
      <c r="S178" s="803"/>
      <c r="T178" s="803"/>
      <c r="U178" s="803"/>
      <c r="V178" s="803"/>
      <c r="W178" s="809"/>
    </row>
    <row r="179" spans="4:23" ht="17.25" customHeight="1">
      <c r="D179" s="1081"/>
      <c r="E179" s="1098"/>
      <c r="F179" s="1106"/>
      <c r="G179" s="1437"/>
      <c r="H179" s="1081"/>
      <c r="I179" s="1081"/>
      <c r="J179" s="1448"/>
      <c r="K179" s="1085"/>
      <c r="L179" s="800"/>
      <c r="M179" s="801"/>
      <c r="N179" s="801" t="s">
        <v>424</v>
      </c>
      <c r="O179" s="801"/>
      <c r="P179" s="801"/>
      <c r="Q179" s="801"/>
      <c r="R179" s="801"/>
      <c r="S179" s="803"/>
      <c r="T179" s="803"/>
      <c r="U179" s="803"/>
      <c r="V179" s="803"/>
      <c r="W179" s="802"/>
    </row>
    <row r="180" spans="4:23" ht="17.25" customHeight="1">
      <c r="D180" s="1081"/>
      <c r="E180" s="1098"/>
      <c r="F180" s="1107"/>
      <c r="G180" s="1437"/>
      <c r="H180" s="800"/>
      <c r="I180" s="801"/>
      <c r="J180" s="801" t="s">
        <v>456</v>
      </c>
      <c r="K180" s="801"/>
      <c r="L180" s="801"/>
      <c r="M180" s="801"/>
      <c r="N180" s="801"/>
      <c r="O180" s="801"/>
      <c r="P180" s="801"/>
      <c r="Q180" s="801"/>
      <c r="R180" s="801"/>
      <c r="S180" s="803"/>
      <c r="T180" s="803"/>
      <c r="U180" s="803"/>
      <c r="V180" s="803"/>
      <c r="W180" s="802"/>
    </row>
    <row r="181" spans="4:23" ht="17.25" customHeight="1"/>
    <row r="182" spans="4:23" ht="17.25" customHeight="1">
      <c r="D182" s="226"/>
      <c r="E182" s="281"/>
      <c r="F182" s="608"/>
      <c r="G182" s="282"/>
      <c r="H182" s="1434"/>
      <c r="I182" s="1434">
        <v>1</v>
      </c>
      <c r="J182" s="1447"/>
      <c r="K182" s="1141" t="s">
        <v>61</v>
      </c>
      <c r="L182" s="1080"/>
      <c r="M182" s="1080" t="s">
        <v>114</v>
      </c>
      <c r="N182" s="1445" t="str">
        <f>IF(Z182="","",INDEX(TERRITORY_MR_LIST,MATCH(Z182,TERRITORY_LIST_ID,0)))</f>
        <v/>
      </c>
      <c r="O182" s="1141" t="s">
        <v>61</v>
      </c>
      <c r="P182" s="1080"/>
      <c r="Q182" s="1080" t="s">
        <v>114</v>
      </c>
      <c r="R182" s="1435" t="s">
        <v>22</v>
      </c>
      <c r="S182" s="1307" t="s">
        <v>19</v>
      </c>
      <c r="T182" s="286"/>
      <c r="U182" s="286" t="s">
        <v>114</v>
      </c>
      <c r="V182" s="287"/>
      <c r="W182" s="1447"/>
    </row>
    <row r="183" spans="4:23" ht="17.25" customHeight="1">
      <c r="D183" s="226"/>
      <c r="E183" s="281"/>
      <c r="F183" s="608"/>
      <c r="G183" s="282"/>
      <c r="H183" s="1434"/>
      <c r="I183" s="1434"/>
      <c r="J183" s="1447"/>
      <c r="K183" s="1142"/>
      <c r="L183" s="1080"/>
      <c r="M183" s="1080"/>
      <c r="N183" s="1445"/>
      <c r="O183" s="1142"/>
      <c r="P183" s="1080"/>
      <c r="Q183" s="1080"/>
      <c r="R183" s="1435"/>
      <c r="S183" s="1307"/>
      <c r="T183" s="807"/>
      <c r="U183" s="808"/>
      <c r="V183" s="808"/>
      <c r="W183" s="1447"/>
    </row>
    <row r="184" spans="4:23" ht="17.25" customHeight="1">
      <c r="D184" s="226"/>
      <c r="E184" s="281"/>
      <c r="F184" s="608"/>
      <c r="G184" s="282"/>
      <c r="H184" s="1081"/>
      <c r="I184" s="1081"/>
      <c r="J184" s="1448"/>
      <c r="K184" s="1142"/>
      <c r="L184" s="1081"/>
      <c r="M184" s="1081"/>
      <c r="N184" s="1446"/>
      <c r="O184" s="1085"/>
      <c r="P184" s="800"/>
      <c r="Q184" s="801"/>
      <c r="R184" s="801" t="s">
        <v>423</v>
      </c>
      <c r="S184" s="803"/>
      <c r="T184" s="803"/>
      <c r="U184" s="803"/>
      <c r="V184" s="803"/>
      <c r="W184" s="809"/>
    </row>
    <row r="185" spans="4:23" ht="17.25" customHeight="1">
      <c r="D185" s="226"/>
      <c r="E185" s="281"/>
      <c r="F185" s="608"/>
      <c r="G185" s="282"/>
      <c r="H185" s="1081"/>
      <c r="I185" s="1081"/>
      <c r="J185" s="1448"/>
      <c r="K185" s="1085"/>
      <c r="L185" s="800"/>
      <c r="M185" s="801"/>
      <c r="N185" s="801" t="s">
        <v>424</v>
      </c>
      <c r="O185" s="801"/>
      <c r="P185" s="801"/>
      <c r="Q185" s="801"/>
      <c r="R185" s="801"/>
      <c r="S185" s="803"/>
      <c r="T185" s="803"/>
      <c r="U185" s="803"/>
      <c r="V185" s="803"/>
      <c r="W185" s="802"/>
    </row>
    <row r="186" spans="4:23" ht="17.25" customHeight="1"/>
    <row r="187" spans="4:23" ht="17.25" customHeight="1">
      <c r="D187" s="226"/>
      <c r="E187" s="281"/>
      <c r="F187" s="608"/>
      <c r="G187" s="282"/>
      <c r="H187" s="226"/>
      <c r="I187" s="226"/>
      <c r="J187" s="288"/>
      <c r="K187" s="282"/>
      <c r="L187" s="1080"/>
      <c r="M187" s="1080" t="s">
        <v>114</v>
      </c>
      <c r="N187" s="1445" t="str">
        <f>IF(Z187="","",INDEX(TERRITORY_MR_LIST,MATCH(Z187,TERRITORY_LIST_ID,0)))</f>
        <v/>
      </c>
      <c r="O187" s="1141" t="s">
        <v>61</v>
      </c>
      <c r="P187" s="1080"/>
      <c r="Q187" s="1080" t="s">
        <v>114</v>
      </c>
      <c r="R187" s="1435" t="s">
        <v>22</v>
      </c>
      <c r="S187" s="1307" t="s">
        <v>19</v>
      </c>
      <c r="T187" s="286"/>
      <c r="U187" s="286" t="s">
        <v>114</v>
      </c>
      <c r="V187" s="287"/>
      <c r="W187" s="1447"/>
    </row>
    <row r="188" spans="4:23" ht="17.25" customHeight="1">
      <c r="D188" s="226"/>
      <c r="E188" s="281"/>
      <c r="F188" s="608"/>
      <c r="G188" s="282"/>
      <c r="H188" s="226"/>
      <c r="I188" s="226"/>
      <c r="J188" s="288"/>
      <c r="K188" s="282"/>
      <c r="L188" s="1080"/>
      <c r="M188" s="1080"/>
      <c r="N188" s="1445"/>
      <c r="O188" s="1142"/>
      <c r="P188" s="1080"/>
      <c r="Q188" s="1080"/>
      <c r="R188" s="1435"/>
      <c r="S188" s="1307"/>
      <c r="T188" s="807"/>
      <c r="U188" s="808"/>
      <c r="V188" s="808"/>
      <c r="W188" s="1447"/>
    </row>
    <row r="189" spans="4:23" ht="17.25" customHeight="1">
      <c r="D189" s="226"/>
      <c r="E189" s="281"/>
      <c r="F189" s="608"/>
      <c r="G189" s="282"/>
      <c r="H189" s="226"/>
      <c r="I189" s="226"/>
      <c r="J189" s="288"/>
      <c r="K189" s="282"/>
      <c r="L189" s="1081"/>
      <c r="M189" s="1081"/>
      <c r="N189" s="1446"/>
      <c r="O189" s="1085"/>
      <c r="P189" s="800"/>
      <c r="Q189" s="801"/>
      <c r="R189" s="801" t="s">
        <v>423</v>
      </c>
      <c r="S189" s="803"/>
      <c r="T189" s="803"/>
      <c r="U189" s="803"/>
      <c r="V189" s="803"/>
      <c r="W189" s="809"/>
    </row>
    <row r="190" spans="4:23" ht="17.25" customHeight="1"/>
    <row r="191" spans="4:23" ht="17.25" customHeight="1">
      <c r="D191" s="226"/>
      <c r="E191" s="281"/>
      <c r="F191" s="608"/>
      <c r="G191" s="282"/>
      <c r="H191" s="226"/>
      <c r="I191" s="226"/>
      <c r="J191" s="288"/>
      <c r="K191" s="282"/>
      <c r="L191" s="226"/>
      <c r="M191" s="226"/>
      <c r="N191" s="285"/>
      <c r="O191" s="84"/>
      <c r="P191" s="1080"/>
      <c r="Q191" s="1080" t="s">
        <v>114</v>
      </c>
      <c r="R191" s="1435" t="s">
        <v>22</v>
      </c>
      <c r="S191" s="1307" t="s">
        <v>19</v>
      </c>
      <c r="T191" s="286"/>
      <c r="U191" s="286" t="s">
        <v>114</v>
      </c>
      <c r="V191" s="287"/>
      <c r="W191" s="1447"/>
    </row>
    <row r="192" spans="4:23" ht="17.25" customHeight="1">
      <c r="D192" s="226"/>
      <c r="E192" s="281"/>
      <c r="F192" s="608"/>
      <c r="G192" s="282"/>
      <c r="H192" s="226"/>
      <c r="I192" s="226"/>
      <c r="J192" s="288"/>
      <c r="K192" s="282"/>
      <c r="L192" s="226"/>
      <c r="M192" s="226"/>
      <c r="N192" s="285"/>
      <c r="O192" s="84"/>
      <c r="P192" s="1080"/>
      <c r="Q192" s="1080"/>
      <c r="R192" s="1435"/>
      <c r="S192" s="1307"/>
      <c r="T192" s="807"/>
      <c r="U192" s="808"/>
      <c r="V192" s="808"/>
      <c r="W192" s="1447"/>
    </row>
    <row r="193" spans="1:35" ht="17.25" customHeight="1"/>
    <row r="194" spans="1:35" ht="16.5" customHeight="1">
      <c r="D194" s="1434"/>
      <c r="E194" s="1138"/>
      <c r="F194" s="1138"/>
      <c r="G194" s="1070"/>
      <c r="H194" s="1099"/>
      <c r="I194" s="1101"/>
      <c r="J194" s="1102"/>
      <c r="K194" s="1096"/>
      <c r="L194" s="1096"/>
      <c r="M194" s="1096"/>
      <c r="N194" s="1103"/>
      <c r="O194" s="1096"/>
      <c r="P194" s="1096"/>
      <c r="Q194" s="1096"/>
      <c r="R194" s="1095"/>
      <c r="S194" s="1096"/>
      <c r="T194" s="68"/>
      <c r="U194" s="68"/>
      <c r="V194" s="69"/>
      <c r="W194" s="70"/>
    </row>
    <row r="195" spans="1:35" ht="16.5" customHeight="1">
      <c r="D195" s="1434"/>
      <c r="E195" s="1138"/>
      <c r="F195" s="1138"/>
      <c r="G195" s="1070"/>
      <c r="H195" s="1100"/>
      <c r="I195" s="1038"/>
      <c r="J195" s="1038"/>
      <c r="K195" s="1038"/>
      <c r="L195" s="1038"/>
      <c r="M195" s="1038"/>
      <c r="N195" s="1038"/>
      <c r="O195" s="1038"/>
      <c r="P195" s="1038"/>
      <c r="Q195" s="1038"/>
      <c r="R195" s="1038"/>
      <c r="S195" s="1038"/>
      <c r="W195" s="609"/>
    </row>
    <row r="196" spans="1:35" ht="17.25" customHeight="1">
      <c r="D196" s="1434"/>
      <c r="E196" s="1138"/>
      <c r="F196" s="1138"/>
      <c r="G196" s="1070"/>
      <c r="H196" s="1100"/>
      <c r="I196" s="1038"/>
      <c r="J196" s="1038"/>
      <c r="K196" s="1038"/>
      <c r="L196" s="1038"/>
      <c r="M196" s="1038"/>
      <c r="N196" s="1038"/>
      <c r="O196" s="1038"/>
      <c r="W196" s="609"/>
    </row>
    <row r="197" spans="1:35" ht="17.25" customHeight="1">
      <c r="D197" s="1434"/>
      <c r="E197" s="1138"/>
      <c r="F197" s="1138"/>
      <c r="G197" s="1070"/>
      <c r="H197" s="1100"/>
      <c r="I197" s="1038"/>
      <c r="J197" s="1038"/>
      <c r="K197" s="1038"/>
      <c r="W197" s="609"/>
    </row>
    <row r="198" spans="1:35" ht="17.25" customHeight="1">
      <c r="D198" s="1434"/>
      <c r="E198" s="1138"/>
      <c r="F198" s="1138"/>
      <c r="G198" s="1070"/>
      <c r="H198" s="610"/>
      <c r="I198" s="611"/>
      <c r="J198" s="611"/>
      <c r="K198" s="611"/>
      <c r="L198" s="611"/>
      <c r="M198" s="611"/>
      <c r="N198" s="611"/>
      <c r="O198" s="611"/>
      <c r="P198" s="611"/>
      <c r="Q198" s="611"/>
      <c r="R198" s="611"/>
      <c r="S198" s="612"/>
      <c r="T198" s="612"/>
      <c r="U198" s="612"/>
      <c r="V198" s="612"/>
      <c r="W198" s="613"/>
    </row>
    <row r="200" spans="1:35" ht="17.25" customHeight="1">
      <c r="A200" s="193" t="s">
        <v>2076</v>
      </c>
    </row>
    <row r="201" spans="1:35" ht="17.25" customHeight="1"/>
    <row r="202" spans="1:35" ht="15" customHeight="1">
      <c r="D202" s="1452"/>
      <c r="E202" s="1133"/>
      <c r="F202" s="1133"/>
      <c r="G202" s="1141"/>
      <c r="H202" s="289"/>
      <c r="I202" s="1453">
        <v>1</v>
      </c>
      <c r="J202" s="1447"/>
      <c r="K202" s="290"/>
      <c r="L202" s="1141" t="s">
        <v>61</v>
      </c>
      <c r="M202" s="1141" t="s">
        <v>61</v>
      </c>
      <c r="N202" s="289"/>
      <c r="O202" s="1080" t="s">
        <v>114</v>
      </c>
      <c r="P202" s="1349"/>
      <c r="Q202" s="290"/>
      <c r="R202" s="1141" t="s">
        <v>61</v>
      </c>
      <c r="S202" s="1141" t="s">
        <v>61</v>
      </c>
      <c r="T202" s="291"/>
      <c r="U202" s="1080" t="s">
        <v>114</v>
      </c>
      <c r="V202" s="1449" t="str">
        <f>IF(AK202="","",INDEX(TERRITORY_MR_LIST,MATCH(AK202,TERRITORY_LIST_ID,0)))</f>
        <v/>
      </c>
      <c r="W202" s="57"/>
      <c r="X202" s="1141" t="s">
        <v>61</v>
      </c>
      <c r="Y202" s="1141" t="s">
        <v>19</v>
      </c>
      <c r="Z202" s="289"/>
      <c r="AA202" s="1080" t="s">
        <v>114</v>
      </c>
      <c r="AB202" s="1451"/>
      <c r="AC202" s="623"/>
      <c r="AD202" s="1141" t="s">
        <v>61</v>
      </c>
      <c r="AE202" s="1141" t="s">
        <v>19</v>
      </c>
      <c r="AF202" s="57"/>
      <c r="AG202" s="55" t="s">
        <v>114</v>
      </c>
      <c r="AH202" s="227"/>
      <c r="AI202" s="106"/>
    </row>
    <row r="203" spans="1:35" ht="15" customHeight="1">
      <c r="D203" s="1452"/>
      <c r="E203" s="1133"/>
      <c r="F203" s="1133"/>
      <c r="G203" s="1142"/>
      <c r="H203" s="289"/>
      <c r="I203" s="1453"/>
      <c r="J203" s="1447"/>
      <c r="K203" s="810"/>
      <c r="L203" s="1142"/>
      <c r="M203" s="1142"/>
      <c r="N203" s="289"/>
      <c r="O203" s="1080"/>
      <c r="P203" s="1349"/>
      <c r="Q203" s="292"/>
      <c r="R203" s="1142"/>
      <c r="S203" s="1142"/>
      <c r="T203" s="291"/>
      <c r="U203" s="1080"/>
      <c r="V203" s="1450"/>
      <c r="W203" s="262"/>
      <c r="X203" s="1142"/>
      <c r="Y203" s="1142"/>
      <c r="Z203" s="289"/>
      <c r="AA203" s="1080"/>
      <c r="AB203" s="1424"/>
      <c r="AC203" s="791"/>
      <c r="AD203" s="1085"/>
      <c r="AE203" s="1085"/>
      <c r="AF203" s="811"/>
      <c r="AG203" s="800"/>
      <c r="AH203" s="1455" t="s">
        <v>2077</v>
      </c>
      <c r="AI203" s="1456"/>
    </row>
    <row r="204" spans="1:35" ht="15" customHeight="1">
      <c r="D204" s="1452"/>
      <c r="E204" s="1133"/>
      <c r="F204" s="1133"/>
      <c r="G204" s="1142"/>
      <c r="H204" s="289"/>
      <c r="I204" s="1453"/>
      <c r="J204" s="1447"/>
      <c r="K204" s="810"/>
      <c r="L204" s="1142"/>
      <c r="M204" s="1142"/>
      <c r="N204" s="289"/>
      <c r="O204" s="1080"/>
      <c r="P204" s="1349"/>
      <c r="Q204" s="292"/>
      <c r="R204" s="1142"/>
      <c r="S204" s="1142"/>
      <c r="T204" s="291"/>
      <c r="U204" s="1080"/>
      <c r="V204" s="1450"/>
      <c r="W204" s="262"/>
      <c r="X204" s="1142"/>
      <c r="Y204" s="1142"/>
      <c r="Z204" s="262"/>
      <c r="AA204" s="812"/>
      <c r="AB204" s="1457" t="s">
        <v>2078</v>
      </c>
      <c r="AC204" s="1457"/>
      <c r="AD204" s="1457"/>
      <c r="AE204" s="1457"/>
      <c r="AF204" s="1457"/>
      <c r="AG204" s="1457"/>
      <c r="AH204" s="1457"/>
      <c r="AI204" s="1458"/>
    </row>
    <row r="205" spans="1:35" ht="15" customHeight="1">
      <c r="D205" s="1452"/>
      <c r="E205" s="1133"/>
      <c r="F205" s="1133"/>
      <c r="G205" s="1142"/>
      <c r="H205" s="289"/>
      <c r="I205" s="1453"/>
      <c r="J205" s="1447"/>
      <c r="K205" s="810"/>
      <c r="L205" s="1142"/>
      <c r="M205" s="1142"/>
      <c r="N205" s="289"/>
      <c r="O205" s="1080"/>
      <c r="P205" s="1459"/>
      <c r="Q205" s="292"/>
      <c r="R205" s="1142"/>
      <c r="S205" s="1142"/>
      <c r="T205" s="293"/>
      <c r="U205" s="813"/>
      <c r="V205" s="1455" t="s">
        <v>108</v>
      </c>
      <c r="W205" s="1455"/>
      <c r="X205" s="1455"/>
      <c r="Y205" s="1455"/>
      <c r="Z205" s="1455"/>
      <c r="AA205" s="1455"/>
      <c r="AB205" s="1455"/>
      <c r="AC205" s="1455"/>
      <c r="AD205" s="1455"/>
      <c r="AE205" s="1455"/>
      <c r="AF205" s="1455"/>
      <c r="AG205" s="1455"/>
      <c r="AH205" s="1455"/>
      <c r="AI205" s="1456"/>
    </row>
    <row r="206" spans="1:35" ht="11.25" customHeight="1">
      <c r="D206" s="1452"/>
      <c r="E206" s="1133"/>
      <c r="F206" s="1133"/>
      <c r="G206" s="1142"/>
      <c r="H206" s="804"/>
      <c r="I206" s="1453"/>
      <c r="J206" s="1454"/>
      <c r="K206" s="810"/>
      <c r="L206" s="1142"/>
      <c r="M206" s="1142"/>
      <c r="N206" s="804"/>
      <c r="O206" s="812"/>
      <c r="P206" s="1455" t="s">
        <v>2079</v>
      </c>
      <c r="Q206" s="1455"/>
      <c r="R206" s="1455"/>
      <c r="S206" s="1455"/>
      <c r="T206" s="1455"/>
      <c r="U206" s="1455"/>
      <c r="V206" s="1455"/>
      <c r="W206" s="1455"/>
      <c r="X206" s="1455"/>
      <c r="Y206" s="1455"/>
      <c r="Z206" s="1455"/>
      <c r="AA206" s="1455"/>
      <c r="AB206" s="1455"/>
      <c r="AC206" s="1455"/>
      <c r="AD206" s="1455"/>
      <c r="AE206" s="1455"/>
      <c r="AF206" s="1455"/>
      <c r="AG206" s="1455"/>
      <c r="AH206" s="1455"/>
      <c r="AI206" s="1456"/>
    </row>
    <row r="207" spans="1:35" ht="11.25" customHeight="1">
      <c r="D207" s="1452"/>
      <c r="E207" s="1133"/>
      <c r="F207" s="1133"/>
      <c r="G207" s="1085"/>
      <c r="H207" s="294"/>
      <c r="I207" s="295"/>
      <c r="J207" s="1455" t="s">
        <v>456</v>
      </c>
      <c r="K207" s="1455"/>
      <c r="L207" s="1455"/>
      <c r="M207" s="1455"/>
      <c r="N207" s="1455"/>
      <c r="O207" s="1455"/>
      <c r="P207" s="1455"/>
      <c r="Q207" s="1455"/>
      <c r="R207" s="1455"/>
      <c r="S207" s="1455"/>
      <c r="T207" s="1455"/>
      <c r="U207" s="1455"/>
      <c r="V207" s="1455"/>
      <c r="W207" s="1455"/>
      <c r="X207" s="1455"/>
      <c r="Y207" s="1455"/>
      <c r="Z207" s="1455"/>
      <c r="AA207" s="1455"/>
      <c r="AB207" s="1455"/>
      <c r="AC207" s="1455"/>
      <c r="AD207" s="1455"/>
      <c r="AE207" s="1455"/>
      <c r="AF207" s="1455"/>
      <c r="AG207" s="1455"/>
      <c r="AH207" s="1455"/>
      <c r="AI207" s="1456"/>
    </row>
    <row r="208" spans="1:35" ht="17.25" customHeight="1"/>
    <row r="209" spans="4:35" ht="15" customHeight="1">
      <c r="D209" s="1452"/>
      <c r="E209" s="1133"/>
      <c r="F209" s="1133"/>
      <c r="G209" s="1138"/>
      <c r="H209" s="81"/>
      <c r="I209" s="1143"/>
      <c r="J209" s="1102"/>
      <c r="K209" s="67"/>
      <c r="L209" s="1096"/>
      <c r="M209" s="1096"/>
      <c r="N209" s="82"/>
      <c r="O209" s="1096"/>
      <c r="P209" s="1102"/>
      <c r="Q209" s="67"/>
      <c r="R209" s="1096"/>
      <c r="S209" s="1096"/>
      <c r="T209" s="83"/>
      <c r="U209" s="1096"/>
      <c r="V209" s="1102"/>
      <c r="W209" s="68"/>
      <c r="X209" s="1096"/>
      <c r="Y209" s="1096"/>
      <c r="Z209" s="82"/>
      <c r="AA209" s="1096"/>
      <c r="AB209" s="1102"/>
      <c r="AC209" s="621"/>
      <c r="AD209" s="1096"/>
      <c r="AE209" s="1096"/>
      <c r="AF209" s="68"/>
      <c r="AG209" s="68"/>
      <c r="AH209" s="82"/>
      <c r="AI209" s="70"/>
    </row>
    <row r="210" spans="4:35" ht="15" customHeight="1">
      <c r="D210" s="1452"/>
      <c r="E210" s="1133"/>
      <c r="F210" s="1133"/>
      <c r="G210" s="1138"/>
      <c r="H210" s="85"/>
      <c r="I210" s="1038"/>
      <c r="J210" s="1038"/>
      <c r="L210" s="1038"/>
      <c r="M210" s="1038"/>
      <c r="O210" s="1038"/>
      <c r="P210" s="1038"/>
      <c r="R210" s="1038"/>
      <c r="S210" s="1038"/>
      <c r="U210" s="1038"/>
      <c r="V210" s="1038"/>
      <c r="X210" s="1038"/>
      <c r="Y210" s="1038"/>
      <c r="AA210" s="1038"/>
      <c r="AB210" s="1038"/>
      <c r="AD210" s="1038"/>
      <c r="AE210" s="1038"/>
      <c r="AH210" s="1038"/>
      <c r="AI210" s="1146"/>
    </row>
    <row r="211" spans="4:35" ht="15" customHeight="1">
      <c r="D211" s="1452"/>
      <c r="E211" s="1133"/>
      <c r="F211" s="1133"/>
      <c r="G211" s="1138"/>
      <c r="H211" s="85"/>
      <c r="I211" s="1038"/>
      <c r="J211" s="1038"/>
      <c r="L211" s="1038"/>
      <c r="M211" s="1038"/>
      <c r="O211" s="1038"/>
      <c r="P211" s="1038"/>
      <c r="R211" s="1038"/>
      <c r="S211" s="1038"/>
      <c r="U211" s="1038"/>
      <c r="V211" s="1038"/>
      <c r="X211" s="1038"/>
      <c r="Y211" s="1038"/>
      <c r="AB211" s="1038"/>
      <c r="AC211" s="1038"/>
      <c r="AD211" s="1038"/>
      <c r="AE211" s="1038"/>
      <c r="AF211" s="1038"/>
      <c r="AG211" s="1038"/>
      <c r="AH211" s="1038"/>
      <c r="AI211" s="1146"/>
    </row>
    <row r="212" spans="4:35" ht="15" customHeight="1">
      <c r="D212" s="1452"/>
      <c r="E212" s="1133"/>
      <c r="F212" s="1133"/>
      <c r="G212" s="1138"/>
      <c r="H212" s="85"/>
      <c r="I212" s="1038"/>
      <c r="J212" s="1038"/>
      <c r="L212" s="1038"/>
      <c r="M212" s="1038"/>
      <c r="O212" s="1038"/>
      <c r="P212" s="1038"/>
      <c r="R212" s="1038"/>
      <c r="S212" s="1038"/>
      <c r="V212" s="1038"/>
      <c r="W212" s="1038"/>
      <c r="X212" s="1038"/>
      <c r="Y212" s="1038"/>
      <c r="Z212" s="1038"/>
      <c r="AA212" s="1038"/>
      <c r="AB212" s="1038"/>
      <c r="AC212" s="1038"/>
      <c r="AD212" s="1038"/>
      <c r="AE212" s="1038"/>
      <c r="AF212" s="1038"/>
      <c r="AG212" s="1038"/>
      <c r="AH212" s="1038"/>
      <c r="AI212" s="1146"/>
    </row>
    <row r="213" spans="4:35" ht="11.25" customHeight="1">
      <c r="D213" s="1452"/>
      <c r="E213" s="1133"/>
      <c r="F213" s="1133"/>
      <c r="G213" s="1138"/>
      <c r="H213" s="622"/>
      <c r="I213" s="1038"/>
      <c r="J213" s="1038"/>
      <c r="L213" s="1038"/>
      <c r="M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146"/>
    </row>
    <row r="214" spans="4:35" ht="11.25" customHeight="1">
      <c r="D214" s="1452"/>
      <c r="E214" s="1133"/>
      <c r="F214" s="1133"/>
      <c r="G214" s="1147"/>
      <c r="H214" s="87"/>
      <c r="I214" s="88"/>
      <c r="J214" s="1144"/>
      <c r="K214" s="1144"/>
      <c r="L214" s="1144"/>
      <c r="M214" s="1144"/>
      <c r="N214" s="1144"/>
      <c r="O214" s="1144"/>
      <c r="P214" s="1144"/>
      <c r="Q214" s="1144"/>
      <c r="R214" s="1144"/>
      <c r="S214" s="1144"/>
      <c r="T214" s="1144"/>
      <c r="U214" s="1144"/>
      <c r="V214" s="1144"/>
      <c r="W214" s="1144"/>
      <c r="X214" s="1144"/>
      <c r="Y214" s="1144"/>
      <c r="Z214" s="1144"/>
      <c r="AA214" s="1144"/>
      <c r="AB214" s="1144"/>
      <c r="AC214" s="1144"/>
      <c r="AD214" s="1144"/>
      <c r="AE214" s="1144"/>
      <c r="AF214" s="1144"/>
      <c r="AG214" s="1144"/>
      <c r="AH214" s="1144"/>
      <c r="AI214" s="1145"/>
    </row>
    <row r="215" spans="4:35"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2" max="2" width="43.140625" style="1030" hidden="1"/>
    <col min="4" max="8" width="36.42578125" style="1030" customWidth="1"/>
  </cols>
  <sheetData>
    <row r="1" spans="1:8" ht="9" customHeight="1">
      <c r="A1" s="138" t="s">
        <v>2080</v>
      </c>
      <c r="B1" s="138"/>
      <c r="C1" s="139" t="s">
        <v>2081</v>
      </c>
      <c r="D1" s="140" t="s">
        <v>824</v>
      </c>
      <c r="E1" s="140" t="s">
        <v>870</v>
      </c>
      <c r="F1" s="140" t="s">
        <v>923</v>
      </c>
      <c r="G1" s="140" t="s">
        <v>910</v>
      </c>
      <c r="H1" s="140" t="s">
        <v>1775</v>
      </c>
    </row>
    <row r="2" spans="1:8" ht="9" customHeight="1">
      <c r="A2" s="141" t="s">
        <v>2082</v>
      </c>
      <c r="B2" s="141"/>
      <c r="C2" s="694" t="str">
        <f>INDEX(TEMPLATE_NUMBER_FORM_LIST,MATCH(TEMPLATE_SPHERE,TEMPLATE_SPHERE_LIST,0))</f>
        <v>10</v>
      </c>
      <c r="D2" s="141" t="s">
        <v>1129</v>
      </c>
      <c r="E2" s="141" t="s">
        <v>159</v>
      </c>
      <c r="F2" s="142" t="s">
        <v>159</v>
      </c>
      <c r="G2" s="141" t="s">
        <v>159</v>
      </c>
      <c r="H2" s="143"/>
    </row>
    <row r="3" spans="1:8" ht="63" customHeight="1">
      <c r="A3" s="138"/>
      <c r="B3" s="138" t="s">
        <v>114</v>
      </c>
      <c r="C3" s="69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694" t="s">
        <v>2083</v>
      </c>
      <c r="E3" s="69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142"/>
      <c r="G3" s="143"/>
      <c r="H3" s="138"/>
    </row>
    <row r="4" spans="1:8" ht="243" customHeight="1">
      <c r="A4" s="138" t="s">
        <v>2084</v>
      </c>
      <c r="B4" s="138" t="s">
        <v>102</v>
      </c>
      <c r="C4" s="694" t="str">
        <f>IF(TEMPLATE_SPHERE="HEAT",D4,IF(TEMPLATE_SPHERE="TKO",H4,E4))</f>
        <v>Форма 1. Информация об организации, осуществляющей водоотведение (общая информация)</v>
      </c>
      <c r="D4" s="141" t="s">
        <v>2085</v>
      </c>
      <c r="E4" s="69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141"/>
      <c r="G4" s="141"/>
      <c r="H4" s="138" t="s">
        <v>2086</v>
      </c>
    </row>
    <row r="5" spans="1:8" ht="117" customHeight="1">
      <c r="A5" s="138" t="s">
        <v>2087</v>
      </c>
      <c r="B5" s="138" t="s">
        <v>89</v>
      </c>
      <c r="C5" s="69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138" t="s">
        <v>2088</v>
      </c>
      <c r="E5" s="69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143"/>
      <c r="G5" s="143"/>
      <c r="H5" s="138" t="s">
        <v>2089</v>
      </c>
    </row>
    <row r="6" spans="1:8" ht="90" customHeight="1">
      <c r="A6" s="138" t="s">
        <v>2090</v>
      </c>
      <c r="B6" s="138" t="s">
        <v>90</v>
      </c>
      <c r="C6" s="69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69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69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138"/>
      <c r="G6" s="138"/>
      <c r="H6" s="143"/>
    </row>
    <row r="7" spans="1:8" ht="45" customHeight="1">
      <c r="A7" s="138" t="s">
        <v>2091</v>
      </c>
      <c r="B7" s="138" t="s">
        <v>115</v>
      </c>
      <c r="C7" s="69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38" t="s">
        <v>2092</v>
      </c>
      <c r="E7" s="138" t="s">
        <v>2093</v>
      </c>
      <c r="F7" s="143"/>
      <c r="G7" s="143"/>
      <c r="H7" s="143"/>
    </row>
    <row r="8" spans="1:8" ht="108" customHeight="1">
      <c r="A8" s="138" t="s">
        <v>2094</v>
      </c>
      <c r="B8" s="138" t="s">
        <v>91</v>
      </c>
      <c r="C8" s="69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38" t="s">
        <v>1348</v>
      </c>
      <c r="E8" s="138" t="s">
        <v>2095</v>
      </c>
      <c r="F8" s="143"/>
      <c r="G8" s="143"/>
      <c r="H8" s="143"/>
    </row>
    <row r="9" spans="1:8" ht="99" customHeight="1">
      <c r="A9" s="138" t="s">
        <v>2096</v>
      </c>
      <c r="B9" s="138"/>
      <c r="C9" s="138" t="s">
        <v>2097</v>
      </c>
      <c r="D9" s="138"/>
      <c r="E9" s="138"/>
      <c r="F9" s="143"/>
      <c r="G9" s="143"/>
      <c r="H9" s="143"/>
    </row>
    <row r="10" spans="1:8" ht="126" customHeight="1">
      <c r="A10" s="138" t="s">
        <v>2098</v>
      </c>
      <c r="B10" s="138"/>
      <c r="C10" s="138" t="s">
        <v>2099</v>
      </c>
      <c r="D10" s="138"/>
      <c r="E10" s="138"/>
      <c r="F10" s="143"/>
      <c r="G10" s="143"/>
      <c r="H10" s="143"/>
    </row>
    <row r="11" spans="1:8" ht="108" customHeight="1">
      <c r="A11" s="138" t="s">
        <v>2100</v>
      </c>
      <c r="B11" s="138"/>
      <c r="C11" s="138" t="s">
        <v>2101</v>
      </c>
      <c r="D11" s="138"/>
      <c r="E11" s="138"/>
      <c r="F11" s="143"/>
      <c r="G11" s="143"/>
      <c r="H11" s="143"/>
    </row>
    <row r="12" spans="1:8" ht="54" customHeight="1">
      <c r="A12" s="138" t="s">
        <v>2102</v>
      </c>
      <c r="B12" s="138"/>
      <c r="C12" s="138" t="s">
        <v>2103</v>
      </c>
      <c r="D12" s="138"/>
      <c r="E12" s="138"/>
      <c r="F12" s="143"/>
      <c r="G12" s="143"/>
      <c r="H12" s="143"/>
    </row>
    <row r="13" spans="1:8" ht="45" customHeight="1">
      <c r="A13" s="138" t="s">
        <v>2104</v>
      </c>
      <c r="B13" s="138"/>
      <c r="C13" s="138" t="s">
        <v>2105</v>
      </c>
      <c r="D13" s="138"/>
      <c r="E13" s="138"/>
      <c r="F13" s="143"/>
      <c r="G13" s="143"/>
      <c r="H13" s="143"/>
    </row>
    <row r="14" spans="1:8" ht="117" customHeight="1">
      <c r="A14" s="138" t="s">
        <v>2106</v>
      </c>
      <c r="B14" s="138"/>
      <c r="C14" s="138" t="s">
        <v>2107</v>
      </c>
      <c r="D14" s="138"/>
      <c r="E14" s="138"/>
      <c r="F14" s="143"/>
      <c r="G14" s="143"/>
      <c r="H14" s="143"/>
    </row>
    <row r="15" spans="1:8" ht="117" customHeight="1">
      <c r="A15" s="138" t="s">
        <v>2108</v>
      </c>
      <c r="B15" s="138"/>
      <c r="C15" s="138" t="s">
        <v>2109</v>
      </c>
      <c r="D15" s="138"/>
      <c r="E15" s="138"/>
      <c r="F15" s="143"/>
      <c r="G15" s="143"/>
      <c r="H15" s="143"/>
    </row>
    <row r="16" spans="1:8" ht="63" customHeight="1">
      <c r="A16" s="138" t="s">
        <v>2110</v>
      </c>
      <c r="B16" s="138"/>
      <c r="C16" s="138" t="s">
        <v>2111</v>
      </c>
      <c r="D16" s="138"/>
      <c r="E16" s="138"/>
      <c r="F16" s="143"/>
      <c r="G16" s="143"/>
      <c r="H16" s="143"/>
    </row>
    <row r="17" spans="1:8" ht="54" customHeight="1">
      <c r="A17" s="138" t="s">
        <v>2112</v>
      </c>
      <c r="B17" s="138"/>
      <c r="C17" s="694" t="s">
        <v>2113</v>
      </c>
      <c r="D17" s="138"/>
      <c r="E17" s="138"/>
      <c r="F17" s="143"/>
      <c r="G17" s="143"/>
      <c r="H17" s="143"/>
    </row>
    <row r="18" spans="1:8" ht="27" customHeight="1">
      <c r="A18" s="138" t="s">
        <v>2114</v>
      </c>
      <c r="B18" s="138"/>
      <c r="C18" s="694" t="s">
        <v>2115</v>
      </c>
      <c r="D18" s="138"/>
      <c r="E18" s="138"/>
      <c r="F18" s="143"/>
      <c r="G18" s="143"/>
      <c r="H18" s="143"/>
    </row>
    <row r="19" spans="1:8" ht="54" customHeight="1">
      <c r="A19" s="138" t="s">
        <v>2116</v>
      </c>
      <c r="B19" s="138"/>
      <c r="C19" s="694" t="s">
        <v>2117</v>
      </c>
      <c r="D19" s="138"/>
      <c r="E19" s="138"/>
      <c r="F19" s="143"/>
      <c r="G19" s="143"/>
      <c r="H19" s="143"/>
    </row>
    <row r="20" spans="1:8" ht="36" customHeight="1">
      <c r="A20" s="138" t="s">
        <v>2118</v>
      </c>
      <c r="B20" s="138"/>
      <c r="C20" s="694" t="s">
        <v>2119</v>
      </c>
      <c r="D20" s="138"/>
      <c r="E20" s="138"/>
      <c r="F20" s="143"/>
      <c r="G20" s="143"/>
      <c r="H20" s="143"/>
    </row>
    <row r="21" spans="1:8" ht="36" customHeight="1">
      <c r="A21" s="138" t="s">
        <v>2120</v>
      </c>
      <c r="B21" s="138"/>
      <c r="C21" s="694" t="s">
        <v>2121</v>
      </c>
      <c r="D21" s="138"/>
      <c r="E21" s="138"/>
      <c r="F21" s="143"/>
      <c r="G21" s="143"/>
      <c r="H21" s="143"/>
    </row>
    <row r="22" spans="1:8" ht="27" customHeight="1">
      <c r="A22" s="138" t="s">
        <v>2122</v>
      </c>
      <c r="B22" s="138"/>
      <c r="C22" s="694" t="s">
        <v>2123</v>
      </c>
      <c r="D22" s="138"/>
      <c r="E22" s="138"/>
      <c r="F22" s="143"/>
      <c r="G22" s="143"/>
      <c r="H22" s="143"/>
    </row>
    <row r="23" spans="1:8" ht="36" customHeight="1">
      <c r="A23" s="138" t="s">
        <v>2124</v>
      </c>
      <c r="B23" s="138"/>
      <c r="C23" s="694" t="s">
        <v>2125</v>
      </c>
      <c r="D23" s="138"/>
      <c r="E23" s="138"/>
      <c r="F23" s="143"/>
      <c r="G23" s="143"/>
      <c r="H23" s="143"/>
    </row>
    <row r="24" spans="1:8" ht="28.5" customHeight="1">
      <c r="A24" s="138" t="s">
        <v>2126</v>
      </c>
      <c r="B24" s="138"/>
      <c r="C24" s="694" t="s">
        <v>2127</v>
      </c>
      <c r="D24" s="138"/>
      <c r="E24" s="138"/>
      <c r="F24" s="143"/>
      <c r="G24" s="143"/>
      <c r="H24" s="143"/>
    </row>
    <row r="25" spans="1:8" ht="36" customHeight="1">
      <c r="A25" s="138" t="s">
        <v>2128</v>
      </c>
      <c r="B25" s="138"/>
      <c r="C25" s="694" t="s">
        <v>2129</v>
      </c>
      <c r="D25" s="138"/>
      <c r="E25" s="138"/>
      <c r="F25" s="143"/>
      <c r="G25" s="143"/>
      <c r="H25" s="143"/>
    </row>
    <row r="26" spans="1:8" ht="27" customHeight="1">
      <c r="A26" s="138" t="s">
        <v>2130</v>
      </c>
      <c r="B26" s="138"/>
      <c r="C26" s="694" t="s">
        <v>2131</v>
      </c>
      <c r="D26" s="138"/>
      <c r="E26" s="138"/>
      <c r="F26" s="143"/>
      <c r="G26" s="143"/>
      <c r="H26" s="143"/>
    </row>
    <row r="27" spans="1:8" ht="36" customHeight="1">
      <c r="A27" s="138" t="s">
        <v>2132</v>
      </c>
      <c r="B27" s="138"/>
      <c r="C27" s="694" t="s">
        <v>2133</v>
      </c>
      <c r="D27" s="138"/>
      <c r="E27" s="138"/>
      <c r="F27" s="143"/>
      <c r="G27" s="143"/>
      <c r="H27" s="143"/>
    </row>
    <row r="28" spans="1:8" ht="28.5" customHeight="1">
      <c r="A28" s="138" t="s">
        <v>2134</v>
      </c>
      <c r="B28" s="138"/>
      <c r="C28" s="694" t="s">
        <v>2135</v>
      </c>
      <c r="D28" s="138"/>
      <c r="E28" s="138"/>
      <c r="F28" s="143"/>
      <c r="G28" s="143"/>
      <c r="H28" s="143"/>
    </row>
    <row r="29" spans="1:8" ht="126" customHeight="1">
      <c r="A29" s="138" t="s">
        <v>2136</v>
      </c>
      <c r="B29" s="138" t="s">
        <v>1162</v>
      </c>
      <c r="C29" s="69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138" t="s">
        <v>2137</v>
      </c>
      <c r="E29" s="69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143"/>
      <c r="G29" s="143"/>
      <c r="H29" s="138" t="s">
        <v>2138</v>
      </c>
    </row>
    <row r="30" spans="1:8" ht="36" customHeight="1">
      <c r="A30" s="138" t="s">
        <v>2139</v>
      </c>
      <c r="B30" s="138"/>
      <c r="C30" s="69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138" t="s">
        <v>2140</v>
      </c>
      <c r="E30" s="69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143"/>
      <c r="G30" s="143"/>
      <c r="H30" s="143"/>
    </row>
    <row r="31" spans="1:8" ht="54" customHeight="1">
      <c r="A31" s="138" t="s">
        <v>2141</v>
      </c>
      <c r="B31" s="138"/>
      <c r="C31" s="694" t="str">
        <f>IF(TEMPLATE_SPHERE="HEAT",D31,IF(TEMPLATE_SPHERE="TKO",H31,E31))</f>
        <v>Форма 1. Информация об организации, осуществляющей водоотведение (общая информация)</v>
      </c>
      <c r="D31" s="138" t="s">
        <v>2142</v>
      </c>
      <c r="E31" s="69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143"/>
      <c r="G31" s="143"/>
      <c r="H31" s="143"/>
    </row>
    <row r="32" spans="1:8" ht="198" customHeight="1">
      <c r="A32" s="138" t="s">
        <v>2143</v>
      </c>
      <c r="B32" s="138"/>
      <c r="C32" s="694" t="str">
        <f>IF(TEMPLATE_SPHERE="HEAT",D32,IF(TEMPLATE_SPHERE="TKO",H32,E32))</f>
        <v>Форма 7. Информация об инвестиционных программах организации водоотведения и отчетах об их исполнении</v>
      </c>
      <c r="D32" s="138" t="s">
        <v>2144</v>
      </c>
      <c r="E32" s="69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143"/>
      <c r="G32" s="143"/>
      <c r="H32" s="138" t="s">
        <v>2145</v>
      </c>
    </row>
    <row r="33" spans="1:8" ht="9" customHeight="1">
      <c r="A33" s="138"/>
      <c r="B33" s="138"/>
      <c r="C33" s="694"/>
      <c r="D33" s="138"/>
      <c r="E33" s="138"/>
      <c r="F33" s="143"/>
      <c r="G33" s="143"/>
      <c r="H33" s="143"/>
    </row>
    <row r="34" spans="1:8" ht="9" customHeight="1">
      <c r="A34" s="138"/>
      <c r="B34" s="138" t="s">
        <v>1134</v>
      </c>
      <c r="C34" s="694">
        <f>INDEX(TEMPLATE_NAME_FORM_LIST,B34,MATCH(TEMPLATE_SPHERE,TEMPLATE_SPHERE_LIST,0))</f>
        <v>0</v>
      </c>
      <c r="D34" s="138"/>
      <c r="E34" s="138"/>
      <c r="F34" s="143"/>
      <c r="G34" s="143"/>
      <c r="H34" s="143"/>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3" max="7" width="8" style="1030" customWidth="1"/>
    <col min="8" max="12" width="8.5703125" style="1030" customWidth="1"/>
    <col min="13" max="14" width="27.7109375" style="1030" customWidth="1"/>
    <col min="15" max="19" width="5.140625" style="1030" customWidth="1"/>
    <col min="20" max="24" width="27.7109375" style="1030" customWidth="1"/>
    <col min="25" max="25" width="1.85546875" style="1030" customWidth="1"/>
    <col min="26" max="29" width="27.7109375" style="1030" customWidth="1"/>
    <col min="30" max="30" width="3.85546875" style="1030" customWidth="1"/>
  </cols>
  <sheetData>
    <row r="1" spans="1:34" ht="18" customHeight="1">
      <c r="A1" s="144"/>
      <c r="B1" s="144"/>
      <c r="C1" s="144" t="s">
        <v>2146</v>
      </c>
      <c r="D1" s="144"/>
      <c r="E1" s="144"/>
      <c r="F1" s="144"/>
      <c r="G1" s="144"/>
      <c r="H1" s="144" t="s">
        <v>2147</v>
      </c>
      <c r="I1" s="144"/>
      <c r="J1" s="144"/>
      <c r="K1" s="144"/>
      <c r="L1" s="144"/>
      <c r="M1" s="144" t="s">
        <v>2148</v>
      </c>
      <c r="N1" s="144" t="s">
        <v>2149</v>
      </c>
      <c r="O1" s="1460" t="s">
        <v>2150</v>
      </c>
      <c r="P1" s="1460"/>
      <c r="Q1" s="1460"/>
      <c r="R1" s="1460"/>
      <c r="S1" s="1460"/>
      <c r="T1" s="1460" t="s">
        <v>2148</v>
      </c>
      <c r="U1" s="1460"/>
      <c r="V1" s="1460"/>
      <c r="W1" s="1460"/>
      <c r="X1" s="1460"/>
      <c r="Y1" s="145"/>
      <c r="Z1" s="1460" t="s">
        <v>2151</v>
      </c>
      <c r="AA1" s="1460"/>
      <c r="AB1" s="1460"/>
      <c r="AC1" s="1460"/>
      <c r="AD1" s="1460"/>
    </row>
    <row r="2" spans="1:34" ht="18" customHeight="1">
      <c r="A2" s="138"/>
      <c r="B2" s="138"/>
      <c r="C2" s="146" t="s">
        <v>824</v>
      </c>
      <c r="D2" s="146" t="s">
        <v>870</v>
      </c>
      <c r="E2" s="146" t="s">
        <v>923</v>
      </c>
      <c r="F2" s="146" t="s">
        <v>910</v>
      </c>
      <c r="G2" s="146" t="s">
        <v>1775</v>
      </c>
      <c r="H2" s="147"/>
      <c r="I2" s="147"/>
      <c r="J2" s="147"/>
      <c r="K2" s="147"/>
      <c r="L2" s="147"/>
      <c r="M2" s="147"/>
      <c r="N2" s="147"/>
      <c r="O2" s="146" t="s">
        <v>824</v>
      </c>
      <c r="P2" s="146" t="s">
        <v>870</v>
      </c>
      <c r="Q2" s="146" t="s">
        <v>910</v>
      </c>
      <c r="R2" s="146" t="s">
        <v>923</v>
      </c>
      <c r="S2" s="146" t="s">
        <v>1775</v>
      </c>
      <c r="T2" s="146" t="s">
        <v>824</v>
      </c>
      <c r="U2" s="146" t="s">
        <v>870</v>
      </c>
      <c r="V2" s="146" t="s">
        <v>910</v>
      </c>
      <c r="W2" s="146" t="s">
        <v>923</v>
      </c>
      <c r="X2" s="146" t="s">
        <v>1775</v>
      </c>
      <c r="Y2" s="146"/>
      <c r="Z2" s="146" t="s">
        <v>824</v>
      </c>
      <c r="AA2" s="696" t="s">
        <v>870</v>
      </c>
      <c r="AB2" s="146" t="s">
        <v>910</v>
      </c>
      <c r="AC2" s="146" t="s">
        <v>923</v>
      </c>
      <c r="AD2" s="146" t="s">
        <v>1775</v>
      </c>
    </row>
    <row r="3" spans="1:34" ht="162" customHeight="1">
      <c r="A3" s="697" t="s">
        <v>27</v>
      </c>
      <c r="B3" s="697"/>
      <c r="C3" s="1464" t="s">
        <v>2152</v>
      </c>
      <c r="D3" s="1465"/>
      <c r="E3" s="1465"/>
      <c r="F3" s="1466"/>
      <c r="G3" s="147"/>
      <c r="H3" s="147"/>
      <c r="I3" s="147"/>
      <c r="J3" s="147"/>
      <c r="K3" s="147"/>
      <c r="L3" s="147"/>
      <c r="M3" s="147"/>
      <c r="N3" s="698"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147"/>
      <c r="P3" s="147"/>
      <c r="Q3" s="147"/>
      <c r="R3" s="147"/>
      <c r="S3" s="147"/>
      <c r="T3" s="147"/>
      <c r="U3" s="147"/>
      <c r="V3" s="147"/>
      <c r="W3" s="147"/>
      <c r="X3" s="147"/>
      <c r="Y3" s="148"/>
      <c r="Z3" s="138" t="s">
        <v>2153</v>
      </c>
      <c r="AA3" s="147" t="s">
        <v>2154</v>
      </c>
      <c r="AB3" s="138" t="s">
        <v>2155</v>
      </c>
      <c r="AC3" s="138" t="s">
        <v>2156</v>
      </c>
      <c r="AD3" s="138"/>
      <c r="AG3" s="138"/>
      <c r="AH3" s="138"/>
    </row>
    <row r="4" spans="1:34" ht="9" customHeight="1">
      <c r="A4" s="697"/>
      <c r="B4" s="697"/>
      <c r="C4" s="147"/>
      <c r="D4" s="147"/>
      <c r="E4" s="147"/>
      <c r="F4" s="147"/>
      <c r="G4" s="147"/>
      <c r="H4" s="147"/>
      <c r="I4" s="147"/>
      <c r="J4" s="147"/>
      <c r="K4" s="147"/>
      <c r="L4" s="147"/>
      <c r="M4" s="147"/>
      <c r="N4" s="147"/>
      <c r="O4" s="147"/>
      <c r="P4" s="147"/>
      <c r="Q4" s="147"/>
      <c r="R4" s="147"/>
      <c r="S4" s="147"/>
      <c r="T4" s="147"/>
      <c r="U4" s="147"/>
      <c r="V4" s="147"/>
      <c r="W4" s="147"/>
      <c r="X4" s="147"/>
      <c r="Y4" s="148"/>
      <c r="Z4" s="138"/>
      <c r="AA4" s="695"/>
      <c r="AB4" s="138"/>
      <c r="AC4" s="138"/>
      <c r="AD4" s="138"/>
    </row>
    <row r="5" spans="1:34" ht="9" customHeight="1">
      <c r="A5" s="697"/>
      <c r="B5" s="697"/>
      <c r="C5" s="147"/>
      <c r="D5" s="147"/>
      <c r="E5" s="147"/>
      <c r="F5" s="147"/>
      <c r="G5" s="147"/>
      <c r="H5" s="147"/>
      <c r="I5" s="147"/>
      <c r="J5" s="147"/>
      <c r="K5" s="147"/>
      <c r="L5" s="147"/>
      <c r="M5" s="147"/>
      <c r="N5" s="147"/>
      <c r="O5" s="147"/>
      <c r="P5" s="147"/>
      <c r="Q5" s="147"/>
      <c r="R5" s="147"/>
      <c r="S5" s="147"/>
      <c r="T5" s="147"/>
      <c r="U5" s="147"/>
      <c r="V5" s="147"/>
      <c r="W5" s="147"/>
      <c r="X5" s="147"/>
      <c r="Y5" s="148"/>
      <c r="Z5" s="138"/>
      <c r="AA5" s="695"/>
      <c r="AB5" s="138"/>
      <c r="AC5" s="138"/>
      <c r="AD5" s="138"/>
    </row>
    <row r="6" spans="1:34" ht="9" customHeight="1">
      <c r="A6" s="697"/>
      <c r="B6" s="697"/>
      <c r="C6" s="147"/>
      <c r="D6" s="147"/>
      <c r="E6" s="147"/>
      <c r="F6" s="147"/>
      <c r="G6" s="147"/>
      <c r="H6" s="147"/>
      <c r="I6" s="147"/>
      <c r="J6" s="147"/>
      <c r="K6" s="147"/>
      <c r="L6" s="147"/>
      <c r="M6" s="147"/>
      <c r="N6" s="147"/>
      <c r="O6" s="147"/>
      <c r="P6" s="147"/>
      <c r="Q6" s="147"/>
      <c r="R6" s="147"/>
      <c r="S6" s="147"/>
      <c r="T6" s="147"/>
      <c r="U6" s="147"/>
      <c r="V6" s="147"/>
      <c r="W6" s="147"/>
      <c r="X6" s="147"/>
      <c r="Y6" s="148"/>
      <c r="Z6" s="138"/>
      <c r="AA6" s="695"/>
      <c r="AB6" s="138"/>
      <c r="AC6" s="138"/>
      <c r="AD6" s="138"/>
    </row>
    <row r="7" spans="1:34" ht="9" customHeight="1">
      <c r="A7" s="697"/>
      <c r="B7" s="697"/>
      <c r="C7" s="147"/>
      <c r="D7" s="147"/>
      <c r="E7" s="147"/>
      <c r="F7" s="147"/>
      <c r="G7" s="147"/>
      <c r="H7" s="147"/>
      <c r="I7" s="147"/>
      <c r="J7" s="147"/>
      <c r="K7" s="147"/>
      <c r="L7" s="147"/>
      <c r="M7" s="147"/>
      <c r="N7" s="147"/>
      <c r="O7" s="147"/>
      <c r="P7" s="147"/>
      <c r="Q7" s="147"/>
      <c r="R7" s="147"/>
      <c r="S7" s="147"/>
      <c r="T7" s="147"/>
      <c r="U7" s="147"/>
      <c r="V7" s="147"/>
      <c r="W7" s="147"/>
      <c r="X7" s="147"/>
      <c r="Y7" s="148"/>
      <c r="Z7" s="138"/>
      <c r="AA7" s="695"/>
      <c r="AB7" s="138"/>
      <c r="AC7" s="138"/>
      <c r="AD7" s="138"/>
    </row>
    <row r="8" spans="1:34" ht="9" customHeight="1">
      <c r="A8" s="697"/>
      <c r="B8" s="697"/>
      <c r="C8" s="147"/>
      <c r="D8" s="147"/>
      <c r="E8" s="147"/>
      <c r="F8" s="147"/>
      <c r="G8" s="147"/>
      <c r="H8" s="147"/>
      <c r="I8" s="147"/>
      <c r="J8" s="147"/>
      <c r="K8" s="147"/>
      <c r="L8" s="147"/>
      <c r="M8" s="147"/>
      <c r="N8" s="147"/>
      <c r="O8" s="147"/>
      <c r="P8" s="147"/>
      <c r="Q8" s="147"/>
      <c r="R8" s="147"/>
      <c r="S8" s="147"/>
      <c r="T8" s="147"/>
      <c r="U8" s="147"/>
      <c r="V8" s="147"/>
      <c r="W8" s="147"/>
      <c r="X8" s="147"/>
      <c r="Y8" s="148"/>
      <c r="Z8" s="138"/>
      <c r="AA8" s="695"/>
      <c r="AB8" s="138"/>
      <c r="AC8" s="138"/>
      <c r="AD8" s="138"/>
    </row>
    <row r="9" spans="1:34" ht="9" customHeight="1">
      <c r="A9" s="697"/>
      <c r="B9" s="697"/>
      <c r="C9" s="147"/>
      <c r="D9" s="147"/>
      <c r="E9" s="147"/>
      <c r="F9" s="147"/>
      <c r="G9" s="147"/>
      <c r="H9" s="147"/>
      <c r="I9" s="147"/>
      <c r="J9" s="147"/>
      <c r="K9" s="147"/>
      <c r="L9" s="147"/>
      <c r="M9" s="147"/>
      <c r="N9" s="147"/>
      <c r="O9" s="147"/>
      <c r="P9" s="147"/>
      <c r="Q9" s="147"/>
      <c r="R9" s="147"/>
      <c r="S9" s="147"/>
      <c r="T9" s="147"/>
      <c r="U9" s="147"/>
      <c r="V9" s="147"/>
      <c r="W9" s="147"/>
      <c r="X9" s="147"/>
      <c r="Y9" s="148"/>
      <c r="Z9" s="138"/>
      <c r="AA9" s="695"/>
      <c r="AB9" s="138"/>
      <c r="AC9" s="138"/>
      <c r="AD9" s="138"/>
    </row>
    <row r="10" spans="1:34" ht="9" customHeight="1">
      <c r="A10" s="699"/>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row>
    <row r="11" spans="1:34" ht="45" customHeight="1">
      <c r="A11" s="1461" t="s">
        <v>33</v>
      </c>
      <c r="B11" s="699">
        <v>1</v>
      </c>
      <c r="C11" s="1467" t="s">
        <v>1158</v>
      </c>
      <c r="D11" s="1467" t="s">
        <v>105</v>
      </c>
      <c r="E11" s="1467" t="s">
        <v>1803</v>
      </c>
      <c r="F11" s="1467" t="s">
        <v>2157</v>
      </c>
      <c r="G11" s="1467"/>
      <c r="H11" s="144" t="s">
        <v>2158</v>
      </c>
      <c r="I11" s="144"/>
      <c r="J11" s="144"/>
      <c r="K11" s="144"/>
      <c r="L11" s="144"/>
      <c r="M11" s="698" t="str">
        <f>IF(TEMPLATE_SPHERE="HEAT",T11,U11)</f>
        <v xml:space="preserve">Количество поданных заявлений </v>
      </c>
      <c r="N11" s="69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147"/>
      <c r="P11" s="147"/>
      <c r="Q11" s="147"/>
      <c r="R11" s="147"/>
      <c r="S11" s="147"/>
      <c r="T11" s="147" t="s">
        <v>2159</v>
      </c>
      <c r="U11" s="147" t="s">
        <v>2160</v>
      </c>
      <c r="V11" s="147"/>
      <c r="W11" s="147"/>
      <c r="X11" s="147"/>
      <c r="Y11" s="148"/>
      <c r="Z11" s="138" t="s">
        <v>2161</v>
      </c>
      <c r="AA11" s="69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138"/>
      <c r="AC11" s="138"/>
      <c r="AD11" s="138"/>
    </row>
    <row r="12" spans="1:34" ht="45" customHeight="1">
      <c r="A12" s="1461"/>
      <c r="B12" s="699">
        <v>2</v>
      </c>
      <c r="C12" s="1468"/>
      <c r="D12" s="1468"/>
      <c r="E12" s="1468"/>
      <c r="F12" s="1468"/>
      <c r="G12" s="1468"/>
      <c r="H12" s="144" t="s">
        <v>2162</v>
      </c>
      <c r="I12" s="144"/>
      <c r="J12" s="144"/>
      <c r="K12" s="144"/>
      <c r="L12" s="144"/>
      <c r="M12" s="698" t="str">
        <f>IF(TEMPLATE_SPHERE="HEAT",T12,U12)</f>
        <v xml:space="preserve">Количество исполненных заявлений </v>
      </c>
      <c r="N12" s="69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147"/>
      <c r="P12" s="147"/>
      <c r="Q12" s="147"/>
      <c r="R12" s="147"/>
      <c r="S12" s="147"/>
      <c r="T12" s="147" t="s">
        <v>2163</v>
      </c>
      <c r="U12" s="147" t="s">
        <v>2164</v>
      </c>
      <c r="V12" s="147"/>
      <c r="W12" s="147"/>
      <c r="X12" s="147"/>
      <c r="Y12" s="148"/>
      <c r="Z12" s="138" t="s">
        <v>2165</v>
      </c>
      <c r="AA12" s="69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138"/>
      <c r="AC12" s="138"/>
      <c r="AD12" s="138"/>
    </row>
    <row r="13" spans="1:34" ht="72" customHeight="1">
      <c r="A13" s="1461"/>
      <c r="B13" s="699">
        <v>3</v>
      </c>
      <c r="C13" s="1468"/>
      <c r="D13" s="1468"/>
      <c r="E13" s="1468"/>
      <c r="F13" s="1468"/>
      <c r="G13" s="1468"/>
      <c r="H13" s="1460" t="s">
        <v>2166</v>
      </c>
      <c r="I13" s="144"/>
      <c r="J13" s="144"/>
      <c r="K13" s="144"/>
      <c r="L13" s="144"/>
      <c r="M13" s="69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698"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147"/>
      <c r="P13" s="698"/>
      <c r="Q13" s="698"/>
      <c r="R13" s="698"/>
      <c r="S13" s="147"/>
      <c r="T13" s="147" t="s">
        <v>2167</v>
      </c>
      <c r="U13" s="698" t="s">
        <v>2168</v>
      </c>
      <c r="V13" s="698"/>
      <c r="W13" s="698"/>
      <c r="X13" s="147"/>
      <c r="Y13" s="148"/>
      <c r="Z13" s="138" t="s">
        <v>2169</v>
      </c>
      <c r="AA13" s="69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138"/>
      <c r="AC13" s="138"/>
      <c r="AD13" s="138"/>
    </row>
    <row r="14" spans="1:34" ht="45" customHeight="1">
      <c r="A14" s="1461"/>
      <c r="B14" s="699">
        <v>4</v>
      </c>
      <c r="C14" s="1468"/>
      <c r="D14" s="1468"/>
      <c r="E14" s="1468"/>
      <c r="F14" s="1468"/>
      <c r="G14" s="1468"/>
      <c r="H14" s="1460"/>
      <c r="I14" s="149"/>
      <c r="J14" s="149"/>
      <c r="K14" s="149"/>
      <c r="L14" s="149"/>
      <c r="M14" s="700" t="str">
        <f>IF(TEMPLATE_SPHERE="HEAT",T14,U14)</f>
        <v>Причины отказа в заключении договора о подключении (технологическом присоединении) к централизованной системе водоотведения</v>
      </c>
      <c r="N14" s="69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147"/>
      <c r="P14" s="698"/>
      <c r="Q14" s="698"/>
      <c r="R14" s="698"/>
      <c r="S14" s="147"/>
      <c r="T14" s="147" t="s">
        <v>2170</v>
      </c>
      <c r="U14" s="69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698"/>
      <c r="W14" s="698"/>
      <c r="X14" s="147"/>
      <c r="Y14" s="148"/>
      <c r="Z14" s="138" t="s">
        <v>2171</v>
      </c>
      <c r="AA14" s="695" t="s">
        <v>2171</v>
      </c>
      <c r="AB14" s="138"/>
      <c r="AC14" s="138"/>
      <c r="AD14" s="138"/>
    </row>
    <row r="15" spans="1:34" ht="108" customHeight="1">
      <c r="A15" s="1461"/>
      <c r="B15" s="699">
        <v>5</v>
      </c>
      <c r="C15" s="1468"/>
      <c r="D15" s="1468"/>
      <c r="E15" s="1468"/>
      <c r="F15" s="1468"/>
      <c r="G15" s="1468"/>
      <c r="H15" s="1462" t="s">
        <v>2172</v>
      </c>
      <c r="I15" s="150"/>
      <c r="J15" s="150"/>
      <c r="K15" s="150"/>
      <c r="L15" s="150"/>
      <c r="M15" s="69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01"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147"/>
      <c r="P15" s="698"/>
      <c r="Q15" s="698"/>
      <c r="R15" s="698"/>
      <c r="S15" s="147"/>
      <c r="T15" s="147" t="s">
        <v>2173</v>
      </c>
      <c r="U15" s="69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698"/>
      <c r="W15" s="698"/>
      <c r="X15" s="147"/>
      <c r="Y15" s="148"/>
      <c r="Z15" s="138" t="s">
        <v>2174</v>
      </c>
      <c r="AA15" s="69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138"/>
      <c r="AC15" s="138"/>
      <c r="AD15" s="138"/>
    </row>
    <row r="16" spans="1:34" ht="108" customHeight="1">
      <c r="A16" s="699"/>
      <c r="B16" s="699">
        <v>6</v>
      </c>
      <c r="C16" s="1469"/>
      <c r="D16" s="1469"/>
      <c r="E16" s="1469"/>
      <c r="F16" s="1469"/>
      <c r="G16" s="1469"/>
      <c r="H16" s="1463"/>
      <c r="I16" s="151"/>
      <c r="J16" s="151"/>
      <c r="K16" s="151"/>
      <c r="L16" s="151"/>
      <c r="M16" s="702"/>
      <c r="N16" s="701"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147"/>
      <c r="P16" s="698"/>
      <c r="Q16" s="698"/>
      <c r="R16" s="698"/>
      <c r="S16" s="147"/>
      <c r="T16" s="147"/>
      <c r="U16" s="698"/>
      <c r="V16" s="698"/>
      <c r="W16" s="698"/>
      <c r="X16" s="147"/>
      <c r="Y16" s="148"/>
      <c r="Z16" s="138" t="s">
        <v>2174</v>
      </c>
      <c r="AA16" s="69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138"/>
      <c r="AC16" s="138"/>
      <c r="AD16" s="138"/>
    </row>
    <row r="17" spans="1:30" ht="9" customHeight="1">
      <c r="A17" s="699"/>
      <c r="B17" s="699"/>
      <c r="C17" s="699">
        <v>22</v>
      </c>
      <c r="D17" s="699">
        <v>21</v>
      </c>
      <c r="E17" s="699">
        <v>42</v>
      </c>
      <c r="F17" s="699">
        <v>63</v>
      </c>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row>
    <row r="18" spans="1:30" ht="27" customHeight="1">
      <c r="A18" s="697" t="s">
        <v>1806</v>
      </c>
      <c r="B18" s="699">
        <v>1</v>
      </c>
      <c r="C18" s="147" t="s">
        <v>2158</v>
      </c>
      <c r="D18" s="152" t="s">
        <v>2158</v>
      </c>
      <c r="E18" s="147" t="s">
        <v>2158</v>
      </c>
      <c r="F18" s="147" t="s">
        <v>2158</v>
      </c>
      <c r="G18" s="147"/>
      <c r="H18" s="703"/>
      <c r="I18" s="704">
        <f t="shared" ref="I18:I49" si="1">INDEX(TEMPLATE_NUMBER_POINT_FHD,B18,MATCH(TEMPLATE_SPHERE,TEMPLATE_SPHERE_LIST_FOR_NOTE,0))</f>
        <v>1</v>
      </c>
      <c r="J18" s="704" t="str">
        <f t="shared" ref="J18:J49" si="2">INDEX(TEMPLATE_DATA_POINT_FHD,B18,MATCH(TEMPLATE_SPHERE,TEMPLATE_SPHERE_LIST_FOR_NOTE,0))</f>
        <v>Выручка от регулируемых видов деятельности в сфере водоотведения</v>
      </c>
      <c r="K18" s="704" t="str">
        <f t="shared" ref="K18:K49" si="3">INDEX(TEMPLATE_NOTE_POINT_FHD,B18,MATCH(TEMPLATE_SPHERE,TEMPLATE_SPHERE_LIST_FOR_NOTE,0))</f>
        <v>Указывается выручка с распределением по видам деятельности.</v>
      </c>
      <c r="L18" s="698">
        <f t="shared" ref="L18:L49" si="4">IF(I18=0,"",I18)</f>
        <v>1</v>
      </c>
      <c r="M18" s="698" t="str">
        <f t="shared" ref="M18:M49" si="5">IF(J18=0,"",J18)</f>
        <v>Выручка от регулируемых видов деятельности в сфере водоотведения</v>
      </c>
      <c r="N18" s="698" t="str">
        <f t="shared" ref="N18:N49" si="6">IF(K18=0,"",K18)</f>
        <v>Указывается выручка с распределением по видам деятельности.</v>
      </c>
      <c r="O18" s="153">
        <v>1</v>
      </c>
      <c r="P18" s="153">
        <v>1</v>
      </c>
      <c r="Q18" s="153">
        <v>1</v>
      </c>
      <c r="R18" s="153">
        <v>1</v>
      </c>
      <c r="S18" s="153"/>
      <c r="T18" s="705" t="s">
        <v>2175</v>
      </c>
      <c r="U18" s="138" t="s">
        <v>2176</v>
      </c>
      <c r="V18" s="138" t="s">
        <v>2177</v>
      </c>
      <c r="W18" s="138" t="s">
        <v>2178</v>
      </c>
      <c r="X18" s="147"/>
      <c r="Y18" s="148"/>
      <c r="Z18" s="138" t="s">
        <v>2179</v>
      </c>
      <c r="AA18" s="695" t="s">
        <v>2180</v>
      </c>
      <c r="AB18" s="695" t="s">
        <v>2180</v>
      </c>
      <c r="AC18" s="695" t="s">
        <v>2180</v>
      </c>
      <c r="AD18" s="138"/>
    </row>
    <row r="19" spans="1:30" ht="36" customHeight="1">
      <c r="A19" s="697"/>
      <c r="B19" s="699">
        <v>2</v>
      </c>
      <c r="C19" s="147" t="s">
        <v>2162</v>
      </c>
      <c r="D19" s="152" t="s">
        <v>2162</v>
      </c>
      <c r="E19" s="147" t="s">
        <v>2162</v>
      </c>
      <c r="F19" s="147" t="s">
        <v>2162</v>
      </c>
      <c r="G19" s="147"/>
      <c r="H19" s="703"/>
      <c r="I19" s="704">
        <f t="shared" si="1"/>
        <v>2</v>
      </c>
      <c r="J19" s="704" t="str">
        <f t="shared" si="2"/>
        <v>Себестоимость производимых товаров (оказываемых услуг) по регулируемым видам деятельности в сфере водоотведения, включая:</v>
      </c>
      <c r="K19" s="704" t="str">
        <f t="shared" si="3"/>
        <v>Указывается суммарная себестоимость производимых товаров.</v>
      </c>
      <c r="L19" s="698">
        <f t="shared" si="4"/>
        <v>2</v>
      </c>
      <c r="M19" s="698" t="str">
        <f t="shared" si="5"/>
        <v>Себестоимость производимых товаров (оказываемых услуг) по регулируемым видам деятельности в сфере водоотведения, включая:</v>
      </c>
      <c r="N19" s="698" t="str">
        <f t="shared" si="6"/>
        <v>Указывается суммарная себестоимость производимых товаров.</v>
      </c>
      <c r="O19" s="153">
        <v>2</v>
      </c>
      <c r="P19" s="153">
        <v>2</v>
      </c>
      <c r="Q19" s="153">
        <v>2</v>
      </c>
      <c r="R19" s="153">
        <v>2</v>
      </c>
      <c r="S19" s="153"/>
      <c r="T19" s="705" t="s">
        <v>2181</v>
      </c>
      <c r="U19" s="138" t="s">
        <v>2182</v>
      </c>
      <c r="V19" s="138" t="s">
        <v>2183</v>
      </c>
      <c r="W19" s="138" t="s">
        <v>2184</v>
      </c>
      <c r="X19" s="147"/>
      <c r="Y19" s="148"/>
      <c r="Z19" s="138" t="s">
        <v>2185</v>
      </c>
      <c r="AA19" s="695" t="s">
        <v>2185</v>
      </c>
      <c r="AB19" s="695" t="s">
        <v>2185</v>
      </c>
      <c r="AC19" s="695" t="s">
        <v>2185</v>
      </c>
      <c r="AD19" s="138"/>
    </row>
    <row r="20" spans="1:30" ht="27" customHeight="1">
      <c r="A20" s="697"/>
      <c r="B20" s="699">
        <v>3</v>
      </c>
      <c r="C20" s="147">
        <v>1</v>
      </c>
      <c r="D20" s="152"/>
      <c r="E20" s="147"/>
      <c r="F20" s="147"/>
      <c r="G20" s="147"/>
      <c r="H20" s="703"/>
      <c r="I20" s="704" t="str">
        <f t="shared" si="1"/>
        <v>2.1</v>
      </c>
      <c r="J20" s="704" t="str">
        <f t="shared" si="2"/>
        <v>Расходы на оплату услуг по приему, транспортировке и очистке сточных вод другими организациями</v>
      </c>
      <c r="K20" s="704">
        <f t="shared" si="3"/>
        <v>0</v>
      </c>
      <c r="L20" s="698" t="str">
        <f t="shared" si="4"/>
        <v>2.1</v>
      </c>
      <c r="M20" s="698" t="str">
        <f t="shared" si="5"/>
        <v>Расходы на оплату услуг по приему, транспортировке и очистке сточных вод другими организациями</v>
      </c>
      <c r="N20" s="698" t="str">
        <f t="shared" si="6"/>
        <v/>
      </c>
      <c r="O20" s="153" t="s">
        <v>725</v>
      </c>
      <c r="P20" s="153" t="s">
        <v>725</v>
      </c>
      <c r="Q20" s="153" t="s">
        <v>725</v>
      </c>
      <c r="R20" s="153" t="s">
        <v>725</v>
      </c>
      <c r="S20" s="153"/>
      <c r="T20" s="705" t="s">
        <v>2186</v>
      </c>
      <c r="U20" s="138" t="s">
        <v>2187</v>
      </c>
      <c r="V20" s="138" t="s">
        <v>2188</v>
      </c>
      <c r="W20" s="138" t="s">
        <v>2189</v>
      </c>
      <c r="X20" s="147"/>
      <c r="Y20" s="148"/>
      <c r="Z20" s="138"/>
      <c r="AA20" s="695"/>
      <c r="AB20" s="138"/>
      <c r="AC20" s="138"/>
      <c r="AD20" s="138"/>
    </row>
    <row r="21" spans="1:30" ht="36" customHeight="1">
      <c r="A21" s="697"/>
      <c r="B21" s="699">
        <v>4</v>
      </c>
      <c r="C21" s="147">
        <v>2</v>
      </c>
      <c r="D21" s="152"/>
      <c r="E21" s="147"/>
      <c r="F21" s="147"/>
      <c r="G21" s="147"/>
      <c r="H21" s="703"/>
      <c r="I21" s="704">
        <f t="shared" si="1"/>
        <v>0</v>
      </c>
      <c r="J21" s="704">
        <f t="shared" si="2"/>
        <v>0</v>
      </c>
      <c r="K21" s="704">
        <f t="shared" si="3"/>
        <v>0</v>
      </c>
      <c r="L21" s="698" t="str">
        <f t="shared" si="4"/>
        <v/>
      </c>
      <c r="M21" s="698" t="str">
        <f t="shared" si="5"/>
        <v/>
      </c>
      <c r="N21" s="698" t="str">
        <f t="shared" si="6"/>
        <v/>
      </c>
      <c r="O21" s="153" t="s">
        <v>315</v>
      </c>
      <c r="P21" s="153"/>
      <c r="Q21" s="153"/>
      <c r="R21" s="153"/>
      <c r="S21" s="153"/>
      <c r="T21" s="705" t="s">
        <v>2190</v>
      </c>
      <c r="U21" s="138"/>
      <c r="V21" s="138"/>
      <c r="W21" s="138"/>
      <c r="X21" s="147"/>
      <c r="Y21" s="148"/>
      <c r="Z21" s="138" t="s">
        <v>2191</v>
      </c>
      <c r="AA21" s="695"/>
      <c r="AB21" s="138"/>
      <c r="AC21" s="138"/>
      <c r="AD21" s="138"/>
    </row>
    <row r="22" spans="1:30" ht="36" customHeight="1">
      <c r="A22" s="697"/>
      <c r="B22" s="699">
        <v>5</v>
      </c>
      <c r="C22" s="147">
        <v>3</v>
      </c>
      <c r="D22" s="152"/>
      <c r="E22" s="147"/>
      <c r="F22" s="147"/>
      <c r="G22" s="154"/>
      <c r="H22" s="706"/>
      <c r="I22" s="704">
        <f t="shared" si="1"/>
        <v>0</v>
      </c>
      <c r="J22" s="704">
        <f t="shared" si="2"/>
        <v>0</v>
      </c>
      <c r="K22" s="704">
        <f t="shared" si="3"/>
        <v>0</v>
      </c>
      <c r="L22" s="698" t="str">
        <f t="shared" si="4"/>
        <v/>
      </c>
      <c r="M22" s="698" t="str">
        <f t="shared" si="5"/>
        <v/>
      </c>
      <c r="N22" s="698" t="str">
        <f t="shared" si="6"/>
        <v/>
      </c>
      <c r="O22" s="153"/>
      <c r="P22" s="153"/>
      <c r="Q22" s="153" t="s">
        <v>315</v>
      </c>
      <c r="R22" s="153"/>
      <c r="S22" s="153"/>
      <c r="T22" s="705"/>
      <c r="U22" s="138"/>
      <c r="V22" s="138" t="s">
        <v>2192</v>
      </c>
      <c r="W22" s="138"/>
      <c r="X22" s="147"/>
      <c r="Y22" s="148"/>
      <c r="Z22" s="138"/>
      <c r="AA22" s="695"/>
      <c r="AB22" s="138"/>
      <c r="AC22" s="138"/>
      <c r="AD22" s="138"/>
    </row>
    <row r="23" spans="1:30" ht="27" customHeight="1">
      <c r="A23" s="697"/>
      <c r="B23" s="699">
        <v>6</v>
      </c>
      <c r="C23" s="147">
        <v>4</v>
      </c>
      <c r="D23" s="152"/>
      <c r="E23" s="147"/>
      <c r="F23" s="147"/>
      <c r="G23" s="154"/>
      <c r="H23" s="706"/>
      <c r="I23" s="704">
        <f t="shared" si="1"/>
        <v>0</v>
      </c>
      <c r="J23" s="704">
        <f t="shared" si="2"/>
        <v>0</v>
      </c>
      <c r="K23" s="704">
        <f t="shared" si="3"/>
        <v>0</v>
      </c>
      <c r="L23" s="698" t="str">
        <f t="shared" si="4"/>
        <v/>
      </c>
      <c r="M23" s="698" t="str">
        <f t="shared" si="5"/>
        <v/>
      </c>
      <c r="N23" s="698" t="str">
        <f t="shared" si="6"/>
        <v/>
      </c>
      <c r="O23" s="153"/>
      <c r="P23" s="153"/>
      <c r="Q23" s="153" t="s">
        <v>318</v>
      </c>
      <c r="R23" s="153"/>
      <c r="S23" s="153"/>
      <c r="T23" s="705"/>
      <c r="U23" s="138"/>
      <c r="V23" s="138" t="s">
        <v>2193</v>
      </c>
      <c r="W23" s="138"/>
      <c r="X23" s="147"/>
      <c r="Y23" s="148"/>
      <c r="Z23" s="138"/>
      <c r="AA23" s="695"/>
      <c r="AB23" s="138"/>
      <c r="AC23" s="138"/>
      <c r="AD23" s="138"/>
    </row>
    <row r="24" spans="1:30" ht="36" customHeight="1">
      <c r="A24" s="697"/>
      <c r="B24" s="699">
        <v>7</v>
      </c>
      <c r="C24" s="147">
        <v>5</v>
      </c>
      <c r="D24" s="152"/>
      <c r="E24" s="147"/>
      <c r="F24" s="147"/>
      <c r="G24" s="154"/>
      <c r="H24" s="706"/>
      <c r="I24" s="704">
        <f t="shared" si="1"/>
        <v>0</v>
      </c>
      <c r="J24" s="704">
        <f t="shared" si="2"/>
        <v>0</v>
      </c>
      <c r="K24" s="704">
        <f t="shared" si="3"/>
        <v>0</v>
      </c>
      <c r="L24" s="698" t="str">
        <f t="shared" si="4"/>
        <v/>
      </c>
      <c r="M24" s="698" t="str">
        <f t="shared" si="5"/>
        <v/>
      </c>
      <c r="N24" s="698" t="str">
        <f t="shared" si="6"/>
        <v/>
      </c>
      <c r="O24" s="153"/>
      <c r="P24" s="153"/>
      <c r="Q24" s="153" t="s">
        <v>745</v>
      </c>
      <c r="R24" s="153"/>
      <c r="S24" s="153"/>
      <c r="T24" s="705"/>
      <c r="U24" s="138"/>
      <c r="V24" s="138" t="s">
        <v>2194</v>
      </c>
      <c r="W24" s="138"/>
      <c r="X24" s="147"/>
      <c r="Y24" s="148"/>
      <c r="Z24" s="138"/>
      <c r="AA24" s="695"/>
      <c r="AB24" s="138"/>
      <c r="AC24" s="138"/>
      <c r="AD24" s="138"/>
    </row>
    <row r="25" spans="1:30" ht="36" customHeight="1">
      <c r="A25" s="697"/>
      <c r="B25" s="699">
        <v>8</v>
      </c>
      <c r="C25" s="147">
        <v>6</v>
      </c>
      <c r="D25" s="152"/>
      <c r="E25" s="147"/>
      <c r="F25" s="147"/>
      <c r="G25" s="154"/>
      <c r="H25" s="706"/>
      <c r="I25" s="704" t="str">
        <f t="shared" si="1"/>
        <v>2.2</v>
      </c>
      <c r="J25" s="704" t="str">
        <f t="shared" si="2"/>
        <v>Расходы на приобретаемую электрическую энергию (мощность), используемую в технологическом процессе</v>
      </c>
      <c r="K25" s="704">
        <f t="shared" si="3"/>
        <v>0</v>
      </c>
      <c r="L25" s="698" t="str">
        <f t="shared" si="4"/>
        <v>2.2</v>
      </c>
      <c r="M25" s="698" t="str">
        <f t="shared" si="5"/>
        <v>Расходы на приобретаемую электрическую энергию (мощность), используемую в технологическом процессе</v>
      </c>
      <c r="N25" s="698" t="str">
        <f t="shared" si="6"/>
        <v/>
      </c>
      <c r="O25" s="153" t="s">
        <v>318</v>
      </c>
      <c r="P25" s="153" t="s">
        <v>315</v>
      </c>
      <c r="Q25" s="153" t="s">
        <v>752</v>
      </c>
      <c r="R25" s="153" t="s">
        <v>315</v>
      </c>
      <c r="S25" s="153"/>
      <c r="T25" s="705" t="s">
        <v>2195</v>
      </c>
      <c r="U25" s="138" t="s">
        <v>2195</v>
      </c>
      <c r="V25" s="138" t="s">
        <v>2195</v>
      </c>
      <c r="W25" s="138" t="s">
        <v>2195</v>
      </c>
      <c r="X25" s="147"/>
      <c r="Y25" s="148"/>
      <c r="Z25" s="138"/>
      <c r="AA25" s="695"/>
      <c r="AB25" s="138"/>
      <c r="AC25" s="138"/>
      <c r="AD25" s="138"/>
    </row>
    <row r="26" spans="1:30" ht="18" customHeight="1">
      <c r="A26" s="697"/>
      <c r="B26" s="699">
        <v>9</v>
      </c>
      <c r="C26" s="147" t="s">
        <v>669</v>
      </c>
      <c r="D26" s="152"/>
      <c r="E26" s="147"/>
      <c r="F26" s="147"/>
      <c r="G26" s="154"/>
      <c r="H26" s="706"/>
      <c r="I26" s="704" t="str">
        <f t="shared" si="1"/>
        <v>2.2.1</v>
      </c>
      <c r="J26" s="704" t="str">
        <f t="shared" si="2"/>
        <v>Средневзвешенная стоимость 1 кВт.ч (с учетом мощности)</v>
      </c>
      <c r="K26" s="704">
        <f t="shared" si="3"/>
        <v>0</v>
      </c>
      <c r="L26" s="698" t="str">
        <f t="shared" si="4"/>
        <v>2.2.1</v>
      </c>
      <c r="M26" s="698" t="str">
        <f t="shared" si="5"/>
        <v>Средневзвешенная стоимость 1 кВт.ч (с учетом мощности)</v>
      </c>
      <c r="N26" s="698" t="str">
        <f t="shared" si="6"/>
        <v/>
      </c>
      <c r="O26" s="153" t="s">
        <v>741</v>
      </c>
      <c r="P26" s="153" t="s">
        <v>735</v>
      </c>
      <c r="Q26" s="153" t="s">
        <v>2196</v>
      </c>
      <c r="R26" s="153" t="s">
        <v>735</v>
      </c>
      <c r="S26" s="153"/>
      <c r="T26" s="705" t="str">
        <f>"Средневзвешенная стоимость 1 кВт.ч"&amp;IF(TITLE_TYPE_ORG="Регулируемая организация"," (с учетом мощности)","")</f>
        <v>Средневзвешенная стоимость 1 кВт.ч</v>
      </c>
      <c r="U26" s="705" t="s">
        <v>2197</v>
      </c>
      <c r="V26" s="705" t="s">
        <v>2197</v>
      </c>
      <c r="W26" s="705" t="s">
        <v>2197</v>
      </c>
      <c r="X26" s="147"/>
      <c r="Y26" s="148"/>
      <c r="Z26" s="138"/>
      <c r="AA26" s="695"/>
      <c r="AB26" s="138"/>
      <c r="AC26" s="138"/>
      <c r="AD26" s="138"/>
    </row>
    <row r="27" spans="1:30" ht="18" customHeight="1">
      <c r="A27" s="697"/>
      <c r="B27" s="699">
        <v>10</v>
      </c>
      <c r="C27" s="147" t="s">
        <v>673</v>
      </c>
      <c r="D27" s="152"/>
      <c r="E27" s="147"/>
      <c r="F27" s="147"/>
      <c r="G27" s="154"/>
      <c r="H27" s="706"/>
      <c r="I27" s="704" t="str">
        <f t="shared" si="1"/>
        <v>2.2.2</v>
      </c>
      <c r="J27" s="704" t="str">
        <f t="shared" si="2"/>
        <v>Объём приобретения электрической энергии</v>
      </c>
      <c r="K27" s="704">
        <f t="shared" si="3"/>
        <v>0</v>
      </c>
      <c r="L27" s="698" t="str">
        <f t="shared" si="4"/>
        <v>2.2.2</v>
      </c>
      <c r="M27" s="698" t="str">
        <f t="shared" si="5"/>
        <v>Объём приобретения электрической энергии</v>
      </c>
      <c r="N27" s="698" t="str">
        <f t="shared" si="6"/>
        <v/>
      </c>
      <c r="O27" s="153" t="s">
        <v>743</v>
      </c>
      <c r="P27" s="153" t="s">
        <v>737</v>
      </c>
      <c r="Q27" s="153" t="s">
        <v>2198</v>
      </c>
      <c r="R27" s="153" t="s">
        <v>737</v>
      </c>
      <c r="S27" s="153"/>
      <c r="T27" s="705" t="s">
        <v>2199</v>
      </c>
      <c r="U27" s="705" t="s">
        <v>2199</v>
      </c>
      <c r="V27" s="705" t="s">
        <v>2199</v>
      </c>
      <c r="W27" s="705" t="s">
        <v>2199</v>
      </c>
      <c r="X27" s="147"/>
      <c r="Y27" s="148"/>
      <c r="Z27" s="138"/>
      <c r="AA27" s="695"/>
      <c r="AB27" s="138"/>
      <c r="AC27" s="138"/>
      <c r="AD27" s="138"/>
    </row>
    <row r="28" spans="1:30" ht="27" customHeight="1">
      <c r="A28" s="697"/>
      <c r="B28" s="699">
        <v>11</v>
      </c>
      <c r="C28" s="147">
        <v>7</v>
      </c>
      <c r="D28" s="152"/>
      <c r="E28" s="147"/>
      <c r="F28" s="147"/>
      <c r="G28" s="154"/>
      <c r="H28" s="706"/>
      <c r="I28" s="704">
        <f t="shared" si="1"/>
        <v>0</v>
      </c>
      <c r="J28" s="704">
        <f t="shared" si="2"/>
        <v>0</v>
      </c>
      <c r="K28" s="704">
        <f t="shared" si="3"/>
        <v>0</v>
      </c>
      <c r="L28" s="698" t="str">
        <f t="shared" si="4"/>
        <v/>
      </c>
      <c r="M28" s="698" t="str">
        <f t="shared" si="5"/>
        <v/>
      </c>
      <c r="N28" s="698" t="str">
        <f t="shared" si="6"/>
        <v/>
      </c>
      <c r="O28" s="153" t="s">
        <v>745</v>
      </c>
      <c r="P28" s="153"/>
      <c r="Q28" s="153"/>
      <c r="R28" s="153"/>
      <c r="S28" s="153"/>
      <c r="T28" s="705" t="s">
        <v>2200</v>
      </c>
      <c r="U28" s="138"/>
      <c r="V28" s="138"/>
      <c r="W28" s="138"/>
      <c r="X28" s="147"/>
      <c r="Y28" s="148"/>
      <c r="Z28" s="138"/>
      <c r="AA28" s="695"/>
      <c r="AB28" s="138"/>
      <c r="AC28" s="138"/>
      <c r="AD28" s="138"/>
    </row>
    <row r="29" spans="1:30" ht="27" customHeight="1">
      <c r="A29" s="697"/>
      <c r="B29" s="699">
        <v>12</v>
      </c>
      <c r="C29" s="147">
        <v>8</v>
      </c>
      <c r="D29" s="152"/>
      <c r="E29" s="147"/>
      <c r="F29" s="147"/>
      <c r="G29" s="154"/>
      <c r="H29" s="706"/>
      <c r="I29" s="704" t="str">
        <f t="shared" si="1"/>
        <v>2.3</v>
      </c>
      <c r="J29" s="704" t="str">
        <f t="shared" si="2"/>
        <v>Расходы на химические реагенты, используемые в технологическом процессе</v>
      </c>
      <c r="K29" s="704">
        <f t="shared" si="3"/>
        <v>0</v>
      </c>
      <c r="L29" s="698" t="str">
        <f t="shared" si="4"/>
        <v>2.3</v>
      </c>
      <c r="M29" s="698" t="str">
        <f t="shared" si="5"/>
        <v>Расходы на химические реагенты, используемые в технологическом процессе</v>
      </c>
      <c r="N29" s="698" t="str">
        <f t="shared" si="6"/>
        <v/>
      </c>
      <c r="O29" s="153" t="s">
        <v>752</v>
      </c>
      <c r="P29" s="153" t="s">
        <v>318</v>
      </c>
      <c r="Q29" s="153"/>
      <c r="R29" s="153" t="s">
        <v>318</v>
      </c>
      <c r="S29" s="153"/>
      <c r="T29" s="70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38" t="s">
        <v>2201</v>
      </c>
      <c r="V29" s="138"/>
      <c r="W29" s="138" t="s">
        <v>2201</v>
      </c>
      <c r="X29" s="147"/>
      <c r="Y29" s="148"/>
      <c r="Z29" s="138"/>
      <c r="AA29" s="695"/>
      <c r="AB29" s="138"/>
      <c r="AC29" s="138"/>
      <c r="AD29" s="138"/>
    </row>
    <row r="30" spans="1:30" ht="54" customHeight="1">
      <c r="A30" s="697"/>
      <c r="B30" s="699">
        <v>13</v>
      </c>
      <c r="C30" s="147">
        <v>9</v>
      </c>
      <c r="D30" s="152"/>
      <c r="E30" s="147"/>
      <c r="F30" s="147"/>
      <c r="G30" s="154"/>
      <c r="H30" s="706"/>
      <c r="I30" s="704" t="str">
        <f t="shared" si="1"/>
        <v>2.4</v>
      </c>
      <c r="J30" s="70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704" t="str">
        <f t="shared" si="3"/>
        <v>Указывается общая сумма расходов на оплату труда и отчислений на социальные нужды основного производственного персонала.</v>
      </c>
      <c r="L30" s="698" t="str">
        <f t="shared" si="4"/>
        <v>2.4</v>
      </c>
      <c r="M30" s="69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698" t="str">
        <f t="shared" si="6"/>
        <v>Указывается общая сумма расходов на оплату труда и отчислений на социальные нужды основного производственного персонала.</v>
      </c>
      <c r="O30" s="153" t="s">
        <v>754</v>
      </c>
      <c r="P30" s="153" t="s">
        <v>745</v>
      </c>
      <c r="Q30" s="153" t="s">
        <v>754</v>
      </c>
      <c r="R30" s="153" t="s">
        <v>745</v>
      </c>
      <c r="S30" s="153"/>
      <c r="T30" s="705" t="s">
        <v>2202</v>
      </c>
      <c r="U30" s="138" t="s">
        <v>2202</v>
      </c>
      <c r="V30" s="138" t="s">
        <v>2202</v>
      </c>
      <c r="W30" s="138" t="s">
        <v>2202</v>
      </c>
      <c r="X30" s="147"/>
      <c r="Y30" s="148"/>
      <c r="Z30" s="138"/>
      <c r="AA30" s="695" t="s">
        <v>2203</v>
      </c>
      <c r="AB30" s="695" t="s">
        <v>2203</v>
      </c>
      <c r="AC30" s="695" t="s">
        <v>2203</v>
      </c>
      <c r="AD30" s="138"/>
    </row>
    <row r="31" spans="1:30" ht="18" customHeight="1">
      <c r="A31" s="697"/>
      <c r="B31" s="699">
        <v>14</v>
      </c>
      <c r="C31" s="147" t="s">
        <v>2204</v>
      </c>
      <c r="D31" s="152"/>
      <c r="E31" s="147"/>
      <c r="F31" s="147"/>
      <c r="G31" s="154"/>
      <c r="H31" s="706"/>
      <c r="I31" s="704" t="str">
        <f t="shared" si="1"/>
        <v>2.4.1</v>
      </c>
      <c r="J31" s="704" t="str">
        <f t="shared" si="2"/>
        <v>Расходы на оплату труда основного производственного персонала</v>
      </c>
      <c r="K31" s="704">
        <f t="shared" si="3"/>
        <v>0</v>
      </c>
      <c r="L31" s="698" t="str">
        <f t="shared" si="4"/>
        <v>2.4.1</v>
      </c>
      <c r="M31" s="698" t="str">
        <f t="shared" si="5"/>
        <v>Расходы на оплату труда основного производственного персонала</v>
      </c>
      <c r="N31" s="698" t="str">
        <f t="shared" si="6"/>
        <v/>
      </c>
      <c r="O31" s="153" t="s">
        <v>2205</v>
      </c>
      <c r="P31" s="153" t="s">
        <v>748</v>
      </c>
      <c r="Q31" s="153" t="s">
        <v>2205</v>
      </c>
      <c r="R31" s="153" t="s">
        <v>748</v>
      </c>
      <c r="S31" s="153"/>
      <c r="T31" s="707" t="s">
        <v>2206</v>
      </c>
      <c r="U31" s="138" t="s">
        <v>2206</v>
      </c>
      <c r="V31" s="138" t="s">
        <v>2206</v>
      </c>
      <c r="W31" s="138" t="s">
        <v>2206</v>
      </c>
      <c r="X31" s="147"/>
      <c r="Y31" s="148"/>
      <c r="Z31" s="138"/>
      <c r="AA31" s="695"/>
      <c r="AB31" s="695"/>
      <c r="AC31" s="695"/>
      <c r="AD31" s="138"/>
    </row>
    <row r="32" spans="1:30" ht="36" customHeight="1">
      <c r="A32" s="697"/>
      <c r="B32" s="699">
        <v>15</v>
      </c>
      <c r="C32" s="147" t="s">
        <v>2207</v>
      </c>
      <c r="D32" s="152"/>
      <c r="E32" s="147"/>
      <c r="F32" s="147"/>
      <c r="G32" s="154"/>
      <c r="H32" s="706"/>
      <c r="I32" s="704" t="str">
        <f t="shared" si="1"/>
        <v>2.4.2</v>
      </c>
      <c r="J32" s="704" t="str">
        <f t="shared" si="2"/>
        <v>Страховые взносы на обязательное социальное страхование, выплачиваемые из фонда оплаты труда основного производственного персонала</v>
      </c>
      <c r="K32" s="704">
        <f t="shared" si="3"/>
        <v>0</v>
      </c>
      <c r="L32" s="698" t="str">
        <f t="shared" si="4"/>
        <v>2.4.2</v>
      </c>
      <c r="M32" s="698" t="str">
        <f t="shared" si="5"/>
        <v>Страховые взносы на обязательное социальное страхование, выплачиваемые из фонда оплаты труда основного производственного персонала</v>
      </c>
      <c r="N32" s="698" t="str">
        <f t="shared" si="6"/>
        <v/>
      </c>
      <c r="O32" s="153" t="s">
        <v>2208</v>
      </c>
      <c r="P32" s="153" t="s">
        <v>750</v>
      </c>
      <c r="Q32" s="153" t="s">
        <v>2208</v>
      </c>
      <c r="R32" s="153" t="s">
        <v>750</v>
      </c>
      <c r="S32" s="153"/>
      <c r="T32" s="70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38" t="s">
        <v>2209</v>
      </c>
      <c r="V32" s="138" t="s">
        <v>2209</v>
      </c>
      <c r="W32" s="138" t="s">
        <v>2209</v>
      </c>
      <c r="X32" s="147"/>
      <c r="Y32" s="148"/>
      <c r="Z32" s="138"/>
      <c r="AA32" s="695"/>
      <c r="AB32" s="695"/>
      <c r="AC32" s="695"/>
      <c r="AD32" s="138"/>
    </row>
    <row r="33" spans="1:30" ht="45" customHeight="1">
      <c r="A33" s="697"/>
      <c r="B33" s="699">
        <v>16</v>
      </c>
      <c r="C33" s="147">
        <v>10</v>
      </c>
      <c r="D33" s="152"/>
      <c r="E33" s="147"/>
      <c r="F33" s="147"/>
      <c r="G33" s="154"/>
      <c r="H33" s="706"/>
      <c r="I33" s="704" t="str">
        <f t="shared" si="1"/>
        <v>2.5</v>
      </c>
      <c r="J33" s="70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704" t="str">
        <f t="shared" si="3"/>
        <v>Указывается общая сумма расходов на оплату труда и отчислений на социальные нужды административно-управленческого персонала.</v>
      </c>
      <c r="L33" s="698" t="str">
        <f t="shared" si="4"/>
        <v>2.5</v>
      </c>
      <c r="M33" s="69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698" t="str">
        <f t="shared" si="6"/>
        <v>Указывается общая сумма расходов на оплату труда и отчислений на социальные нужды административно-управленческого персонала.</v>
      </c>
      <c r="O33" s="153" t="s">
        <v>756</v>
      </c>
      <c r="P33" s="153" t="s">
        <v>752</v>
      </c>
      <c r="Q33" s="153" t="s">
        <v>756</v>
      </c>
      <c r="R33" s="153" t="s">
        <v>752</v>
      </c>
      <c r="S33" s="153"/>
      <c r="T33" s="70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38" t="s">
        <v>2210</v>
      </c>
      <c r="V33" s="138" t="s">
        <v>2210</v>
      </c>
      <c r="W33" s="138" t="s">
        <v>2211</v>
      </c>
      <c r="X33" s="147"/>
      <c r="Y33" s="148"/>
      <c r="Z33" s="138"/>
      <c r="AA33" s="695" t="s">
        <v>2212</v>
      </c>
      <c r="AB33" s="695" t="s">
        <v>2212</v>
      </c>
      <c r="AC33" s="695" t="s">
        <v>2212</v>
      </c>
      <c r="AD33" s="138"/>
    </row>
    <row r="34" spans="1:30" ht="27" customHeight="1">
      <c r="A34" s="697"/>
      <c r="B34" s="699">
        <v>17</v>
      </c>
      <c r="C34" s="147" t="s">
        <v>2213</v>
      </c>
      <c r="D34" s="152"/>
      <c r="E34" s="147"/>
      <c r="F34" s="147"/>
      <c r="G34" s="154"/>
      <c r="H34" s="706"/>
      <c r="I34" s="704" t="str">
        <f t="shared" si="1"/>
        <v>2.5.1</v>
      </c>
      <c r="J34" s="704" t="str">
        <f t="shared" si="2"/>
        <v>Расходы на оплату труда административно-управленческого персонала, в том числе:</v>
      </c>
      <c r="K34" s="704">
        <f t="shared" si="3"/>
        <v>0</v>
      </c>
      <c r="L34" s="698" t="str">
        <f t="shared" si="4"/>
        <v>2.5.1</v>
      </c>
      <c r="M34" s="698" t="str">
        <f t="shared" si="5"/>
        <v>Расходы на оплату труда административно-управленческого персонала, в том числе:</v>
      </c>
      <c r="N34" s="698" t="str">
        <f t="shared" si="6"/>
        <v/>
      </c>
      <c r="O34" s="153" t="s">
        <v>2214</v>
      </c>
      <c r="P34" s="153" t="s">
        <v>2196</v>
      </c>
      <c r="Q34" s="153" t="s">
        <v>2214</v>
      </c>
      <c r="R34" s="153" t="s">
        <v>2196</v>
      </c>
      <c r="S34" s="153"/>
      <c r="T34" s="708" t="s">
        <v>2215</v>
      </c>
      <c r="U34" s="138" t="s">
        <v>2215</v>
      </c>
      <c r="V34" s="138" t="s">
        <v>2215</v>
      </c>
      <c r="W34" s="138" t="s">
        <v>2216</v>
      </c>
      <c r="X34" s="147"/>
      <c r="Y34" s="148"/>
      <c r="Z34" s="138"/>
      <c r="AA34" s="695"/>
      <c r="AB34" s="138"/>
      <c r="AC34" s="138"/>
      <c r="AD34" s="138"/>
    </row>
    <row r="35" spans="1:30" ht="45" customHeight="1">
      <c r="A35" s="697"/>
      <c r="B35" s="699">
        <v>18</v>
      </c>
      <c r="C35" s="147" t="s">
        <v>2217</v>
      </c>
      <c r="D35" s="152"/>
      <c r="E35" s="147"/>
      <c r="F35" s="147"/>
      <c r="G35" s="154"/>
      <c r="H35" s="706"/>
      <c r="I35" s="704" t="str">
        <f t="shared" si="1"/>
        <v>2.5.2</v>
      </c>
      <c r="J35" s="70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704">
        <f t="shared" si="3"/>
        <v>0</v>
      </c>
      <c r="L35" s="698" t="str">
        <f t="shared" si="4"/>
        <v>2.5.2</v>
      </c>
      <c r="M35" s="69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698" t="str">
        <f t="shared" si="6"/>
        <v/>
      </c>
      <c r="O35" s="153" t="s">
        <v>2218</v>
      </c>
      <c r="P35" s="153" t="s">
        <v>2198</v>
      </c>
      <c r="Q35" s="153" t="s">
        <v>2218</v>
      </c>
      <c r="R35" s="153" t="s">
        <v>2198</v>
      </c>
      <c r="S35" s="153"/>
      <c r="T35" s="70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38" t="s">
        <v>2219</v>
      </c>
      <c r="V35" s="138" t="s">
        <v>2219</v>
      </c>
      <c r="W35" s="138" t="s">
        <v>2219</v>
      </c>
      <c r="X35" s="147"/>
      <c r="Y35" s="148"/>
      <c r="Z35" s="138"/>
      <c r="AA35" s="695"/>
      <c r="AB35" s="138"/>
      <c r="AC35" s="138"/>
      <c r="AD35" s="138"/>
    </row>
    <row r="36" spans="1:30" ht="18" customHeight="1">
      <c r="A36" s="697"/>
      <c r="B36" s="699">
        <v>19</v>
      </c>
      <c r="C36" s="147">
        <v>11</v>
      </c>
      <c r="D36" s="152"/>
      <c r="E36" s="147"/>
      <c r="F36" s="147"/>
      <c r="G36" s="154"/>
      <c r="H36" s="706"/>
      <c r="I36" s="704" t="str">
        <f t="shared" si="1"/>
        <v>2.6</v>
      </c>
      <c r="J36" s="704" t="str">
        <f t="shared" si="2"/>
        <v>Расходы на амортизацию основных средств и нематериальных активов</v>
      </c>
      <c r="K36" s="704">
        <f t="shared" si="3"/>
        <v>0</v>
      </c>
      <c r="L36" s="698" t="str">
        <f t="shared" si="4"/>
        <v>2.6</v>
      </c>
      <c r="M36" s="698" t="str">
        <f t="shared" si="5"/>
        <v>Расходы на амортизацию основных средств и нематериальных активов</v>
      </c>
      <c r="N36" s="698" t="str">
        <f t="shared" si="6"/>
        <v/>
      </c>
      <c r="O36" s="153" t="s">
        <v>758</v>
      </c>
      <c r="P36" s="153" t="s">
        <v>754</v>
      </c>
      <c r="Q36" s="153" t="s">
        <v>758</v>
      </c>
      <c r="R36" s="153" t="s">
        <v>754</v>
      </c>
      <c r="S36" s="153"/>
      <c r="T36" s="705" t="s">
        <v>2220</v>
      </c>
      <c r="U36" s="138" t="s">
        <v>2220</v>
      </c>
      <c r="V36" s="138" t="s">
        <v>2220</v>
      </c>
      <c r="W36" s="138" t="s">
        <v>2220</v>
      </c>
      <c r="X36" s="147"/>
      <c r="Y36" s="148"/>
      <c r="Z36" s="138"/>
      <c r="AA36" s="695"/>
      <c r="AB36" s="138"/>
      <c r="AC36" s="138"/>
      <c r="AD36" s="138"/>
    </row>
    <row r="37" spans="1:30" ht="18" customHeight="1">
      <c r="A37" s="697"/>
      <c r="B37" s="699">
        <v>20</v>
      </c>
      <c r="C37" s="147" t="s">
        <v>2221</v>
      </c>
      <c r="D37" s="152"/>
      <c r="E37" s="147"/>
      <c r="F37" s="147"/>
      <c r="G37" s="154"/>
      <c r="H37" s="706"/>
      <c r="I37" s="704" t="str">
        <f t="shared" si="1"/>
        <v>2.6.1</v>
      </c>
      <c r="J37" s="704" t="str">
        <f t="shared" si="2"/>
        <v>Расходы на амортизацию основных средств</v>
      </c>
      <c r="K37" s="704">
        <f t="shared" si="3"/>
        <v>0</v>
      </c>
      <c r="L37" s="698" t="str">
        <f t="shared" si="4"/>
        <v>2.6.1</v>
      </c>
      <c r="M37" s="698" t="str">
        <f t="shared" si="5"/>
        <v>Расходы на амортизацию основных средств</v>
      </c>
      <c r="N37" s="698" t="str">
        <f t="shared" si="6"/>
        <v/>
      </c>
      <c r="O37" s="153" t="s">
        <v>2222</v>
      </c>
      <c r="P37" s="153" t="s">
        <v>2205</v>
      </c>
      <c r="Q37" s="153" t="s">
        <v>2222</v>
      </c>
      <c r="R37" s="153" t="s">
        <v>2205</v>
      </c>
      <c r="S37" s="153"/>
      <c r="T37" s="705" t="s">
        <v>2223</v>
      </c>
      <c r="U37" s="138" t="s">
        <v>2223</v>
      </c>
      <c r="V37" s="138" t="s">
        <v>2223</v>
      </c>
      <c r="W37" s="138" t="s">
        <v>2223</v>
      </c>
      <c r="X37" s="147"/>
      <c r="Y37" s="148"/>
      <c r="Z37" s="138"/>
      <c r="AA37" s="695"/>
      <c r="AB37" s="138"/>
      <c r="AC37" s="138"/>
      <c r="AD37" s="138"/>
    </row>
    <row r="38" spans="1:30" ht="18" customHeight="1">
      <c r="A38" s="697"/>
      <c r="B38" s="699">
        <v>21</v>
      </c>
      <c r="C38" s="147" t="s">
        <v>2224</v>
      </c>
      <c r="D38" s="152"/>
      <c r="E38" s="147"/>
      <c r="F38" s="147"/>
      <c r="G38" s="154"/>
      <c r="H38" s="706"/>
      <c r="I38" s="704" t="str">
        <f t="shared" si="1"/>
        <v>2.6.2</v>
      </c>
      <c r="J38" s="704" t="str">
        <f t="shared" si="2"/>
        <v>Расходы на амортизацию нематериальных активов</v>
      </c>
      <c r="K38" s="704">
        <f t="shared" si="3"/>
        <v>0</v>
      </c>
      <c r="L38" s="698" t="str">
        <f t="shared" si="4"/>
        <v>2.6.2</v>
      </c>
      <c r="M38" s="698" t="str">
        <f t="shared" si="5"/>
        <v>Расходы на амортизацию нематериальных активов</v>
      </c>
      <c r="N38" s="698" t="str">
        <f t="shared" si="6"/>
        <v/>
      </c>
      <c r="O38" s="153" t="s">
        <v>2225</v>
      </c>
      <c r="P38" s="153" t="s">
        <v>2208</v>
      </c>
      <c r="Q38" s="153" t="s">
        <v>2225</v>
      </c>
      <c r="R38" s="153" t="s">
        <v>2208</v>
      </c>
      <c r="S38" s="153"/>
      <c r="T38" s="705" t="s">
        <v>2226</v>
      </c>
      <c r="U38" s="138" t="s">
        <v>2226</v>
      </c>
      <c r="V38" s="138" t="s">
        <v>2226</v>
      </c>
      <c r="W38" s="138" t="s">
        <v>2226</v>
      </c>
      <c r="X38" s="147"/>
      <c r="Y38" s="148"/>
      <c r="Z38" s="138"/>
      <c r="AA38" s="695"/>
      <c r="AB38" s="138"/>
      <c r="AC38" s="138"/>
      <c r="AD38" s="138"/>
    </row>
    <row r="39" spans="1:30" ht="36" customHeight="1">
      <c r="A39" s="697"/>
      <c r="B39" s="699">
        <v>22</v>
      </c>
      <c r="C39" s="147">
        <v>12</v>
      </c>
      <c r="D39" s="152"/>
      <c r="E39" s="147"/>
      <c r="F39" s="147"/>
      <c r="G39" s="154"/>
      <c r="H39" s="706"/>
      <c r="I39" s="704" t="str">
        <f t="shared" si="1"/>
        <v>2.7</v>
      </c>
      <c r="J39" s="704" t="str">
        <f t="shared" si="2"/>
        <v>Расходы на аренду имущества, используемого для осуществления регулируемых видов деятельности в сфере водоотведения</v>
      </c>
      <c r="K39" s="704">
        <f t="shared" si="3"/>
        <v>0</v>
      </c>
      <c r="L39" s="698" t="str">
        <f t="shared" si="4"/>
        <v>2.7</v>
      </c>
      <c r="M39" s="698" t="str">
        <f t="shared" si="5"/>
        <v>Расходы на аренду имущества, используемого для осуществления регулируемых видов деятельности в сфере водоотведения</v>
      </c>
      <c r="N39" s="698" t="str">
        <f t="shared" si="6"/>
        <v/>
      </c>
      <c r="O39" s="153" t="s">
        <v>762</v>
      </c>
      <c r="P39" s="153" t="s">
        <v>756</v>
      </c>
      <c r="Q39" s="153" t="s">
        <v>762</v>
      </c>
      <c r="R39" s="153" t="s">
        <v>756</v>
      </c>
      <c r="S39" s="153"/>
      <c r="T39" s="705" t="s">
        <v>2227</v>
      </c>
      <c r="U39" s="138" t="s">
        <v>2228</v>
      </c>
      <c r="V39" s="138" t="s">
        <v>2229</v>
      </c>
      <c r="W39" s="138" t="s">
        <v>2230</v>
      </c>
      <c r="X39" s="147"/>
      <c r="Y39" s="148"/>
      <c r="Z39" s="138"/>
      <c r="AA39" s="695"/>
      <c r="AB39" s="138"/>
      <c r="AC39" s="138"/>
      <c r="AD39" s="138"/>
    </row>
    <row r="40" spans="1:30" ht="18" customHeight="1">
      <c r="A40" s="697"/>
      <c r="B40" s="699">
        <v>23</v>
      </c>
      <c r="C40" s="147">
        <v>13</v>
      </c>
      <c r="D40" s="152"/>
      <c r="E40" s="147"/>
      <c r="F40" s="147"/>
      <c r="G40" s="147"/>
      <c r="H40" s="155"/>
      <c r="I40" s="704" t="str">
        <f t="shared" si="1"/>
        <v>2.8</v>
      </c>
      <c r="J40" s="704" t="str">
        <f t="shared" si="2"/>
        <v>Общепроизводственные расходы, в том числе:</v>
      </c>
      <c r="K40" s="704" t="str">
        <f t="shared" si="3"/>
        <v>Указывается общая сумма общепроизводственных расходов.</v>
      </c>
      <c r="L40" s="698" t="str">
        <f t="shared" si="4"/>
        <v>2.8</v>
      </c>
      <c r="M40" s="698" t="str">
        <f t="shared" si="5"/>
        <v>Общепроизводственные расходы, в том числе:</v>
      </c>
      <c r="N40" s="698" t="str">
        <f t="shared" si="6"/>
        <v>Указывается общая сумма общепроизводственных расходов.</v>
      </c>
      <c r="O40" s="153" t="s">
        <v>2231</v>
      </c>
      <c r="P40" s="153" t="s">
        <v>758</v>
      </c>
      <c r="Q40" s="153" t="s">
        <v>2231</v>
      </c>
      <c r="R40" s="153" t="s">
        <v>758</v>
      </c>
      <c r="S40" s="153"/>
      <c r="T40" s="147" t="s">
        <v>2232</v>
      </c>
      <c r="U40" s="147" t="s">
        <v>2232</v>
      </c>
      <c r="V40" s="147" t="s">
        <v>2232</v>
      </c>
      <c r="W40" s="147" t="s">
        <v>2232</v>
      </c>
      <c r="X40" s="147"/>
      <c r="Y40" s="148"/>
      <c r="Z40" s="138" t="s">
        <v>2233</v>
      </c>
      <c r="AA40" s="695" t="s">
        <v>2233</v>
      </c>
      <c r="AB40" s="695" t="s">
        <v>2233</v>
      </c>
      <c r="AC40" s="695" t="s">
        <v>2233</v>
      </c>
      <c r="AD40" s="138"/>
    </row>
    <row r="41" spans="1:30" ht="27" customHeight="1">
      <c r="A41" s="697"/>
      <c r="B41" s="699">
        <v>24</v>
      </c>
      <c r="C41" s="147" t="s">
        <v>2234</v>
      </c>
      <c r="D41" s="152"/>
      <c r="E41" s="147"/>
      <c r="F41" s="147"/>
      <c r="G41" s="147"/>
      <c r="H41" s="154"/>
      <c r="I41" s="704" t="str">
        <f t="shared" si="1"/>
        <v>2.8.1</v>
      </c>
      <c r="J41" s="704" t="str">
        <f t="shared" si="2"/>
        <v>Расходы на текущий ремонт</v>
      </c>
      <c r="K41" s="704" t="str">
        <f t="shared" si="3"/>
        <v>Указываются расходы на текущий ремонт, отнесенные к общепроизводственным расходам.</v>
      </c>
      <c r="L41" s="698" t="str">
        <f t="shared" si="4"/>
        <v>2.8.1</v>
      </c>
      <c r="M41" s="698" t="str">
        <f t="shared" si="5"/>
        <v>Расходы на текущий ремонт</v>
      </c>
      <c r="N41" s="698" t="str">
        <f t="shared" si="6"/>
        <v>Указываются расходы на текущий ремонт, отнесенные к общепроизводственным расходам.</v>
      </c>
      <c r="O41" s="153" t="s">
        <v>2235</v>
      </c>
      <c r="P41" s="153" t="s">
        <v>2222</v>
      </c>
      <c r="Q41" s="153" t="s">
        <v>2235</v>
      </c>
      <c r="R41" s="153" t="s">
        <v>2222</v>
      </c>
      <c r="S41" s="153"/>
      <c r="T41" s="147" t="s">
        <v>2236</v>
      </c>
      <c r="U41" s="147" t="s">
        <v>2236</v>
      </c>
      <c r="V41" s="147" t="s">
        <v>2236</v>
      </c>
      <c r="W41" s="147" t="s">
        <v>2236</v>
      </c>
      <c r="X41" s="147"/>
      <c r="Y41" s="148"/>
      <c r="Z41" s="138" t="s">
        <v>2237</v>
      </c>
      <c r="AA41" s="138" t="s">
        <v>2237</v>
      </c>
      <c r="AB41" s="138" t="s">
        <v>2237</v>
      </c>
      <c r="AC41" s="138" t="s">
        <v>2237</v>
      </c>
      <c r="AD41" s="138"/>
    </row>
    <row r="42" spans="1:30" ht="27" customHeight="1">
      <c r="A42" s="697"/>
      <c r="B42" s="699">
        <v>25</v>
      </c>
      <c r="C42" s="147" t="s">
        <v>2238</v>
      </c>
      <c r="D42" s="152"/>
      <c r="E42" s="147"/>
      <c r="F42" s="147"/>
      <c r="G42" s="147"/>
      <c r="H42" s="154"/>
      <c r="I42" s="704" t="str">
        <f t="shared" si="1"/>
        <v>2.8.2</v>
      </c>
      <c r="J42" s="704" t="str">
        <f t="shared" si="2"/>
        <v>Расходы на капитальный ремонт</v>
      </c>
      <c r="K42" s="704" t="str">
        <f t="shared" si="3"/>
        <v>Указываются расходы на капитальный ремонт, отнесенные к общепроизводственным расходам.</v>
      </c>
      <c r="L42" s="698" t="str">
        <f t="shared" si="4"/>
        <v>2.8.2</v>
      </c>
      <c r="M42" s="698" t="str">
        <f t="shared" si="5"/>
        <v>Расходы на капитальный ремонт</v>
      </c>
      <c r="N42" s="698" t="str">
        <f t="shared" si="6"/>
        <v>Указываются расходы на капитальный ремонт, отнесенные к общепроизводственным расходам.</v>
      </c>
      <c r="O42" s="153" t="s">
        <v>2239</v>
      </c>
      <c r="P42" s="153" t="s">
        <v>2225</v>
      </c>
      <c r="Q42" s="153" t="s">
        <v>2239</v>
      </c>
      <c r="R42" s="153" t="s">
        <v>2225</v>
      </c>
      <c r="S42" s="153"/>
      <c r="T42" s="147" t="s">
        <v>2240</v>
      </c>
      <c r="U42" s="147" t="s">
        <v>2240</v>
      </c>
      <c r="V42" s="147" t="s">
        <v>2240</v>
      </c>
      <c r="W42" s="147" t="s">
        <v>2240</v>
      </c>
      <c r="X42" s="147"/>
      <c r="Y42" s="148"/>
      <c r="Z42" s="138" t="s">
        <v>2241</v>
      </c>
      <c r="AA42" s="138" t="s">
        <v>2241</v>
      </c>
      <c r="AB42" s="138" t="s">
        <v>2241</v>
      </c>
      <c r="AC42" s="138" t="s">
        <v>2241</v>
      </c>
      <c r="AD42" s="138"/>
    </row>
    <row r="43" spans="1:30" ht="18" customHeight="1">
      <c r="A43" s="697"/>
      <c r="B43" s="699">
        <v>26</v>
      </c>
      <c r="C43" s="147">
        <v>14</v>
      </c>
      <c r="D43" s="152"/>
      <c r="E43" s="147"/>
      <c r="F43" s="147"/>
      <c r="G43" s="147"/>
      <c r="H43" s="154"/>
      <c r="I43" s="704" t="str">
        <f t="shared" si="1"/>
        <v>2.9</v>
      </c>
      <c r="J43" s="704" t="str">
        <f t="shared" si="2"/>
        <v>Общехозяйственные расходы, в том числе:</v>
      </c>
      <c r="K43" s="704" t="str">
        <f t="shared" si="3"/>
        <v>Указывается общая сумма общехозяйственных расходов.</v>
      </c>
      <c r="L43" s="698" t="str">
        <f t="shared" si="4"/>
        <v>2.9</v>
      </c>
      <c r="M43" s="698" t="str">
        <f t="shared" si="5"/>
        <v>Общехозяйственные расходы, в том числе:</v>
      </c>
      <c r="N43" s="698" t="str">
        <f t="shared" si="6"/>
        <v>Указывается общая сумма общехозяйственных расходов.</v>
      </c>
      <c r="O43" s="153" t="s">
        <v>2242</v>
      </c>
      <c r="P43" s="153" t="s">
        <v>762</v>
      </c>
      <c r="Q43" s="153" t="s">
        <v>2242</v>
      </c>
      <c r="R43" s="153" t="s">
        <v>762</v>
      </c>
      <c r="S43" s="153"/>
      <c r="T43" s="147" t="s">
        <v>2243</v>
      </c>
      <c r="U43" s="147" t="s">
        <v>2243</v>
      </c>
      <c r="V43" s="147" t="s">
        <v>2243</v>
      </c>
      <c r="W43" s="147" t="s">
        <v>2243</v>
      </c>
      <c r="X43" s="147"/>
      <c r="Y43" s="148"/>
      <c r="Z43" s="138" t="s">
        <v>2244</v>
      </c>
      <c r="AA43" s="138" t="s">
        <v>2244</v>
      </c>
      <c r="AB43" s="138" t="s">
        <v>2244</v>
      </c>
      <c r="AC43" s="138" t="s">
        <v>2244</v>
      </c>
      <c r="AD43" s="138"/>
    </row>
    <row r="44" spans="1:30" ht="27" customHeight="1">
      <c r="A44" s="697"/>
      <c r="B44" s="699">
        <v>27</v>
      </c>
      <c r="C44" s="147" t="s">
        <v>2245</v>
      </c>
      <c r="D44" s="152"/>
      <c r="E44" s="147"/>
      <c r="F44" s="147"/>
      <c r="G44" s="147"/>
      <c r="H44" s="154"/>
      <c r="I44" s="704" t="str">
        <f t="shared" si="1"/>
        <v>2.9.1</v>
      </c>
      <c r="J44" s="704" t="str">
        <f t="shared" si="2"/>
        <v>Расходы на текущий ремонт</v>
      </c>
      <c r="K44" s="704" t="str">
        <f t="shared" si="3"/>
        <v>Указываются расходы на текущий ремонт, отнесенные к общехозяйственным расходам.</v>
      </c>
      <c r="L44" s="698" t="str">
        <f t="shared" si="4"/>
        <v>2.9.1</v>
      </c>
      <c r="M44" s="698" t="str">
        <f t="shared" si="5"/>
        <v>Расходы на текущий ремонт</v>
      </c>
      <c r="N44" s="698" t="str">
        <f t="shared" si="6"/>
        <v>Указываются расходы на текущий ремонт, отнесенные к общехозяйственным расходам.</v>
      </c>
      <c r="O44" s="153" t="s">
        <v>2246</v>
      </c>
      <c r="P44" s="153" t="s">
        <v>2247</v>
      </c>
      <c r="Q44" s="153" t="s">
        <v>2246</v>
      </c>
      <c r="R44" s="153" t="s">
        <v>2247</v>
      </c>
      <c r="S44" s="153"/>
      <c r="T44" s="147" t="s">
        <v>2236</v>
      </c>
      <c r="U44" s="147" t="s">
        <v>2236</v>
      </c>
      <c r="V44" s="147" t="s">
        <v>2236</v>
      </c>
      <c r="W44" s="147" t="s">
        <v>2236</v>
      </c>
      <c r="X44" s="147"/>
      <c r="Y44" s="148"/>
      <c r="Z44" s="138" t="s">
        <v>2248</v>
      </c>
      <c r="AA44" s="138" t="s">
        <v>2248</v>
      </c>
      <c r="AB44" s="138" t="s">
        <v>2248</v>
      </c>
      <c r="AC44" s="138" t="s">
        <v>2248</v>
      </c>
      <c r="AD44" s="138"/>
    </row>
    <row r="45" spans="1:30" ht="27" customHeight="1">
      <c r="A45" s="697"/>
      <c r="B45" s="699">
        <v>28</v>
      </c>
      <c r="C45" s="147" t="s">
        <v>2249</v>
      </c>
      <c r="D45" s="152"/>
      <c r="E45" s="147"/>
      <c r="F45" s="147"/>
      <c r="G45" s="147"/>
      <c r="H45" s="154"/>
      <c r="I45" s="704" t="str">
        <f t="shared" si="1"/>
        <v>2.9.2</v>
      </c>
      <c r="J45" s="704" t="str">
        <f t="shared" si="2"/>
        <v>Расходы на капитальный ремонт</v>
      </c>
      <c r="K45" s="704" t="str">
        <f t="shared" si="3"/>
        <v>Указываются расходы на капитальный ремонт, отнесенные к общехозяйственным расходам.</v>
      </c>
      <c r="L45" s="698" t="str">
        <f t="shared" si="4"/>
        <v>2.9.2</v>
      </c>
      <c r="M45" s="698" t="str">
        <f t="shared" si="5"/>
        <v>Расходы на капитальный ремонт</v>
      </c>
      <c r="N45" s="698" t="str">
        <f t="shared" si="6"/>
        <v>Указываются расходы на капитальный ремонт, отнесенные к общехозяйственным расходам.</v>
      </c>
      <c r="O45" s="153" t="s">
        <v>2250</v>
      </c>
      <c r="P45" s="153" t="s">
        <v>2251</v>
      </c>
      <c r="Q45" s="153" t="s">
        <v>2250</v>
      </c>
      <c r="R45" s="153" t="s">
        <v>2251</v>
      </c>
      <c r="S45" s="153"/>
      <c r="T45" s="147" t="s">
        <v>2240</v>
      </c>
      <c r="U45" s="147" t="s">
        <v>2240</v>
      </c>
      <c r="V45" s="147" t="s">
        <v>2240</v>
      </c>
      <c r="W45" s="147" t="s">
        <v>2240</v>
      </c>
      <c r="X45" s="147"/>
      <c r="Y45" s="148"/>
      <c r="Z45" s="138" t="s">
        <v>2252</v>
      </c>
      <c r="AA45" s="138" t="s">
        <v>2252</v>
      </c>
      <c r="AB45" s="138" t="s">
        <v>2252</v>
      </c>
      <c r="AC45" s="138" t="s">
        <v>2252</v>
      </c>
      <c r="AD45" s="138"/>
    </row>
    <row r="46" spans="1:30" ht="54" customHeight="1">
      <c r="A46" s="697"/>
      <c r="B46" s="699">
        <v>29</v>
      </c>
      <c r="C46" s="147">
        <v>15</v>
      </c>
      <c r="D46" s="152"/>
      <c r="E46" s="147"/>
      <c r="F46" s="147"/>
      <c r="G46" s="147"/>
      <c r="H46" s="154"/>
      <c r="I46" s="704" t="str">
        <f t="shared" si="1"/>
        <v>2.10</v>
      </c>
      <c r="J46" s="704" t="str">
        <f t="shared" si="2"/>
        <v>Расходы на капитальный и текущий ремонт основных средств</v>
      </c>
      <c r="K46" s="70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698" t="str">
        <f t="shared" si="4"/>
        <v>2.10</v>
      </c>
      <c r="M46" s="698" t="str">
        <f t="shared" si="5"/>
        <v>Расходы на капитальный и текущий ремонт основных средств</v>
      </c>
      <c r="N46" s="69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53" t="s">
        <v>2253</v>
      </c>
      <c r="P46" s="153" t="s">
        <v>2231</v>
      </c>
      <c r="Q46" s="153" t="s">
        <v>2253</v>
      </c>
      <c r="R46" s="153" t="s">
        <v>2231</v>
      </c>
      <c r="S46" s="153"/>
      <c r="T46" s="69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47" t="s">
        <v>2254</v>
      </c>
      <c r="V46" s="147" t="s">
        <v>2254</v>
      </c>
      <c r="W46" s="147" t="s">
        <v>2254</v>
      </c>
      <c r="X46" s="147"/>
      <c r="Y46" s="148"/>
      <c r="Z46" s="138" t="s">
        <v>2255</v>
      </c>
      <c r="AA46" s="138" t="s">
        <v>2256</v>
      </c>
      <c r="AB46" s="138" t="s">
        <v>2256</v>
      </c>
      <c r="AC46" s="138" t="s">
        <v>2256</v>
      </c>
      <c r="AD46" s="138"/>
    </row>
    <row r="47" spans="1:30" ht="54" customHeight="1">
      <c r="A47" s="697"/>
      <c r="B47" s="699">
        <v>30</v>
      </c>
      <c r="C47" s="147" t="s">
        <v>2257</v>
      </c>
      <c r="D47" s="152"/>
      <c r="E47" s="147"/>
      <c r="F47" s="147"/>
      <c r="G47" s="147"/>
      <c r="H47" s="154"/>
      <c r="I47" s="704" t="str">
        <f t="shared" si="1"/>
        <v>2.10.1</v>
      </c>
      <c r="J47" s="70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704">
        <f t="shared" si="3"/>
        <v>0</v>
      </c>
      <c r="L47" s="698" t="str">
        <f t="shared" si="4"/>
        <v>2.10.1</v>
      </c>
      <c r="M47" s="69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698" t="str">
        <f t="shared" si="6"/>
        <v/>
      </c>
      <c r="O47" s="153" t="s">
        <v>2258</v>
      </c>
      <c r="P47" s="153" t="s">
        <v>2235</v>
      </c>
      <c r="Q47" s="153" t="s">
        <v>2258</v>
      </c>
      <c r="R47" s="153" t="s">
        <v>2235</v>
      </c>
      <c r="S47" s="153"/>
      <c r="T47" s="147" t="s">
        <v>2259</v>
      </c>
      <c r="U47" s="147" t="s">
        <v>2259</v>
      </c>
      <c r="V47" s="147" t="s">
        <v>2259</v>
      </c>
      <c r="W47" s="147" t="s">
        <v>2259</v>
      </c>
      <c r="X47" s="147"/>
      <c r="Y47" s="148"/>
      <c r="Z47" s="138"/>
      <c r="AA47" s="695"/>
      <c r="AB47" s="695"/>
      <c r="AC47" s="695"/>
      <c r="AD47" s="138"/>
    </row>
    <row r="48" spans="1:30" ht="54" customHeight="1">
      <c r="A48" s="697"/>
      <c r="B48" s="699">
        <v>31</v>
      </c>
      <c r="C48" s="147">
        <v>16</v>
      </c>
      <c r="D48" s="152"/>
      <c r="E48" s="147"/>
      <c r="F48" s="147"/>
      <c r="G48" s="147"/>
      <c r="H48" s="154"/>
      <c r="I48" s="704" t="str">
        <f t="shared" si="1"/>
        <v>2.11</v>
      </c>
      <c r="J48" s="70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70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698" t="str">
        <f t="shared" si="4"/>
        <v>2.11</v>
      </c>
      <c r="M48" s="698"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69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53"/>
      <c r="P48" s="153" t="s">
        <v>2242</v>
      </c>
      <c r="Q48" s="153" t="s">
        <v>2260</v>
      </c>
      <c r="R48" s="153" t="s">
        <v>2242</v>
      </c>
      <c r="S48" s="153"/>
      <c r="T48" s="147"/>
      <c r="U48" s="147" t="s">
        <v>2261</v>
      </c>
      <c r="V48" s="147" t="s">
        <v>2262</v>
      </c>
      <c r="W48" s="147" t="s">
        <v>2262</v>
      </c>
      <c r="X48" s="147"/>
      <c r="Y48" s="148"/>
      <c r="Z48" s="138"/>
      <c r="AA48" s="695" t="s">
        <v>2256</v>
      </c>
      <c r="AB48" s="695" t="s">
        <v>2256</v>
      </c>
      <c r="AC48" s="695" t="s">
        <v>2256</v>
      </c>
      <c r="AD48" s="138"/>
    </row>
    <row r="49" spans="1:30" ht="54" customHeight="1">
      <c r="A49" s="697"/>
      <c r="B49" s="699">
        <v>32</v>
      </c>
      <c r="C49" s="147" t="s">
        <v>2263</v>
      </c>
      <c r="D49" s="152"/>
      <c r="E49" s="147"/>
      <c r="F49" s="147"/>
      <c r="G49" s="147"/>
      <c r="H49" s="154"/>
      <c r="I49" s="704" t="str">
        <f t="shared" si="1"/>
        <v>2.11.1</v>
      </c>
      <c r="J49" s="70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704">
        <f t="shared" si="3"/>
        <v>0</v>
      </c>
      <c r="L49" s="698" t="str">
        <f t="shared" si="4"/>
        <v>2.11.1</v>
      </c>
      <c r="M49" s="69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698" t="str">
        <f t="shared" si="6"/>
        <v/>
      </c>
      <c r="O49" s="153"/>
      <c r="P49" s="153" t="s">
        <v>2246</v>
      </c>
      <c r="Q49" s="153" t="s">
        <v>2264</v>
      </c>
      <c r="R49" s="153" t="s">
        <v>2246</v>
      </c>
      <c r="S49" s="153"/>
      <c r="T49" s="147"/>
      <c r="U49" s="147" t="s">
        <v>2259</v>
      </c>
      <c r="V49" s="147" t="s">
        <v>2259</v>
      </c>
      <c r="W49" s="147" t="s">
        <v>2259</v>
      </c>
      <c r="X49" s="147"/>
      <c r="Y49" s="148"/>
      <c r="Z49" s="138"/>
      <c r="AA49" s="695"/>
      <c r="AB49" s="695"/>
      <c r="AC49" s="695"/>
      <c r="AD49" s="138"/>
    </row>
    <row r="50" spans="1:30" ht="126" customHeight="1">
      <c r="A50" s="697"/>
      <c r="B50" s="699">
        <v>33</v>
      </c>
      <c r="C50" s="147">
        <v>17</v>
      </c>
      <c r="D50" s="152"/>
      <c r="E50" s="147"/>
      <c r="F50" s="147"/>
      <c r="G50" s="147"/>
      <c r="H50" s="154"/>
      <c r="I50" s="704" t="str">
        <f t="shared" ref="I50:I81" si="7">INDEX(TEMPLATE_NUMBER_POINT_FHD,B50,MATCH(TEMPLATE_SPHERE,TEMPLATE_SPHERE_LIST_FOR_NOTE,0))</f>
        <v>2.12</v>
      </c>
      <c r="J50" s="704"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70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698" t="str">
        <f t="shared" ref="L50:L81" si="10">IF(I50=0,"",I50)</f>
        <v>2.12</v>
      </c>
      <c r="M50" s="698"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69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53" t="s">
        <v>2260</v>
      </c>
      <c r="P50" s="153" t="s">
        <v>2253</v>
      </c>
      <c r="Q50" s="153" t="s">
        <v>2265</v>
      </c>
      <c r="R50" s="153" t="s">
        <v>2253</v>
      </c>
      <c r="S50" s="153"/>
      <c r="T50" s="147" t="s">
        <v>2266</v>
      </c>
      <c r="U50" s="147" t="s">
        <v>2267</v>
      </c>
      <c r="V50" s="147" t="s">
        <v>2268</v>
      </c>
      <c r="W50" s="147" t="s">
        <v>2269</v>
      </c>
      <c r="X50" s="147"/>
      <c r="Y50" s="148"/>
      <c r="Z50" s="138" t="s">
        <v>2270</v>
      </c>
      <c r="AA50" s="695" t="s">
        <v>2271</v>
      </c>
      <c r="AB50" s="695" t="s">
        <v>2271</v>
      </c>
      <c r="AC50" s="695" t="s">
        <v>2271</v>
      </c>
      <c r="AD50" s="138"/>
    </row>
    <row r="51" spans="1:30" ht="27" customHeight="1">
      <c r="A51" s="697"/>
      <c r="B51" s="699">
        <v>34</v>
      </c>
      <c r="C51" s="147" t="s">
        <v>2272</v>
      </c>
      <c r="D51" s="152"/>
      <c r="E51" s="147"/>
      <c r="F51" s="147"/>
      <c r="G51" s="147"/>
      <c r="H51" s="154"/>
      <c r="I51" s="704">
        <f t="shared" si="7"/>
        <v>0</v>
      </c>
      <c r="J51" s="704">
        <f t="shared" si="8"/>
        <v>0</v>
      </c>
      <c r="K51" s="704">
        <f t="shared" si="9"/>
        <v>0</v>
      </c>
      <c r="L51" s="698" t="str">
        <f t="shared" si="10"/>
        <v/>
      </c>
      <c r="M51" s="698" t="str">
        <f t="shared" si="11"/>
        <v/>
      </c>
      <c r="N51" s="698" t="str">
        <f t="shared" si="12"/>
        <v/>
      </c>
      <c r="O51" s="153" t="s">
        <v>89</v>
      </c>
      <c r="P51" s="153"/>
      <c r="Q51" s="153"/>
      <c r="R51" s="153"/>
      <c r="S51" s="153"/>
      <c r="T51" s="147" t="s">
        <v>2273</v>
      </c>
      <c r="U51" s="147"/>
      <c r="V51" s="147"/>
      <c r="W51" s="147"/>
      <c r="X51" s="147"/>
      <c r="Y51" s="148"/>
      <c r="Z51" s="138"/>
      <c r="AA51" s="695"/>
      <c r="AB51" s="695"/>
      <c r="AC51" s="695"/>
      <c r="AD51" s="138"/>
    </row>
    <row r="52" spans="1:30" ht="36" customHeight="1">
      <c r="A52" s="697"/>
      <c r="B52" s="699">
        <v>35</v>
      </c>
      <c r="C52" s="147" t="s">
        <v>2166</v>
      </c>
      <c r="D52" s="152" t="s">
        <v>2166</v>
      </c>
      <c r="E52" s="147" t="s">
        <v>2166</v>
      </c>
      <c r="F52" s="147" t="s">
        <v>2166</v>
      </c>
      <c r="G52" s="147"/>
      <c r="H52" s="154"/>
      <c r="I52" s="704" t="str">
        <f t="shared" si="7"/>
        <v>3</v>
      </c>
      <c r="J52" s="704" t="str">
        <f t="shared" si="8"/>
        <v>Чистая прибыль, полученная от регулируемого вида деятельности в сфере водоотведения, в том числе:</v>
      </c>
      <c r="K52" s="704" t="str">
        <f t="shared" si="9"/>
        <v>Указывается общая сумма чистой прибыли, полученной от регулируемого вида деятельности.</v>
      </c>
      <c r="L52" s="698" t="str">
        <f t="shared" si="10"/>
        <v>3</v>
      </c>
      <c r="M52" s="698" t="str">
        <f t="shared" si="11"/>
        <v>Чистая прибыль, полученная от регулируемого вида деятельности в сфере водоотведения, в том числе:</v>
      </c>
      <c r="N52" s="698" t="str">
        <f t="shared" si="12"/>
        <v>Указывается общая сумма чистой прибыли, полученной от регулируемого вида деятельности.</v>
      </c>
      <c r="O52" s="153" t="s">
        <v>90</v>
      </c>
      <c r="P52" s="153" t="s">
        <v>89</v>
      </c>
      <c r="Q52" s="153" t="s">
        <v>89</v>
      </c>
      <c r="R52" s="153" t="s">
        <v>89</v>
      </c>
      <c r="S52" s="153"/>
      <c r="T52" s="147" t="s">
        <v>2274</v>
      </c>
      <c r="U52" s="147" t="s">
        <v>2275</v>
      </c>
      <c r="V52" s="147" t="s">
        <v>2276</v>
      </c>
      <c r="W52" s="147" t="s">
        <v>2277</v>
      </c>
      <c r="X52" s="147"/>
      <c r="Y52" s="148"/>
      <c r="Z52" s="138" t="s">
        <v>766</v>
      </c>
      <c r="AA52" s="695" t="s">
        <v>766</v>
      </c>
      <c r="AB52" s="695" t="s">
        <v>766</v>
      </c>
      <c r="AC52" s="695" t="s">
        <v>766</v>
      </c>
      <c r="AD52" s="138"/>
    </row>
    <row r="53" spans="1:30" ht="36" customHeight="1">
      <c r="A53" s="697"/>
      <c r="B53" s="699">
        <v>36</v>
      </c>
      <c r="C53" s="147">
        <v>1</v>
      </c>
      <c r="D53" s="152"/>
      <c r="E53" s="147"/>
      <c r="F53" s="147"/>
      <c r="G53" s="147"/>
      <c r="H53" s="154"/>
      <c r="I53" s="704" t="str">
        <f t="shared" si="7"/>
        <v>3.1</v>
      </c>
      <c r="J53" s="70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704">
        <f t="shared" si="9"/>
        <v>0</v>
      </c>
      <c r="L53" s="698" t="str">
        <f t="shared" si="10"/>
        <v>3.1</v>
      </c>
      <c r="M53" s="69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698" t="str">
        <f t="shared" si="12"/>
        <v/>
      </c>
      <c r="O53" s="153" t="s">
        <v>770</v>
      </c>
      <c r="P53" s="153" t="s">
        <v>332</v>
      </c>
      <c r="Q53" s="153" t="s">
        <v>332</v>
      </c>
      <c r="R53" s="153" t="s">
        <v>332</v>
      </c>
      <c r="S53" s="153"/>
      <c r="T53" s="147" t="s">
        <v>2278</v>
      </c>
      <c r="U53" s="147" t="s">
        <v>2278</v>
      </c>
      <c r="V53" s="147" t="s">
        <v>2278</v>
      </c>
      <c r="W53" s="147" t="s">
        <v>2278</v>
      </c>
      <c r="X53" s="147"/>
      <c r="Y53" s="148"/>
      <c r="Z53" s="138"/>
      <c r="AA53" s="695"/>
      <c r="AB53" s="138"/>
      <c r="AC53" s="138"/>
      <c r="AD53" s="138"/>
    </row>
    <row r="54" spans="1:30" ht="18" customHeight="1">
      <c r="A54" s="697"/>
      <c r="B54" s="699">
        <v>37</v>
      </c>
      <c r="C54" s="147" t="s">
        <v>2172</v>
      </c>
      <c r="D54" s="152" t="s">
        <v>2172</v>
      </c>
      <c r="E54" s="147" t="s">
        <v>2172</v>
      </c>
      <c r="F54" s="147" t="s">
        <v>2172</v>
      </c>
      <c r="G54" s="147"/>
      <c r="H54" s="154"/>
      <c r="I54" s="704" t="str">
        <f t="shared" si="7"/>
        <v>4</v>
      </c>
      <c r="J54" s="704" t="str">
        <f t="shared" si="8"/>
        <v>Изменение стоимости основных фондов, в том числе:</v>
      </c>
      <c r="K54" s="704" t="str">
        <f t="shared" si="9"/>
        <v>Указывается общее изменение стоимости основных фондов.</v>
      </c>
      <c r="L54" s="698" t="str">
        <f t="shared" si="10"/>
        <v>4</v>
      </c>
      <c r="M54" s="698" t="str">
        <f t="shared" si="11"/>
        <v>Изменение стоимости основных фондов, в том числе:</v>
      </c>
      <c r="N54" s="698" t="str">
        <f t="shared" si="12"/>
        <v>Указывается общее изменение стоимости основных фондов.</v>
      </c>
      <c r="O54" s="153" t="s">
        <v>115</v>
      </c>
      <c r="P54" s="153" t="s">
        <v>90</v>
      </c>
      <c r="Q54" s="153" t="s">
        <v>90</v>
      </c>
      <c r="R54" s="153" t="s">
        <v>90</v>
      </c>
      <c r="S54" s="153"/>
      <c r="T54" s="147" t="s">
        <v>768</v>
      </c>
      <c r="U54" s="147" t="s">
        <v>768</v>
      </c>
      <c r="V54" s="147" t="s">
        <v>768</v>
      </c>
      <c r="W54" s="147" t="s">
        <v>768</v>
      </c>
      <c r="X54" s="147"/>
      <c r="Y54" s="148"/>
      <c r="Z54" s="138" t="s">
        <v>769</v>
      </c>
      <c r="AA54" s="138" t="s">
        <v>769</v>
      </c>
      <c r="AB54" s="138" t="s">
        <v>769</v>
      </c>
      <c r="AC54" s="138" t="s">
        <v>769</v>
      </c>
      <c r="AD54" s="138"/>
    </row>
    <row r="55" spans="1:30" ht="36" customHeight="1">
      <c r="A55" s="697"/>
      <c r="B55" s="699">
        <v>38</v>
      </c>
      <c r="C55" s="147">
        <v>1</v>
      </c>
      <c r="D55" s="152"/>
      <c r="E55" s="147"/>
      <c r="F55" s="147"/>
      <c r="G55" s="147"/>
      <c r="H55" s="154"/>
      <c r="I55" s="704" t="str">
        <f t="shared" si="7"/>
        <v>4.1</v>
      </c>
      <c r="J55" s="704" t="str">
        <f t="shared" si="8"/>
        <v>Изменение стоимости основных фондов за счет их ввода в эксплуатацию (вывода из эксплуатации)</v>
      </c>
      <c r="K55" s="704" t="str">
        <f t="shared" si="9"/>
        <v>Указываются общее изменение стоимости основных фондов за счет их ввода в эксплуатацию и вывода из эксплуатации.</v>
      </c>
      <c r="L55" s="698" t="str">
        <f t="shared" si="10"/>
        <v>4.1</v>
      </c>
      <c r="M55" s="698" t="str">
        <f t="shared" si="11"/>
        <v>Изменение стоимости основных фондов за счет их ввода в эксплуатацию (вывода из эксплуатации)</v>
      </c>
      <c r="N55" s="698" t="str">
        <f t="shared" si="12"/>
        <v>Указываются общее изменение стоимости основных фондов за счет их ввода в эксплуатацию и вывода из эксплуатации.</v>
      </c>
      <c r="O55" s="153" t="s">
        <v>321</v>
      </c>
      <c r="P55" s="153" t="s">
        <v>770</v>
      </c>
      <c r="Q55" s="153" t="s">
        <v>770</v>
      </c>
      <c r="R55" s="153" t="s">
        <v>770</v>
      </c>
      <c r="S55" s="153"/>
      <c r="T55" s="698"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47" t="s">
        <v>2279</v>
      </c>
      <c r="V55" s="147" t="s">
        <v>2279</v>
      </c>
      <c r="W55" s="147" t="s">
        <v>2279</v>
      </c>
      <c r="X55" s="147"/>
      <c r="Y55" s="148"/>
      <c r="Z55" s="138" t="s">
        <v>2280</v>
      </c>
      <c r="AA55" s="138" t="s">
        <v>2280</v>
      </c>
      <c r="AB55" s="138" t="s">
        <v>2280</v>
      </c>
      <c r="AC55" s="138" t="s">
        <v>2280</v>
      </c>
      <c r="AD55" s="138"/>
    </row>
    <row r="56" spans="1:30" ht="27" customHeight="1">
      <c r="A56" s="697"/>
      <c r="B56" s="699">
        <v>39</v>
      </c>
      <c r="C56" s="147" t="s">
        <v>1212</v>
      </c>
      <c r="D56" s="152"/>
      <c r="E56" s="147"/>
      <c r="F56" s="147"/>
      <c r="G56" s="147"/>
      <c r="H56" s="154"/>
      <c r="I56" s="704" t="str">
        <f t="shared" si="7"/>
        <v>4.1.1</v>
      </c>
      <c r="J56" s="704" t="str">
        <f t="shared" si="8"/>
        <v>Изменение стоимости основных фондов за счет их ввода в эксплуатацию</v>
      </c>
      <c r="K56" s="704" t="str">
        <f t="shared" si="9"/>
        <v>Указываются изменение стоимости основных фондов за счет их ввода в эксплуатацию.</v>
      </c>
      <c r="L56" s="698" t="str">
        <f t="shared" si="10"/>
        <v>4.1.1</v>
      </c>
      <c r="M56" s="698" t="str">
        <f t="shared" si="11"/>
        <v>Изменение стоимости основных фондов за счет их ввода в эксплуатацию</v>
      </c>
      <c r="N56" s="698" t="str">
        <f t="shared" si="12"/>
        <v>Указываются изменение стоимости основных фондов за счет их ввода в эксплуатацию.</v>
      </c>
      <c r="O56" s="153" t="s">
        <v>1332</v>
      </c>
      <c r="P56" s="153" t="s">
        <v>773</v>
      </c>
      <c r="Q56" s="153" t="s">
        <v>773</v>
      </c>
      <c r="R56" s="153" t="s">
        <v>773</v>
      </c>
      <c r="S56" s="153"/>
      <c r="T56" s="698"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47" t="s">
        <v>2281</v>
      </c>
      <c r="V56" s="147" t="s">
        <v>2281</v>
      </c>
      <c r="W56" s="147" t="s">
        <v>2281</v>
      </c>
      <c r="X56" s="147"/>
      <c r="Y56" s="148"/>
      <c r="Z56" s="138" t="s">
        <v>775</v>
      </c>
      <c r="AA56" s="138" t="s">
        <v>775</v>
      </c>
      <c r="AB56" s="138" t="s">
        <v>775</v>
      </c>
      <c r="AC56" s="138" t="s">
        <v>775</v>
      </c>
      <c r="AD56" s="138"/>
    </row>
    <row r="57" spans="1:30" ht="27" customHeight="1">
      <c r="A57" s="697"/>
      <c r="B57" s="699">
        <v>40</v>
      </c>
      <c r="C57" s="147" t="s">
        <v>1214</v>
      </c>
      <c r="D57" s="152"/>
      <c r="E57" s="147"/>
      <c r="F57" s="147"/>
      <c r="G57" s="147"/>
      <c r="H57" s="154"/>
      <c r="I57" s="704" t="str">
        <f t="shared" si="7"/>
        <v>4.1.2</v>
      </c>
      <c r="J57" s="704" t="str">
        <f t="shared" si="8"/>
        <v>Изменение стоимости основных фондов за счет их вывода в эксплуатацию</v>
      </c>
      <c r="K57" s="704" t="str">
        <f t="shared" si="9"/>
        <v>Указываются изменение стоимости основных фондов за счет их вывода из эксплуатации.</v>
      </c>
      <c r="L57" s="698" t="str">
        <f t="shared" si="10"/>
        <v>4.1.2</v>
      </c>
      <c r="M57" s="698" t="str">
        <f t="shared" si="11"/>
        <v>Изменение стоимости основных фондов за счет их вывода в эксплуатацию</v>
      </c>
      <c r="N57" s="698" t="str">
        <f t="shared" si="12"/>
        <v>Указываются изменение стоимости основных фондов за счет их вывода из эксплуатации.</v>
      </c>
      <c r="O57" s="153" t="s">
        <v>2282</v>
      </c>
      <c r="P57" s="153" t="s">
        <v>776</v>
      </c>
      <c r="Q57" s="153" t="s">
        <v>776</v>
      </c>
      <c r="R57" s="153" t="s">
        <v>776</v>
      </c>
      <c r="S57" s="153"/>
      <c r="T57" s="698"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47" t="s">
        <v>2283</v>
      </c>
      <c r="V57" s="147" t="s">
        <v>2283</v>
      </c>
      <c r="W57" s="147" t="s">
        <v>2283</v>
      </c>
      <c r="X57" s="147"/>
      <c r="Y57" s="148"/>
      <c r="Z57" s="138" t="s">
        <v>778</v>
      </c>
      <c r="AA57" s="138" t="s">
        <v>778</v>
      </c>
      <c r="AB57" s="138" t="s">
        <v>778</v>
      </c>
      <c r="AC57" s="138" t="s">
        <v>778</v>
      </c>
      <c r="AD57" s="138"/>
    </row>
    <row r="58" spans="1:30" ht="18" customHeight="1">
      <c r="A58" s="697"/>
      <c r="B58" s="699">
        <v>41</v>
      </c>
      <c r="C58" s="147">
        <v>2</v>
      </c>
      <c r="D58" s="152"/>
      <c r="E58" s="147"/>
      <c r="F58" s="147"/>
      <c r="G58" s="147"/>
      <c r="H58" s="154"/>
      <c r="I58" s="704" t="str">
        <f t="shared" si="7"/>
        <v>4.2</v>
      </c>
      <c r="J58" s="704" t="str">
        <f t="shared" si="8"/>
        <v>Изменение стоимости основных фондов за счет их переоценки</v>
      </c>
      <c r="K58" s="704">
        <f t="shared" si="9"/>
        <v>0</v>
      </c>
      <c r="L58" s="698" t="str">
        <f t="shared" si="10"/>
        <v>4.2</v>
      </c>
      <c r="M58" s="698" t="str">
        <f t="shared" si="11"/>
        <v>Изменение стоимости основных фондов за счет их переоценки</v>
      </c>
      <c r="N58" s="698" t="str">
        <f t="shared" si="12"/>
        <v/>
      </c>
      <c r="O58" s="153" t="s">
        <v>898</v>
      </c>
      <c r="P58" s="153" t="s">
        <v>812</v>
      </c>
      <c r="Q58" s="153" t="s">
        <v>812</v>
      </c>
      <c r="R58" s="153" t="s">
        <v>812</v>
      </c>
      <c r="S58" s="153"/>
      <c r="T58" s="698" t="str">
        <f>IF(TITLE_TYPE_ORG="Регулируемая организация","Изменение стоимости основных фондов за счет их переоценки","за счет их переоценки")</f>
        <v>за счет их переоценки</v>
      </c>
      <c r="U58" s="147" t="s">
        <v>2284</v>
      </c>
      <c r="V58" s="147" t="s">
        <v>2284</v>
      </c>
      <c r="W58" s="147" t="s">
        <v>2284</v>
      </c>
      <c r="X58" s="147"/>
      <c r="Y58" s="148"/>
      <c r="Z58" s="138"/>
      <c r="AA58" s="695"/>
      <c r="AB58" s="138"/>
      <c r="AC58" s="138"/>
      <c r="AD58" s="138"/>
    </row>
    <row r="59" spans="1:30" ht="36" customHeight="1">
      <c r="A59" s="697"/>
      <c r="B59" s="699">
        <v>42</v>
      </c>
      <c r="C59" s="147">
        <v>3</v>
      </c>
      <c r="D59" s="152" t="s">
        <v>2272</v>
      </c>
      <c r="E59" s="147" t="s">
        <v>2272</v>
      </c>
      <c r="F59" s="147" t="s">
        <v>2272</v>
      </c>
      <c r="G59" s="147"/>
      <c r="H59" s="154"/>
      <c r="I59" s="704" t="str">
        <f t="shared" si="7"/>
        <v>5</v>
      </c>
      <c r="J59" s="704" t="str">
        <f t="shared" si="8"/>
        <v>Валовая прибыль (убытки) от продажи товаров и услуг по регулируемым видам деятельности в сфере водоотведения</v>
      </c>
      <c r="K59" s="704">
        <f t="shared" si="9"/>
        <v>0</v>
      </c>
      <c r="L59" s="698" t="str">
        <f t="shared" si="10"/>
        <v>5</v>
      </c>
      <c r="M59" s="698" t="str">
        <f t="shared" si="11"/>
        <v>Валовая прибыль (убытки) от продажи товаров и услуг по регулируемым видам деятельности в сфере водоотведения</v>
      </c>
      <c r="N59" s="698" t="str">
        <f t="shared" si="12"/>
        <v/>
      </c>
      <c r="O59" s="153"/>
      <c r="P59" s="153" t="s">
        <v>115</v>
      </c>
      <c r="Q59" s="153" t="s">
        <v>115</v>
      </c>
      <c r="R59" s="153" t="s">
        <v>115</v>
      </c>
      <c r="S59" s="153"/>
      <c r="T59" s="147"/>
      <c r="U59" s="147" t="s">
        <v>2285</v>
      </c>
      <c r="V59" s="147" t="s">
        <v>2286</v>
      </c>
      <c r="W59" s="147" t="s">
        <v>2287</v>
      </c>
      <c r="X59" s="147"/>
      <c r="Y59" s="148"/>
      <c r="Z59" s="138"/>
      <c r="AA59" s="695"/>
      <c r="AB59" s="138"/>
      <c r="AC59" s="138"/>
      <c r="AD59" s="138"/>
    </row>
    <row r="60" spans="1:30" ht="81" customHeight="1">
      <c r="A60" s="697"/>
      <c r="B60" s="699">
        <v>43</v>
      </c>
      <c r="C60" s="147" t="s">
        <v>2288</v>
      </c>
      <c r="D60" s="152" t="s">
        <v>2288</v>
      </c>
      <c r="E60" s="147" t="s">
        <v>2288</v>
      </c>
      <c r="F60" s="147" t="s">
        <v>2288</v>
      </c>
      <c r="G60" s="147"/>
      <c r="H60" s="154"/>
      <c r="I60" s="704" t="str">
        <f t="shared" si="7"/>
        <v>6</v>
      </c>
      <c r="J60" s="704" t="str">
        <f t="shared" si="8"/>
        <v>Годовая бухгалтерская (финансовая) отчетность, включая бухгалтерский баланс и приложения к нему</v>
      </c>
      <c r="K60" s="70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698" t="str">
        <f t="shared" si="10"/>
        <v>6</v>
      </c>
      <c r="M60" s="698" t="str">
        <f t="shared" si="11"/>
        <v>Годовая бухгалтерская (финансовая) отчетность, включая бухгалтерский баланс и приложения к нему</v>
      </c>
      <c r="N60" s="69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53" t="s">
        <v>91</v>
      </c>
      <c r="P60" s="153" t="s">
        <v>91</v>
      </c>
      <c r="Q60" s="153" t="s">
        <v>91</v>
      </c>
      <c r="R60" s="153" t="s">
        <v>91</v>
      </c>
      <c r="S60" s="153"/>
      <c r="T60" s="147" t="s">
        <v>646</v>
      </c>
      <c r="U60" s="147" t="s">
        <v>646</v>
      </c>
      <c r="V60" s="147" t="s">
        <v>646</v>
      </c>
      <c r="W60" s="147" t="s">
        <v>646</v>
      </c>
      <c r="X60" s="147"/>
      <c r="Y60" s="148"/>
      <c r="Z60" s="138" t="s">
        <v>2289</v>
      </c>
      <c r="AA60" s="695" t="s">
        <v>2290</v>
      </c>
      <c r="AB60" s="138" t="s">
        <v>2291</v>
      </c>
      <c r="AC60" s="138" t="s">
        <v>2290</v>
      </c>
      <c r="AD60" s="138"/>
    </row>
    <row r="61" spans="1:30" ht="9" customHeight="1">
      <c r="A61" s="697"/>
      <c r="B61" s="699">
        <v>44</v>
      </c>
      <c r="C61" s="147"/>
      <c r="D61" s="152" t="s">
        <v>2292</v>
      </c>
      <c r="E61" s="147"/>
      <c r="F61" s="147"/>
      <c r="G61" s="147"/>
      <c r="H61" s="154"/>
      <c r="I61" s="704">
        <f t="shared" si="7"/>
        <v>0</v>
      </c>
      <c r="J61" s="704">
        <f t="shared" si="8"/>
        <v>0</v>
      </c>
      <c r="K61" s="704">
        <f t="shared" si="9"/>
        <v>0</v>
      </c>
      <c r="L61" s="698" t="str">
        <f t="shared" si="10"/>
        <v/>
      </c>
      <c r="M61" s="698" t="str">
        <f t="shared" si="11"/>
        <v/>
      </c>
      <c r="N61" s="698" t="str">
        <f t="shared" si="12"/>
        <v/>
      </c>
      <c r="O61" s="153"/>
      <c r="P61" s="153" t="s">
        <v>92</v>
      </c>
      <c r="Q61" s="153"/>
      <c r="R61" s="153"/>
      <c r="S61" s="153"/>
      <c r="T61" s="147"/>
      <c r="U61" s="147" t="s">
        <v>2293</v>
      </c>
      <c r="V61" s="147"/>
      <c r="W61" s="147"/>
      <c r="X61" s="147"/>
      <c r="Y61" s="148"/>
      <c r="Z61" s="138"/>
      <c r="AA61" s="695"/>
      <c r="AB61" s="138"/>
      <c r="AC61" s="138"/>
      <c r="AD61" s="138"/>
    </row>
    <row r="62" spans="1:30" ht="9" customHeight="1">
      <c r="A62" s="697"/>
      <c r="B62" s="699">
        <v>45</v>
      </c>
      <c r="C62" s="147"/>
      <c r="D62" s="152" t="s">
        <v>2294</v>
      </c>
      <c r="E62" s="147"/>
      <c r="F62" s="147"/>
      <c r="G62" s="147"/>
      <c r="H62" s="154"/>
      <c r="I62" s="704">
        <f t="shared" si="7"/>
        <v>0</v>
      </c>
      <c r="J62" s="704">
        <f t="shared" si="8"/>
        <v>0</v>
      </c>
      <c r="K62" s="704">
        <f t="shared" si="9"/>
        <v>0</v>
      </c>
      <c r="L62" s="698" t="str">
        <f t="shared" si="10"/>
        <v/>
      </c>
      <c r="M62" s="698" t="str">
        <f t="shared" si="11"/>
        <v/>
      </c>
      <c r="N62" s="698" t="str">
        <f t="shared" si="12"/>
        <v/>
      </c>
      <c r="O62" s="153"/>
      <c r="P62" s="153" t="s">
        <v>116</v>
      </c>
      <c r="Q62" s="153"/>
      <c r="R62" s="153"/>
      <c r="S62" s="153"/>
      <c r="T62" s="147"/>
      <c r="U62" s="147" t="s">
        <v>2295</v>
      </c>
      <c r="V62" s="147"/>
      <c r="W62" s="147"/>
      <c r="X62" s="147"/>
      <c r="Y62" s="148"/>
      <c r="Z62" s="138"/>
      <c r="AA62" s="695"/>
      <c r="AB62" s="138"/>
      <c r="AC62" s="138"/>
      <c r="AD62" s="138"/>
    </row>
    <row r="63" spans="1:30" ht="18" customHeight="1">
      <c r="A63" s="697"/>
      <c r="B63" s="699">
        <v>46</v>
      </c>
      <c r="C63" s="147"/>
      <c r="D63" s="152" t="s">
        <v>2296</v>
      </c>
      <c r="E63" s="147"/>
      <c r="F63" s="147"/>
      <c r="G63" s="147"/>
      <c r="H63" s="154"/>
      <c r="I63" s="704">
        <f t="shared" si="7"/>
        <v>0</v>
      </c>
      <c r="J63" s="704">
        <f t="shared" si="8"/>
        <v>0</v>
      </c>
      <c r="K63" s="704">
        <f t="shared" si="9"/>
        <v>0</v>
      </c>
      <c r="L63" s="698" t="str">
        <f t="shared" si="10"/>
        <v/>
      </c>
      <c r="M63" s="698" t="str">
        <f t="shared" si="11"/>
        <v/>
      </c>
      <c r="N63" s="698" t="str">
        <f t="shared" si="12"/>
        <v/>
      </c>
      <c r="O63" s="153"/>
      <c r="P63" s="153" t="s">
        <v>158</v>
      </c>
      <c r="Q63" s="153"/>
      <c r="R63" s="153"/>
      <c r="S63" s="153"/>
      <c r="T63" s="147"/>
      <c r="U63" s="147" t="s">
        <v>2297</v>
      </c>
      <c r="V63" s="147"/>
      <c r="W63" s="147"/>
      <c r="X63" s="147"/>
      <c r="Y63" s="148"/>
      <c r="Z63" s="138"/>
      <c r="AA63" s="695"/>
      <c r="AB63" s="138"/>
      <c r="AC63" s="138"/>
      <c r="AD63" s="138"/>
    </row>
    <row r="64" spans="1:30" ht="18" customHeight="1">
      <c r="A64" s="697"/>
      <c r="B64" s="699">
        <v>47</v>
      </c>
      <c r="C64" s="147"/>
      <c r="D64" s="152" t="s">
        <v>2298</v>
      </c>
      <c r="E64" s="147"/>
      <c r="F64" s="147"/>
      <c r="G64" s="147"/>
      <c r="H64" s="154"/>
      <c r="I64" s="704">
        <f t="shared" si="7"/>
        <v>0</v>
      </c>
      <c r="J64" s="704">
        <f t="shared" si="8"/>
        <v>0</v>
      </c>
      <c r="K64" s="704">
        <f t="shared" si="9"/>
        <v>0</v>
      </c>
      <c r="L64" s="698" t="str">
        <f t="shared" si="10"/>
        <v/>
      </c>
      <c r="M64" s="698" t="str">
        <f t="shared" si="11"/>
        <v/>
      </c>
      <c r="N64" s="698" t="str">
        <f t="shared" si="12"/>
        <v/>
      </c>
      <c r="O64" s="153"/>
      <c r="P64" s="153" t="s">
        <v>159</v>
      </c>
      <c r="Q64" s="153"/>
      <c r="R64" s="153"/>
      <c r="S64" s="153"/>
      <c r="T64" s="147"/>
      <c r="U64" s="147" t="s">
        <v>2299</v>
      </c>
      <c r="V64" s="147"/>
      <c r="W64" s="147"/>
      <c r="X64" s="147"/>
      <c r="Y64" s="148"/>
      <c r="Z64" s="138"/>
      <c r="AA64" s="695" t="s">
        <v>2300</v>
      </c>
      <c r="AB64" s="138"/>
      <c r="AC64" s="138"/>
      <c r="AD64" s="138"/>
    </row>
    <row r="65" spans="1:30" ht="18" customHeight="1">
      <c r="A65" s="697"/>
      <c r="B65" s="699">
        <v>48</v>
      </c>
      <c r="C65" s="147"/>
      <c r="D65" s="152"/>
      <c r="E65" s="147"/>
      <c r="F65" s="147"/>
      <c r="G65" s="147"/>
      <c r="H65" s="154"/>
      <c r="I65" s="704">
        <f t="shared" si="7"/>
        <v>0</v>
      </c>
      <c r="J65" s="704">
        <f t="shared" si="8"/>
        <v>0</v>
      </c>
      <c r="K65" s="704">
        <f t="shared" si="9"/>
        <v>0</v>
      </c>
      <c r="L65" s="698" t="str">
        <f t="shared" si="10"/>
        <v/>
      </c>
      <c r="M65" s="698" t="str">
        <f t="shared" si="11"/>
        <v/>
      </c>
      <c r="N65" s="698" t="str">
        <f t="shared" si="12"/>
        <v/>
      </c>
      <c r="O65" s="153"/>
      <c r="P65" s="153" t="s">
        <v>2213</v>
      </c>
      <c r="Q65" s="153"/>
      <c r="R65" s="153"/>
      <c r="S65" s="153"/>
      <c r="T65" s="147"/>
      <c r="U65" s="147" t="s">
        <v>2301</v>
      </c>
      <c r="V65" s="147"/>
      <c r="W65" s="147"/>
      <c r="X65" s="147"/>
      <c r="Y65" s="148"/>
      <c r="Z65" s="138"/>
      <c r="AA65" s="695"/>
      <c r="AB65" s="138"/>
      <c r="AC65" s="138"/>
      <c r="AD65" s="138"/>
    </row>
    <row r="66" spans="1:30" ht="18" customHeight="1">
      <c r="A66" s="697"/>
      <c r="B66" s="699">
        <v>49</v>
      </c>
      <c r="C66" s="147"/>
      <c r="D66" s="152"/>
      <c r="E66" s="147"/>
      <c r="F66" s="147"/>
      <c r="G66" s="147"/>
      <c r="H66" s="154"/>
      <c r="I66" s="704">
        <f t="shared" si="7"/>
        <v>0</v>
      </c>
      <c r="J66" s="704">
        <f t="shared" si="8"/>
        <v>0</v>
      </c>
      <c r="K66" s="704">
        <f t="shared" si="9"/>
        <v>0</v>
      </c>
      <c r="L66" s="698" t="str">
        <f t="shared" si="10"/>
        <v/>
      </c>
      <c r="M66" s="698" t="str">
        <f t="shared" si="11"/>
        <v/>
      </c>
      <c r="N66" s="698" t="str">
        <f t="shared" si="12"/>
        <v/>
      </c>
      <c r="O66" s="153"/>
      <c r="P66" s="153" t="s">
        <v>2217</v>
      </c>
      <c r="Q66" s="153"/>
      <c r="R66" s="153"/>
      <c r="S66" s="153"/>
      <c r="T66" s="147"/>
      <c r="U66" s="147" t="s">
        <v>2302</v>
      </c>
      <c r="V66" s="147"/>
      <c r="W66" s="147"/>
      <c r="X66" s="147"/>
      <c r="Y66" s="148"/>
      <c r="Z66" s="138"/>
      <c r="AA66" s="695"/>
      <c r="AB66" s="138"/>
      <c r="AC66" s="138"/>
      <c r="AD66" s="138"/>
    </row>
    <row r="67" spans="1:30" ht="27" customHeight="1">
      <c r="A67" s="697"/>
      <c r="B67" s="699">
        <v>50</v>
      </c>
      <c r="C67" s="147"/>
      <c r="D67" s="152"/>
      <c r="E67" s="147"/>
      <c r="F67" s="147"/>
      <c r="G67" s="147"/>
      <c r="H67" s="154"/>
      <c r="I67" s="704">
        <f t="shared" si="7"/>
        <v>0</v>
      </c>
      <c r="J67" s="704">
        <f t="shared" si="8"/>
        <v>0</v>
      </c>
      <c r="K67" s="704">
        <f t="shared" si="9"/>
        <v>0</v>
      </c>
      <c r="L67" s="698" t="str">
        <f t="shared" si="10"/>
        <v/>
      </c>
      <c r="M67" s="698" t="str">
        <f t="shared" si="11"/>
        <v/>
      </c>
      <c r="N67" s="698" t="str">
        <f t="shared" si="12"/>
        <v/>
      </c>
      <c r="O67" s="153"/>
      <c r="P67" s="153" t="s">
        <v>2303</v>
      </c>
      <c r="Q67" s="153"/>
      <c r="R67" s="153"/>
      <c r="S67" s="153"/>
      <c r="T67" s="147"/>
      <c r="U67" s="147" t="s">
        <v>2304</v>
      </c>
      <c r="V67" s="147"/>
      <c r="W67" s="147"/>
      <c r="X67" s="147"/>
      <c r="Y67" s="148"/>
      <c r="Z67" s="138"/>
      <c r="AA67" s="695"/>
      <c r="AB67" s="138"/>
      <c r="AC67" s="138"/>
      <c r="AD67" s="138"/>
    </row>
    <row r="68" spans="1:30" ht="27" customHeight="1">
      <c r="A68" s="697"/>
      <c r="B68" s="699">
        <v>51</v>
      </c>
      <c r="C68" s="147"/>
      <c r="D68" s="152"/>
      <c r="E68" s="147"/>
      <c r="F68" s="147"/>
      <c r="G68" s="147"/>
      <c r="H68" s="154"/>
      <c r="I68" s="704">
        <f t="shared" si="7"/>
        <v>0</v>
      </c>
      <c r="J68" s="704">
        <f t="shared" si="8"/>
        <v>0</v>
      </c>
      <c r="K68" s="704">
        <f t="shared" si="9"/>
        <v>0</v>
      </c>
      <c r="L68" s="698" t="str">
        <f t="shared" si="10"/>
        <v/>
      </c>
      <c r="M68" s="698" t="str">
        <f t="shared" si="11"/>
        <v/>
      </c>
      <c r="N68" s="698" t="str">
        <f t="shared" si="12"/>
        <v/>
      </c>
      <c r="O68" s="153"/>
      <c r="P68" s="153" t="s">
        <v>2305</v>
      </c>
      <c r="Q68" s="153"/>
      <c r="R68" s="153"/>
      <c r="S68" s="153"/>
      <c r="T68" s="147"/>
      <c r="U68" s="147" t="s">
        <v>2306</v>
      </c>
      <c r="V68" s="147"/>
      <c r="W68" s="147"/>
      <c r="X68" s="147"/>
      <c r="Y68" s="148"/>
      <c r="Z68" s="138"/>
      <c r="AA68" s="695"/>
      <c r="AB68" s="138"/>
      <c r="AC68" s="138"/>
      <c r="AD68" s="138"/>
    </row>
    <row r="69" spans="1:30" ht="9" customHeight="1">
      <c r="A69" s="697"/>
      <c r="B69" s="699">
        <v>52</v>
      </c>
      <c r="C69" s="147"/>
      <c r="D69" s="152" t="s">
        <v>2307</v>
      </c>
      <c r="E69" s="147"/>
      <c r="F69" s="147"/>
      <c r="G69" s="147"/>
      <c r="H69" s="154"/>
      <c r="I69" s="704">
        <f t="shared" si="7"/>
        <v>0</v>
      </c>
      <c r="J69" s="704">
        <f t="shared" si="8"/>
        <v>0</v>
      </c>
      <c r="K69" s="704">
        <f t="shared" si="9"/>
        <v>0</v>
      </c>
      <c r="L69" s="698" t="str">
        <f t="shared" si="10"/>
        <v/>
      </c>
      <c r="M69" s="698" t="str">
        <f t="shared" si="11"/>
        <v/>
      </c>
      <c r="N69" s="698" t="str">
        <f t="shared" si="12"/>
        <v/>
      </c>
      <c r="O69" s="153"/>
      <c r="P69" s="153" t="s">
        <v>160</v>
      </c>
      <c r="Q69" s="153"/>
      <c r="R69" s="153"/>
      <c r="S69" s="153"/>
      <c r="T69" s="147"/>
      <c r="U69" s="147" t="s">
        <v>2308</v>
      </c>
      <c r="V69" s="147"/>
      <c r="W69" s="147"/>
      <c r="X69" s="147"/>
      <c r="Y69" s="148"/>
      <c r="Z69" s="138"/>
      <c r="AA69" s="695"/>
      <c r="AB69" s="138"/>
      <c r="AC69" s="138"/>
      <c r="AD69" s="138"/>
    </row>
    <row r="70" spans="1:30" ht="27" customHeight="1">
      <c r="A70" s="697"/>
      <c r="B70" s="699">
        <v>53</v>
      </c>
      <c r="C70" s="147"/>
      <c r="D70" s="152"/>
      <c r="E70" s="147" t="s">
        <v>2292</v>
      </c>
      <c r="F70" s="147"/>
      <c r="G70" s="147"/>
      <c r="H70" s="154"/>
      <c r="I70" s="704">
        <f t="shared" si="7"/>
        <v>0</v>
      </c>
      <c r="J70" s="704">
        <f t="shared" si="8"/>
        <v>0</v>
      </c>
      <c r="K70" s="704">
        <f t="shared" si="9"/>
        <v>0</v>
      </c>
      <c r="L70" s="698" t="str">
        <f t="shared" si="10"/>
        <v/>
      </c>
      <c r="M70" s="698" t="str">
        <f t="shared" si="11"/>
        <v/>
      </c>
      <c r="N70" s="698" t="str">
        <f t="shared" si="12"/>
        <v/>
      </c>
      <c r="O70" s="153"/>
      <c r="P70" s="153"/>
      <c r="Q70" s="153" t="s">
        <v>92</v>
      </c>
      <c r="R70" s="153"/>
      <c r="S70" s="153"/>
      <c r="T70" s="147"/>
      <c r="U70" s="147"/>
      <c r="V70" s="147" t="s">
        <v>2309</v>
      </c>
      <c r="W70" s="147"/>
      <c r="X70" s="147"/>
      <c r="Y70" s="148"/>
      <c r="Z70" s="138"/>
      <c r="AA70" s="695"/>
      <c r="AB70" s="138"/>
      <c r="AC70" s="138"/>
      <c r="AD70" s="138"/>
    </row>
    <row r="71" spans="1:30" ht="36" customHeight="1">
      <c r="A71" s="697"/>
      <c r="B71" s="699">
        <v>54</v>
      </c>
      <c r="C71" s="147"/>
      <c r="D71" s="152"/>
      <c r="E71" s="147" t="s">
        <v>2294</v>
      </c>
      <c r="F71" s="147"/>
      <c r="G71" s="147"/>
      <c r="H71" s="154"/>
      <c r="I71" s="704">
        <f t="shared" si="7"/>
        <v>0</v>
      </c>
      <c r="J71" s="704">
        <f t="shared" si="8"/>
        <v>0</v>
      </c>
      <c r="K71" s="704">
        <f t="shared" si="9"/>
        <v>0</v>
      </c>
      <c r="L71" s="698" t="str">
        <f t="shared" si="10"/>
        <v/>
      </c>
      <c r="M71" s="698" t="str">
        <f t="shared" si="11"/>
        <v/>
      </c>
      <c r="N71" s="698" t="str">
        <f t="shared" si="12"/>
        <v/>
      </c>
      <c r="O71" s="153"/>
      <c r="P71" s="153"/>
      <c r="Q71" s="153" t="s">
        <v>116</v>
      </c>
      <c r="R71" s="153"/>
      <c r="S71" s="153"/>
      <c r="T71" s="147"/>
      <c r="U71" s="147"/>
      <c r="V71" s="147" t="s">
        <v>2310</v>
      </c>
      <c r="W71" s="147"/>
      <c r="X71" s="147"/>
      <c r="Y71" s="148"/>
      <c r="Z71" s="138"/>
      <c r="AA71" s="695"/>
      <c r="AB71" s="138"/>
      <c r="AC71" s="138"/>
      <c r="AD71" s="138"/>
    </row>
    <row r="72" spans="1:30" ht="27" customHeight="1">
      <c r="A72" s="697"/>
      <c r="B72" s="699">
        <v>55</v>
      </c>
      <c r="C72" s="147"/>
      <c r="D72" s="152"/>
      <c r="E72" s="147" t="s">
        <v>2296</v>
      </c>
      <c r="F72" s="147"/>
      <c r="G72" s="147"/>
      <c r="H72" s="154"/>
      <c r="I72" s="704">
        <f t="shared" si="7"/>
        <v>0</v>
      </c>
      <c r="J72" s="704">
        <f t="shared" si="8"/>
        <v>0</v>
      </c>
      <c r="K72" s="704">
        <f t="shared" si="9"/>
        <v>0</v>
      </c>
      <c r="L72" s="698" t="str">
        <f t="shared" si="10"/>
        <v/>
      </c>
      <c r="M72" s="698" t="str">
        <f t="shared" si="11"/>
        <v/>
      </c>
      <c r="N72" s="698" t="str">
        <f t="shared" si="12"/>
        <v/>
      </c>
      <c r="O72" s="153"/>
      <c r="P72" s="153"/>
      <c r="Q72" s="153" t="s">
        <v>158</v>
      </c>
      <c r="R72" s="153"/>
      <c r="S72" s="153"/>
      <c r="T72" s="147"/>
      <c r="U72" s="147"/>
      <c r="V72" s="147" t="s">
        <v>2311</v>
      </c>
      <c r="W72" s="147"/>
      <c r="X72" s="147"/>
      <c r="Y72" s="148"/>
      <c r="Z72" s="138"/>
      <c r="AA72" s="695"/>
      <c r="AB72" s="138"/>
      <c r="AC72" s="138"/>
      <c r="AD72" s="138"/>
    </row>
    <row r="73" spans="1:30" ht="36" customHeight="1">
      <c r="A73" s="697"/>
      <c r="B73" s="699">
        <v>56</v>
      </c>
      <c r="C73" s="147"/>
      <c r="D73" s="152"/>
      <c r="E73" s="147" t="s">
        <v>2298</v>
      </c>
      <c r="F73" s="147"/>
      <c r="G73" s="147"/>
      <c r="H73" s="154"/>
      <c r="I73" s="704">
        <f t="shared" si="7"/>
        <v>0</v>
      </c>
      <c r="J73" s="704">
        <f t="shared" si="8"/>
        <v>0</v>
      </c>
      <c r="K73" s="704">
        <f t="shared" si="9"/>
        <v>0</v>
      </c>
      <c r="L73" s="698" t="str">
        <f t="shared" si="10"/>
        <v/>
      </c>
      <c r="M73" s="698" t="str">
        <f t="shared" si="11"/>
        <v/>
      </c>
      <c r="N73" s="698" t="str">
        <f t="shared" si="12"/>
        <v/>
      </c>
      <c r="O73" s="153"/>
      <c r="P73" s="153"/>
      <c r="Q73" s="153" t="s">
        <v>159</v>
      </c>
      <c r="R73" s="153"/>
      <c r="S73" s="153"/>
      <c r="T73" s="147"/>
      <c r="U73" s="147"/>
      <c r="V73" s="147" t="s">
        <v>2312</v>
      </c>
      <c r="W73" s="147"/>
      <c r="X73" s="147"/>
      <c r="Y73" s="148"/>
      <c r="Z73" s="138"/>
      <c r="AA73" s="695"/>
      <c r="AB73" s="138"/>
      <c r="AC73" s="138"/>
      <c r="AD73" s="138"/>
    </row>
    <row r="74" spans="1:30" ht="18" customHeight="1">
      <c r="A74" s="697"/>
      <c r="B74" s="699">
        <v>57</v>
      </c>
      <c r="C74" s="147"/>
      <c r="D74" s="152"/>
      <c r="E74" s="147" t="s">
        <v>2307</v>
      </c>
      <c r="F74" s="147"/>
      <c r="G74" s="147"/>
      <c r="H74" s="154"/>
      <c r="I74" s="704">
        <f t="shared" si="7"/>
        <v>0</v>
      </c>
      <c r="J74" s="704">
        <f t="shared" si="8"/>
        <v>0</v>
      </c>
      <c r="K74" s="704">
        <f t="shared" si="9"/>
        <v>0</v>
      </c>
      <c r="L74" s="698" t="str">
        <f t="shared" si="10"/>
        <v/>
      </c>
      <c r="M74" s="698" t="str">
        <f t="shared" si="11"/>
        <v/>
      </c>
      <c r="N74" s="698" t="str">
        <f t="shared" si="12"/>
        <v/>
      </c>
      <c r="O74" s="153"/>
      <c r="P74" s="153"/>
      <c r="Q74" s="153" t="s">
        <v>160</v>
      </c>
      <c r="R74" s="153"/>
      <c r="S74" s="153"/>
      <c r="T74" s="147"/>
      <c r="U74" s="147"/>
      <c r="V74" s="147" t="s">
        <v>2313</v>
      </c>
      <c r="W74" s="147"/>
      <c r="X74" s="147"/>
      <c r="Y74" s="148"/>
      <c r="Z74" s="138"/>
      <c r="AA74" s="695"/>
      <c r="AB74" s="138"/>
      <c r="AC74" s="138"/>
      <c r="AD74" s="138"/>
    </row>
    <row r="75" spans="1:30" ht="18" customHeight="1">
      <c r="A75" s="697"/>
      <c r="B75" s="699">
        <v>58</v>
      </c>
      <c r="C75" s="147"/>
      <c r="D75" s="152"/>
      <c r="E75" s="147"/>
      <c r="F75" s="147" t="s">
        <v>2292</v>
      </c>
      <c r="G75" s="147"/>
      <c r="H75" s="154"/>
      <c r="I75" s="704" t="str">
        <f t="shared" si="7"/>
        <v>7</v>
      </c>
      <c r="J75" s="704" t="str">
        <f t="shared" si="8"/>
        <v>Объём сточных вод, принятых от потребителей</v>
      </c>
      <c r="K75" s="704">
        <f t="shared" si="9"/>
        <v>0</v>
      </c>
      <c r="L75" s="698" t="str">
        <f t="shared" si="10"/>
        <v>7</v>
      </c>
      <c r="M75" s="698" t="str">
        <f t="shared" si="11"/>
        <v>Объём сточных вод, принятых от потребителей</v>
      </c>
      <c r="N75" s="698" t="str">
        <f t="shared" si="12"/>
        <v/>
      </c>
      <c r="O75" s="153"/>
      <c r="P75" s="153"/>
      <c r="Q75" s="153"/>
      <c r="R75" s="153" t="s">
        <v>92</v>
      </c>
      <c r="S75" s="153"/>
      <c r="T75" s="147"/>
      <c r="U75" s="147"/>
      <c r="V75" s="147"/>
      <c r="W75" s="147" t="s">
        <v>2314</v>
      </c>
      <c r="X75" s="147"/>
      <c r="Y75" s="148"/>
      <c r="Z75" s="138"/>
      <c r="AA75" s="695"/>
      <c r="AB75" s="138"/>
      <c r="AC75" s="138"/>
      <c r="AD75" s="138"/>
    </row>
    <row r="76" spans="1:30" ht="36" customHeight="1">
      <c r="A76" s="697"/>
      <c r="B76" s="699">
        <v>59</v>
      </c>
      <c r="C76" s="147"/>
      <c r="D76" s="152"/>
      <c r="E76" s="147"/>
      <c r="F76" s="147" t="s">
        <v>2294</v>
      </c>
      <c r="G76" s="147"/>
      <c r="H76" s="154"/>
      <c r="I76" s="704" t="str">
        <f t="shared" si="7"/>
        <v>8</v>
      </c>
      <c r="J76" s="704" t="str">
        <f t="shared" si="8"/>
        <v>Объём сточных вод, принятых от других регулируемых организаций, осуществляющих водоотведение и (или) очистку сточных вод</v>
      </c>
      <c r="K76" s="704">
        <f t="shared" si="9"/>
        <v>0</v>
      </c>
      <c r="L76" s="698" t="str">
        <f t="shared" si="10"/>
        <v>8</v>
      </c>
      <c r="M76" s="698" t="str">
        <f t="shared" si="11"/>
        <v>Объём сточных вод, принятых от других регулируемых организаций, осуществляющих водоотведение и (или) очистку сточных вод</v>
      </c>
      <c r="N76" s="698" t="str">
        <f t="shared" si="12"/>
        <v/>
      </c>
      <c r="O76" s="153"/>
      <c r="P76" s="153"/>
      <c r="Q76" s="153"/>
      <c r="R76" s="153" t="s">
        <v>116</v>
      </c>
      <c r="S76" s="153"/>
      <c r="T76" s="147"/>
      <c r="U76" s="147"/>
      <c r="V76" s="147"/>
      <c r="W76" s="147" t="s">
        <v>2315</v>
      </c>
      <c r="X76" s="147"/>
      <c r="Y76" s="148"/>
      <c r="Z76" s="138"/>
      <c r="AA76" s="695"/>
      <c r="AB76" s="138"/>
      <c r="AC76" s="138"/>
      <c r="AD76" s="138"/>
    </row>
    <row r="77" spans="1:30" ht="18" customHeight="1">
      <c r="A77" s="697"/>
      <c r="B77" s="699">
        <v>60</v>
      </c>
      <c r="C77" s="147"/>
      <c r="D77" s="152"/>
      <c r="E77" s="147"/>
      <c r="F77" s="147" t="s">
        <v>2296</v>
      </c>
      <c r="G77" s="147"/>
      <c r="H77" s="154"/>
      <c r="I77" s="704" t="str">
        <f t="shared" si="7"/>
        <v>9</v>
      </c>
      <c r="J77" s="704" t="str">
        <f t="shared" si="8"/>
        <v>Объём сточных вод, пропущенных через очистные сооружения</v>
      </c>
      <c r="K77" s="704">
        <f t="shared" si="9"/>
        <v>0</v>
      </c>
      <c r="L77" s="698" t="str">
        <f t="shared" si="10"/>
        <v>9</v>
      </c>
      <c r="M77" s="698" t="str">
        <f t="shared" si="11"/>
        <v>Объём сточных вод, пропущенных через очистные сооружения</v>
      </c>
      <c r="N77" s="698" t="str">
        <f t="shared" si="12"/>
        <v/>
      </c>
      <c r="O77" s="153"/>
      <c r="P77" s="153"/>
      <c r="Q77" s="153"/>
      <c r="R77" s="153" t="s">
        <v>158</v>
      </c>
      <c r="S77" s="153"/>
      <c r="T77" s="147"/>
      <c r="U77" s="147"/>
      <c r="V77" s="147"/>
      <c r="W77" s="147" t="s">
        <v>2316</v>
      </c>
      <c r="X77" s="147"/>
      <c r="Y77" s="148"/>
      <c r="Z77" s="138"/>
      <c r="AA77" s="695"/>
      <c r="AB77" s="138"/>
      <c r="AC77" s="138"/>
      <c r="AD77" s="138"/>
    </row>
    <row r="78" spans="1:30" ht="72" customHeight="1">
      <c r="A78" s="697"/>
      <c r="B78" s="699">
        <v>61</v>
      </c>
      <c r="C78" s="147" t="s">
        <v>2292</v>
      </c>
      <c r="D78" s="152"/>
      <c r="E78" s="147"/>
      <c r="F78" s="147"/>
      <c r="G78" s="147"/>
      <c r="H78" s="154"/>
      <c r="I78" s="704">
        <f t="shared" si="7"/>
        <v>0</v>
      </c>
      <c r="J78" s="704">
        <f t="shared" si="8"/>
        <v>0</v>
      </c>
      <c r="K78" s="704">
        <f t="shared" si="9"/>
        <v>0</v>
      </c>
      <c r="L78" s="698" t="str">
        <f t="shared" si="10"/>
        <v/>
      </c>
      <c r="M78" s="698" t="str">
        <f t="shared" si="11"/>
        <v/>
      </c>
      <c r="N78" s="698" t="str">
        <f t="shared" si="12"/>
        <v/>
      </c>
      <c r="O78" s="153" t="s">
        <v>92</v>
      </c>
      <c r="P78" s="153"/>
      <c r="Q78" s="153"/>
      <c r="R78" s="153"/>
      <c r="S78" s="153"/>
      <c r="T78" s="147" t="s">
        <v>651</v>
      </c>
      <c r="U78" s="147"/>
      <c r="V78" s="147"/>
      <c r="W78" s="147"/>
      <c r="X78" s="147"/>
      <c r="Y78" s="148"/>
      <c r="Z78" s="138" t="s">
        <v>2317</v>
      </c>
      <c r="AA78" s="695"/>
      <c r="AB78" s="138"/>
      <c r="AC78" s="138"/>
      <c r="AD78" s="138"/>
    </row>
    <row r="79" spans="1:30" ht="36" customHeight="1">
      <c r="A79" s="697"/>
      <c r="B79" s="699">
        <v>62</v>
      </c>
      <c r="C79" s="147" t="s">
        <v>2294</v>
      </c>
      <c r="D79" s="152"/>
      <c r="E79" s="147"/>
      <c r="F79" s="147"/>
      <c r="G79" s="147"/>
      <c r="H79" s="154"/>
      <c r="I79" s="704">
        <f t="shared" si="7"/>
        <v>0</v>
      </c>
      <c r="J79" s="704">
        <f t="shared" si="8"/>
        <v>0</v>
      </c>
      <c r="K79" s="704">
        <f t="shared" si="9"/>
        <v>0</v>
      </c>
      <c r="L79" s="698" t="str">
        <f t="shared" si="10"/>
        <v/>
      </c>
      <c r="M79" s="698" t="str">
        <f t="shared" si="11"/>
        <v/>
      </c>
      <c r="N79" s="698" t="str">
        <f t="shared" si="12"/>
        <v/>
      </c>
      <c r="O79" s="153" t="s">
        <v>116</v>
      </c>
      <c r="P79" s="153"/>
      <c r="Q79" s="153"/>
      <c r="R79" s="153"/>
      <c r="S79" s="153"/>
      <c r="T79" s="147" t="s">
        <v>2318</v>
      </c>
      <c r="U79" s="147"/>
      <c r="V79" s="147"/>
      <c r="W79" s="147"/>
      <c r="X79" s="147"/>
      <c r="Y79" s="148"/>
      <c r="Z79" s="138" t="s">
        <v>2319</v>
      </c>
      <c r="AA79" s="695"/>
      <c r="AB79" s="138"/>
      <c r="AC79" s="138"/>
      <c r="AD79" s="138"/>
    </row>
    <row r="80" spans="1:30" ht="45" customHeight="1">
      <c r="A80" s="697"/>
      <c r="B80" s="699">
        <v>63</v>
      </c>
      <c r="C80" s="147" t="s">
        <v>2296</v>
      </c>
      <c r="D80" s="152"/>
      <c r="E80" s="147"/>
      <c r="F80" s="147"/>
      <c r="G80" s="147"/>
      <c r="H80" s="154"/>
      <c r="I80" s="704">
        <f t="shared" si="7"/>
        <v>0</v>
      </c>
      <c r="J80" s="704">
        <f t="shared" si="8"/>
        <v>0</v>
      </c>
      <c r="K80" s="704">
        <f t="shared" si="9"/>
        <v>0</v>
      </c>
      <c r="L80" s="698" t="str">
        <f t="shared" si="10"/>
        <v/>
      </c>
      <c r="M80" s="698" t="str">
        <f t="shared" si="11"/>
        <v/>
      </c>
      <c r="N80" s="698" t="str">
        <f t="shared" si="12"/>
        <v/>
      </c>
      <c r="O80" s="153" t="s">
        <v>158</v>
      </c>
      <c r="P80" s="153"/>
      <c r="Q80" s="153"/>
      <c r="R80" s="153"/>
      <c r="S80" s="153"/>
      <c r="T80" s="147" t="s">
        <v>2320</v>
      </c>
      <c r="U80" s="147"/>
      <c r="V80" s="147"/>
      <c r="W80" s="147"/>
      <c r="X80" s="147"/>
      <c r="Y80" s="148"/>
      <c r="Z80" s="138" t="s">
        <v>2321</v>
      </c>
      <c r="AA80" s="695"/>
      <c r="AB80" s="138"/>
      <c r="AC80" s="138"/>
      <c r="AD80" s="138"/>
    </row>
    <row r="81" spans="1:30" ht="36" customHeight="1">
      <c r="A81" s="697"/>
      <c r="B81" s="699">
        <v>64</v>
      </c>
      <c r="C81" s="147" t="s">
        <v>2298</v>
      </c>
      <c r="D81" s="152"/>
      <c r="E81" s="147"/>
      <c r="F81" s="147"/>
      <c r="G81" s="147"/>
      <c r="H81" s="154"/>
      <c r="I81" s="704">
        <f t="shared" si="7"/>
        <v>0</v>
      </c>
      <c r="J81" s="704">
        <f t="shared" si="8"/>
        <v>0</v>
      </c>
      <c r="K81" s="704">
        <f t="shared" si="9"/>
        <v>0</v>
      </c>
      <c r="L81" s="698" t="str">
        <f t="shared" si="10"/>
        <v/>
      </c>
      <c r="M81" s="698" t="str">
        <f t="shared" si="11"/>
        <v/>
      </c>
      <c r="N81" s="698" t="str">
        <f t="shared" si="12"/>
        <v/>
      </c>
      <c r="O81" s="153" t="s">
        <v>2204</v>
      </c>
      <c r="P81" s="153"/>
      <c r="Q81" s="153"/>
      <c r="R81" s="153"/>
      <c r="S81" s="153"/>
      <c r="T81" s="147" t="s">
        <v>2322</v>
      </c>
      <c r="U81" s="147"/>
      <c r="V81" s="147"/>
      <c r="W81" s="147"/>
      <c r="X81" s="147"/>
      <c r="Y81" s="148"/>
      <c r="Z81" s="138" t="s">
        <v>2323</v>
      </c>
      <c r="AA81" s="695"/>
      <c r="AB81" s="138"/>
      <c r="AC81" s="138"/>
      <c r="AD81" s="138"/>
    </row>
    <row r="82" spans="1:30" ht="90" customHeight="1">
      <c r="A82" s="697"/>
      <c r="B82" s="699">
        <v>65</v>
      </c>
      <c r="C82" s="147" t="s">
        <v>2307</v>
      </c>
      <c r="D82" s="152"/>
      <c r="E82" s="147"/>
      <c r="F82" s="147"/>
      <c r="G82" s="147"/>
      <c r="H82" s="154"/>
      <c r="I82" s="704">
        <f t="shared" ref="I82:I101" si="13">INDEX(TEMPLATE_NUMBER_POINT_FHD,B82,MATCH(TEMPLATE_SPHERE,TEMPLATE_SPHERE_LIST_FOR_NOTE,0))</f>
        <v>0</v>
      </c>
      <c r="J82" s="704">
        <f t="shared" ref="J82:J101" si="14">INDEX(TEMPLATE_DATA_POINT_FHD,B82,MATCH(TEMPLATE_SPHERE,TEMPLATE_SPHERE_LIST_FOR_NOTE,0))</f>
        <v>0</v>
      </c>
      <c r="K82" s="704">
        <f t="shared" ref="K82:K101" si="15">INDEX(TEMPLATE_NOTE_POINT_FHD,B82,MATCH(TEMPLATE_SPHERE,TEMPLATE_SPHERE_LIST_FOR_NOTE,0))</f>
        <v>0</v>
      </c>
      <c r="L82" s="698" t="str">
        <f t="shared" ref="L82:L101" si="16">IF(I82=0,"",I82)</f>
        <v/>
      </c>
      <c r="M82" s="698" t="str">
        <f t="shared" ref="M82:M101" si="17">IF(J82=0,"",J82)</f>
        <v/>
      </c>
      <c r="N82" s="698" t="str">
        <f t="shared" ref="N82:N101" si="18">IF(K82=0,"",K82)</f>
        <v/>
      </c>
      <c r="O82" s="153" t="s">
        <v>159</v>
      </c>
      <c r="P82" s="153"/>
      <c r="Q82" s="153"/>
      <c r="R82" s="153"/>
      <c r="S82" s="153"/>
      <c r="T82" s="147" t="s">
        <v>2324</v>
      </c>
      <c r="U82" s="147"/>
      <c r="V82" s="147"/>
      <c r="W82" s="147"/>
      <c r="X82" s="147"/>
      <c r="Y82" s="148"/>
      <c r="Z82" s="138" t="s">
        <v>2325</v>
      </c>
      <c r="AA82" s="695"/>
      <c r="AB82" s="138"/>
      <c r="AC82" s="138"/>
      <c r="AD82" s="138"/>
    </row>
    <row r="83" spans="1:30" ht="9" customHeight="1">
      <c r="A83" s="697"/>
      <c r="B83" s="699">
        <v>66</v>
      </c>
      <c r="C83" s="147"/>
      <c r="D83" s="152"/>
      <c r="E83" s="147"/>
      <c r="F83" s="147"/>
      <c r="G83" s="147"/>
      <c r="H83" s="154"/>
      <c r="I83" s="704">
        <f t="shared" si="13"/>
        <v>0</v>
      </c>
      <c r="J83" s="704">
        <f t="shared" si="14"/>
        <v>0</v>
      </c>
      <c r="K83" s="704">
        <f t="shared" si="15"/>
        <v>0</v>
      </c>
      <c r="L83" s="698" t="str">
        <f t="shared" si="16"/>
        <v/>
      </c>
      <c r="M83" s="698" t="str">
        <f t="shared" si="17"/>
        <v/>
      </c>
      <c r="N83" s="698" t="str">
        <f t="shared" si="18"/>
        <v/>
      </c>
      <c r="O83" s="153" t="s">
        <v>2213</v>
      </c>
      <c r="P83" s="153"/>
      <c r="Q83" s="153"/>
      <c r="R83" s="153"/>
      <c r="S83" s="153"/>
      <c r="T83" s="147" t="s">
        <v>2326</v>
      </c>
      <c r="U83" s="147"/>
      <c r="V83" s="147"/>
      <c r="W83" s="147"/>
      <c r="X83" s="147"/>
      <c r="Y83" s="148"/>
      <c r="Z83" s="138"/>
      <c r="AA83" s="695"/>
      <c r="AB83" s="138"/>
      <c r="AC83" s="138"/>
      <c r="AD83" s="138"/>
    </row>
    <row r="84" spans="1:30" ht="54" customHeight="1">
      <c r="A84" s="697"/>
      <c r="B84" s="699">
        <v>67</v>
      </c>
      <c r="C84" s="147"/>
      <c r="D84" s="152"/>
      <c r="E84" s="147"/>
      <c r="F84" s="147"/>
      <c r="G84" s="147"/>
      <c r="H84" s="154"/>
      <c r="I84" s="704">
        <f t="shared" si="13"/>
        <v>0</v>
      </c>
      <c r="J84" s="704">
        <f t="shared" si="14"/>
        <v>0</v>
      </c>
      <c r="K84" s="704">
        <f t="shared" si="15"/>
        <v>0</v>
      </c>
      <c r="L84" s="698" t="str">
        <f t="shared" si="16"/>
        <v/>
      </c>
      <c r="M84" s="698" t="str">
        <f t="shared" si="17"/>
        <v/>
      </c>
      <c r="N84" s="698" t="str">
        <f t="shared" si="18"/>
        <v/>
      </c>
      <c r="O84" s="153" t="s">
        <v>2327</v>
      </c>
      <c r="P84" s="153"/>
      <c r="Q84" s="153"/>
      <c r="R84" s="153"/>
      <c r="S84" s="153"/>
      <c r="T84" s="147" t="s">
        <v>2328</v>
      </c>
      <c r="U84" s="147"/>
      <c r="V84" s="147"/>
      <c r="W84" s="147"/>
      <c r="X84" s="147"/>
      <c r="Y84" s="148"/>
      <c r="Z84" s="138"/>
      <c r="AA84" s="695"/>
      <c r="AB84" s="138"/>
      <c r="AC84" s="138"/>
      <c r="AD84" s="138"/>
    </row>
    <row r="85" spans="1:30" ht="9" customHeight="1">
      <c r="A85" s="697"/>
      <c r="B85" s="699">
        <v>68</v>
      </c>
      <c r="C85" s="147"/>
      <c r="D85" s="152"/>
      <c r="E85" s="147"/>
      <c r="F85" s="147"/>
      <c r="G85" s="147"/>
      <c r="H85" s="154"/>
      <c r="I85" s="704">
        <f t="shared" si="13"/>
        <v>0</v>
      </c>
      <c r="J85" s="704">
        <f t="shared" si="14"/>
        <v>0</v>
      </c>
      <c r="K85" s="704">
        <f t="shared" si="15"/>
        <v>0</v>
      </c>
      <c r="L85" s="698" t="str">
        <f t="shared" si="16"/>
        <v/>
      </c>
      <c r="M85" s="698" t="str">
        <f t="shared" si="17"/>
        <v/>
      </c>
      <c r="N85" s="698" t="str">
        <f t="shared" si="18"/>
        <v/>
      </c>
      <c r="O85" s="153" t="s">
        <v>2217</v>
      </c>
      <c r="P85" s="153"/>
      <c r="Q85" s="153"/>
      <c r="R85" s="153"/>
      <c r="S85" s="153"/>
      <c r="T85" s="147" t="s">
        <v>2329</v>
      </c>
      <c r="U85" s="147"/>
      <c r="V85" s="147"/>
      <c r="W85" s="147"/>
      <c r="X85" s="147"/>
      <c r="Y85" s="148"/>
      <c r="Z85" s="138"/>
      <c r="AA85" s="695"/>
      <c r="AB85" s="138"/>
      <c r="AC85" s="138"/>
      <c r="AD85" s="138"/>
    </row>
    <row r="86" spans="1:30" ht="27" customHeight="1">
      <c r="A86" s="697"/>
      <c r="B86" s="699">
        <v>69</v>
      </c>
      <c r="C86" s="147"/>
      <c r="D86" s="152"/>
      <c r="E86" s="147"/>
      <c r="F86" s="147"/>
      <c r="G86" s="147"/>
      <c r="H86" s="154"/>
      <c r="I86" s="704">
        <f t="shared" si="13"/>
        <v>0</v>
      </c>
      <c r="J86" s="704">
        <f t="shared" si="14"/>
        <v>0</v>
      </c>
      <c r="K86" s="704">
        <f t="shared" si="15"/>
        <v>0</v>
      </c>
      <c r="L86" s="698" t="str">
        <f t="shared" si="16"/>
        <v/>
      </c>
      <c r="M86" s="698" t="str">
        <f t="shared" si="17"/>
        <v/>
      </c>
      <c r="N86" s="698" t="str">
        <f t="shared" si="18"/>
        <v/>
      </c>
      <c r="O86" s="153" t="s">
        <v>2330</v>
      </c>
      <c r="P86" s="153"/>
      <c r="Q86" s="153"/>
      <c r="R86" s="153"/>
      <c r="S86" s="153"/>
      <c r="T86" s="147" t="s">
        <v>2331</v>
      </c>
      <c r="U86" s="147"/>
      <c r="V86" s="147"/>
      <c r="W86" s="147"/>
      <c r="X86" s="147"/>
      <c r="Y86" s="148"/>
      <c r="Z86" s="138"/>
      <c r="AA86" s="695"/>
      <c r="AB86" s="138"/>
      <c r="AC86" s="138"/>
      <c r="AD86" s="138"/>
    </row>
    <row r="87" spans="1:30" ht="36" customHeight="1">
      <c r="A87" s="697"/>
      <c r="B87" s="699">
        <v>70</v>
      </c>
      <c r="C87" s="147" t="s">
        <v>2332</v>
      </c>
      <c r="D87" s="152"/>
      <c r="E87" s="147"/>
      <c r="F87" s="147"/>
      <c r="G87" s="147"/>
      <c r="H87" s="154"/>
      <c r="I87" s="704">
        <f t="shared" si="13"/>
        <v>0</v>
      </c>
      <c r="J87" s="704">
        <f t="shared" si="14"/>
        <v>0</v>
      </c>
      <c r="K87" s="704">
        <f t="shared" si="15"/>
        <v>0</v>
      </c>
      <c r="L87" s="698" t="str">
        <f t="shared" si="16"/>
        <v/>
      </c>
      <c r="M87" s="698" t="str">
        <f t="shared" si="17"/>
        <v/>
      </c>
      <c r="N87" s="698" t="str">
        <f t="shared" si="18"/>
        <v/>
      </c>
      <c r="O87" s="153" t="s">
        <v>160</v>
      </c>
      <c r="P87" s="153"/>
      <c r="Q87" s="153"/>
      <c r="R87" s="153"/>
      <c r="S87" s="153"/>
      <c r="T87" s="147" t="s">
        <v>2333</v>
      </c>
      <c r="U87" s="147"/>
      <c r="V87" s="147"/>
      <c r="W87" s="147"/>
      <c r="X87" s="147"/>
      <c r="Y87" s="148"/>
      <c r="Z87" s="138"/>
      <c r="AA87" s="695"/>
      <c r="AB87" s="138"/>
      <c r="AC87" s="138"/>
      <c r="AD87" s="138"/>
    </row>
    <row r="88" spans="1:30" ht="18" customHeight="1">
      <c r="A88" s="697"/>
      <c r="B88" s="699">
        <v>71</v>
      </c>
      <c r="C88" s="147" t="s">
        <v>2334</v>
      </c>
      <c r="D88" s="152"/>
      <c r="E88" s="147"/>
      <c r="F88" s="147"/>
      <c r="G88" s="147"/>
      <c r="H88" s="154"/>
      <c r="I88" s="704">
        <f t="shared" si="13"/>
        <v>0</v>
      </c>
      <c r="J88" s="704">
        <f t="shared" si="14"/>
        <v>0</v>
      </c>
      <c r="K88" s="704">
        <f t="shared" si="15"/>
        <v>0</v>
      </c>
      <c r="L88" s="698" t="str">
        <f t="shared" si="16"/>
        <v/>
      </c>
      <c r="M88" s="698" t="str">
        <f t="shared" si="17"/>
        <v/>
      </c>
      <c r="N88" s="698" t="str">
        <f t="shared" si="18"/>
        <v/>
      </c>
      <c r="O88" s="153" t="s">
        <v>161</v>
      </c>
      <c r="P88" s="153"/>
      <c r="Q88" s="153"/>
      <c r="R88" s="153"/>
      <c r="S88" s="153"/>
      <c r="T88" s="147" t="s">
        <v>683</v>
      </c>
      <c r="U88" s="147"/>
      <c r="V88" s="147"/>
      <c r="W88" s="147"/>
      <c r="X88" s="147"/>
      <c r="Y88" s="148"/>
      <c r="Z88" s="138"/>
      <c r="AA88" s="695"/>
      <c r="AB88" s="138"/>
      <c r="AC88" s="138"/>
      <c r="AD88" s="138"/>
    </row>
    <row r="89" spans="1:30" ht="18" customHeight="1">
      <c r="A89" s="697"/>
      <c r="B89" s="699">
        <v>72</v>
      </c>
      <c r="C89" s="147" t="s">
        <v>2335</v>
      </c>
      <c r="D89" s="152" t="s">
        <v>2332</v>
      </c>
      <c r="E89" s="147" t="s">
        <v>2332</v>
      </c>
      <c r="F89" s="147" t="s">
        <v>2298</v>
      </c>
      <c r="G89" s="147"/>
      <c r="H89" s="154"/>
      <c r="I89" s="704" t="str">
        <f t="shared" si="13"/>
        <v>10</v>
      </c>
      <c r="J89" s="704" t="str">
        <f t="shared" si="14"/>
        <v>Среднесписочная численность основного производственного персонала</v>
      </c>
      <c r="K89" s="704">
        <f t="shared" si="15"/>
        <v>0</v>
      </c>
      <c r="L89" s="698" t="str">
        <f t="shared" si="16"/>
        <v>10</v>
      </c>
      <c r="M89" s="698" t="str">
        <f t="shared" si="17"/>
        <v>Среднесписочная численность основного производственного персонала</v>
      </c>
      <c r="N89" s="698" t="str">
        <f t="shared" si="18"/>
        <v/>
      </c>
      <c r="O89" s="153" t="s">
        <v>162</v>
      </c>
      <c r="P89" s="153" t="s">
        <v>161</v>
      </c>
      <c r="Q89" s="153" t="s">
        <v>161</v>
      </c>
      <c r="R89" s="153" t="s">
        <v>159</v>
      </c>
      <c r="S89" s="153"/>
      <c r="T89" s="147" t="s">
        <v>691</v>
      </c>
      <c r="U89" s="147" t="s">
        <v>691</v>
      </c>
      <c r="V89" s="147" t="s">
        <v>691</v>
      </c>
      <c r="W89" s="147" t="s">
        <v>691</v>
      </c>
      <c r="X89" s="147"/>
      <c r="Y89" s="148"/>
      <c r="Z89" s="138"/>
      <c r="AA89" s="695"/>
      <c r="AB89" s="138"/>
      <c r="AC89" s="138"/>
      <c r="AD89" s="138"/>
    </row>
    <row r="90" spans="1:30" ht="27" customHeight="1">
      <c r="A90" s="697"/>
      <c r="B90" s="699">
        <v>73</v>
      </c>
      <c r="C90" s="147" t="s">
        <v>2336</v>
      </c>
      <c r="D90" s="152"/>
      <c r="E90" s="147"/>
      <c r="F90" s="147"/>
      <c r="G90" s="147"/>
      <c r="H90" s="154"/>
      <c r="I90" s="704">
        <f t="shared" si="13"/>
        <v>0</v>
      </c>
      <c r="J90" s="704">
        <f t="shared" si="14"/>
        <v>0</v>
      </c>
      <c r="K90" s="704">
        <f t="shared" si="15"/>
        <v>0</v>
      </c>
      <c r="L90" s="698" t="str">
        <f t="shared" si="16"/>
        <v/>
      </c>
      <c r="M90" s="698" t="str">
        <f t="shared" si="17"/>
        <v/>
      </c>
      <c r="N90" s="698" t="str">
        <f t="shared" si="18"/>
        <v/>
      </c>
      <c r="O90" s="153" t="s">
        <v>163</v>
      </c>
      <c r="P90" s="153"/>
      <c r="Q90" s="153"/>
      <c r="R90" s="153"/>
      <c r="S90" s="153"/>
      <c r="T90" s="147" t="s">
        <v>693</v>
      </c>
      <c r="U90" s="147"/>
      <c r="V90" s="147"/>
      <c r="W90" s="147"/>
      <c r="X90" s="147"/>
      <c r="Y90" s="148"/>
      <c r="Z90" s="138"/>
      <c r="AA90" s="695"/>
      <c r="AB90" s="138"/>
      <c r="AC90" s="138"/>
      <c r="AD90" s="138"/>
    </row>
    <row r="91" spans="1:30" ht="18" customHeight="1">
      <c r="A91" s="697"/>
      <c r="B91" s="699">
        <v>74</v>
      </c>
      <c r="C91" s="147"/>
      <c r="D91" s="152" t="s">
        <v>2334</v>
      </c>
      <c r="E91" s="147" t="s">
        <v>2334</v>
      </c>
      <c r="F91" s="147"/>
      <c r="G91" s="147"/>
      <c r="H91" s="154"/>
      <c r="I91" s="704">
        <f t="shared" si="13"/>
        <v>0</v>
      </c>
      <c r="J91" s="704">
        <f t="shared" si="14"/>
        <v>0</v>
      </c>
      <c r="K91" s="704">
        <f t="shared" si="15"/>
        <v>0</v>
      </c>
      <c r="L91" s="698" t="str">
        <f t="shared" si="16"/>
        <v/>
      </c>
      <c r="M91" s="698" t="str">
        <f t="shared" si="17"/>
        <v/>
      </c>
      <c r="N91" s="698" t="str">
        <f t="shared" si="18"/>
        <v/>
      </c>
      <c r="O91" s="153"/>
      <c r="P91" s="153" t="s">
        <v>162</v>
      </c>
      <c r="Q91" s="153" t="s">
        <v>162</v>
      </c>
      <c r="R91" s="153"/>
      <c r="S91" s="153"/>
      <c r="T91" s="147"/>
      <c r="U91" s="147" t="s">
        <v>2337</v>
      </c>
      <c r="V91" s="147" t="s">
        <v>2337</v>
      </c>
      <c r="W91" s="147"/>
      <c r="X91" s="147"/>
      <c r="Y91" s="148"/>
      <c r="Z91" s="138"/>
      <c r="AA91" s="695"/>
      <c r="AB91" s="138"/>
      <c r="AC91" s="138"/>
      <c r="AD91" s="138"/>
    </row>
    <row r="92" spans="1:30" ht="27" customHeight="1">
      <c r="A92" s="697"/>
      <c r="B92" s="699">
        <v>75</v>
      </c>
      <c r="C92" s="147"/>
      <c r="D92" s="152" t="s">
        <v>2335</v>
      </c>
      <c r="E92" s="147"/>
      <c r="F92" s="147"/>
      <c r="G92" s="147"/>
      <c r="H92" s="154"/>
      <c r="I92" s="704">
        <f t="shared" si="13"/>
        <v>0</v>
      </c>
      <c r="J92" s="704">
        <f t="shared" si="14"/>
        <v>0</v>
      </c>
      <c r="K92" s="704">
        <f t="shared" si="15"/>
        <v>0</v>
      </c>
      <c r="L92" s="698" t="str">
        <f t="shared" si="16"/>
        <v/>
      </c>
      <c r="M92" s="698" t="str">
        <f t="shared" si="17"/>
        <v/>
      </c>
      <c r="N92" s="698" t="str">
        <f t="shared" si="18"/>
        <v/>
      </c>
      <c r="O92" s="153"/>
      <c r="P92" s="153" t="s">
        <v>163</v>
      </c>
      <c r="Q92" s="153"/>
      <c r="R92" s="153"/>
      <c r="S92" s="153"/>
      <c r="T92" s="147"/>
      <c r="U92" s="147" t="s">
        <v>2338</v>
      </c>
      <c r="V92" s="147"/>
      <c r="W92" s="147"/>
      <c r="X92" s="147"/>
      <c r="Y92" s="148"/>
      <c r="Z92" s="138"/>
      <c r="AA92" s="695" t="s">
        <v>2339</v>
      </c>
      <c r="AB92" s="138"/>
      <c r="AC92" s="138"/>
      <c r="AD92" s="138"/>
    </row>
    <row r="93" spans="1:30" ht="27" customHeight="1">
      <c r="A93" s="697"/>
      <c r="B93" s="699">
        <v>76</v>
      </c>
      <c r="C93" s="147"/>
      <c r="D93" s="152"/>
      <c r="E93" s="147"/>
      <c r="F93" s="147"/>
      <c r="G93" s="147"/>
      <c r="H93" s="154"/>
      <c r="I93" s="704">
        <f t="shared" si="13"/>
        <v>0</v>
      </c>
      <c r="J93" s="704">
        <f t="shared" si="14"/>
        <v>0</v>
      </c>
      <c r="K93" s="704">
        <f t="shared" si="15"/>
        <v>0</v>
      </c>
      <c r="L93" s="698" t="str">
        <f t="shared" si="16"/>
        <v/>
      </c>
      <c r="M93" s="698" t="str">
        <f t="shared" si="17"/>
        <v/>
      </c>
      <c r="N93" s="698" t="str">
        <f t="shared" si="18"/>
        <v/>
      </c>
      <c r="O93" s="153"/>
      <c r="P93" s="153" t="s">
        <v>2245</v>
      </c>
      <c r="Q93" s="153"/>
      <c r="R93" s="153"/>
      <c r="S93" s="153"/>
      <c r="T93" s="147"/>
      <c r="U93" s="147" t="s">
        <v>2340</v>
      </c>
      <c r="V93" s="147"/>
      <c r="W93" s="147"/>
      <c r="X93" s="147"/>
      <c r="Y93" s="148"/>
      <c r="Z93" s="138"/>
      <c r="AA93" s="695" t="s">
        <v>2341</v>
      </c>
      <c r="AB93" s="138"/>
      <c r="AC93" s="138"/>
      <c r="AD93" s="138"/>
    </row>
    <row r="94" spans="1:30" ht="45" customHeight="1">
      <c r="A94" s="697"/>
      <c r="B94" s="699">
        <v>77</v>
      </c>
      <c r="C94" s="147"/>
      <c r="D94" s="152" t="s">
        <v>2336</v>
      </c>
      <c r="E94" s="147"/>
      <c r="F94" s="147"/>
      <c r="G94" s="147"/>
      <c r="H94" s="154"/>
      <c r="I94" s="704">
        <f t="shared" si="13"/>
        <v>0</v>
      </c>
      <c r="J94" s="704">
        <f t="shared" si="14"/>
        <v>0</v>
      </c>
      <c r="K94" s="704">
        <f t="shared" si="15"/>
        <v>0</v>
      </c>
      <c r="L94" s="698" t="str">
        <f t="shared" si="16"/>
        <v/>
      </c>
      <c r="M94" s="698" t="str">
        <f t="shared" si="17"/>
        <v/>
      </c>
      <c r="N94" s="698" t="str">
        <f t="shared" si="18"/>
        <v/>
      </c>
      <c r="O94" s="153"/>
      <c r="P94" s="153" t="s">
        <v>1127</v>
      </c>
      <c r="Q94" s="153"/>
      <c r="R94" s="153"/>
      <c r="S94" s="153"/>
      <c r="T94" s="147"/>
      <c r="U94" s="147" t="s">
        <v>2342</v>
      </c>
      <c r="V94" s="147"/>
      <c r="W94" s="147"/>
      <c r="X94" s="147"/>
      <c r="Y94" s="148"/>
      <c r="Z94" s="138"/>
      <c r="AA94" s="695" t="s">
        <v>2343</v>
      </c>
      <c r="AB94" s="138"/>
      <c r="AC94" s="138"/>
      <c r="AD94" s="138"/>
    </row>
    <row r="95" spans="1:30" ht="99" customHeight="1">
      <c r="A95" s="697"/>
      <c r="B95" s="699">
        <v>78</v>
      </c>
      <c r="C95" s="147" t="s">
        <v>2344</v>
      </c>
      <c r="D95" s="152"/>
      <c r="E95" s="147"/>
      <c r="F95" s="147"/>
      <c r="G95" s="147"/>
      <c r="H95" s="154"/>
      <c r="I95" s="704">
        <f t="shared" si="13"/>
        <v>0</v>
      </c>
      <c r="J95" s="704">
        <f t="shared" si="14"/>
        <v>0</v>
      </c>
      <c r="K95" s="704">
        <f t="shared" si="15"/>
        <v>0</v>
      </c>
      <c r="L95" s="698" t="str">
        <f t="shared" si="16"/>
        <v/>
      </c>
      <c r="M95" s="698" t="str">
        <f t="shared" si="17"/>
        <v/>
      </c>
      <c r="N95" s="698" t="str">
        <f t="shared" si="18"/>
        <v/>
      </c>
      <c r="O95" s="153" t="s">
        <v>1127</v>
      </c>
      <c r="P95" s="153"/>
      <c r="Q95" s="153"/>
      <c r="R95" s="153"/>
      <c r="S95" s="153"/>
      <c r="T95" s="147" t="s">
        <v>2345</v>
      </c>
      <c r="U95" s="147"/>
      <c r="V95" s="147"/>
      <c r="W95" s="147"/>
      <c r="X95" s="147"/>
      <c r="Y95" s="148"/>
      <c r="Z95" s="138"/>
      <c r="AA95" s="695"/>
      <c r="AB95" s="138"/>
      <c r="AC95" s="138"/>
      <c r="AD95" s="138"/>
    </row>
    <row r="96" spans="1:30" ht="99" customHeight="1">
      <c r="A96" s="697"/>
      <c r="B96" s="699">
        <v>79</v>
      </c>
      <c r="C96" s="147" t="s">
        <v>1341</v>
      </c>
      <c r="D96" s="152"/>
      <c r="E96" s="147"/>
      <c r="F96" s="147"/>
      <c r="G96" s="147"/>
      <c r="H96" s="154"/>
      <c r="I96" s="704">
        <f t="shared" si="13"/>
        <v>0</v>
      </c>
      <c r="J96" s="704">
        <f t="shared" si="14"/>
        <v>0</v>
      </c>
      <c r="K96" s="704">
        <f t="shared" si="15"/>
        <v>0</v>
      </c>
      <c r="L96" s="698" t="str">
        <f t="shared" si="16"/>
        <v/>
      </c>
      <c r="M96" s="698" t="str">
        <f t="shared" si="17"/>
        <v/>
      </c>
      <c r="N96" s="698" t="str">
        <f t="shared" si="18"/>
        <v/>
      </c>
      <c r="O96" s="153" t="s">
        <v>1129</v>
      </c>
      <c r="P96" s="153"/>
      <c r="Q96" s="153"/>
      <c r="R96" s="153"/>
      <c r="S96" s="153"/>
      <c r="T96" s="147" t="s">
        <v>2346</v>
      </c>
      <c r="U96" s="147"/>
      <c r="V96" s="147"/>
      <c r="W96" s="147"/>
      <c r="X96" s="147"/>
      <c r="Y96" s="148"/>
      <c r="Z96" s="138" t="s">
        <v>2347</v>
      </c>
      <c r="AA96" s="695"/>
      <c r="AB96" s="138"/>
      <c r="AC96" s="138"/>
      <c r="AD96" s="138"/>
    </row>
    <row r="97" spans="1:30" ht="63" customHeight="1">
      <c r="A97" s="697"/>
      <c r="B97" s="699">
        <v>80</v>
      </c>
      <c r="C97" s="147" t="s">
        <v>2348</v>
      </c>
      <c r="D97" s="152"/>
      <c r="E97" s="147"/>
      <c r="F97" s="147"/>
      <c r="G97" s="147"/>
      <c r="H97" s="154"/>
      <c r="I97" s="704">
        <f t="shared" si="13"/>
        <v>0</v>
      </c>
      <c r="J97" s="704">
        <f t="shared" si="14"/>
        <v>0</v>
      </c>
      <c r="K97" s="704">
        <f t="shared" si="15"/>
        <v>0</v>
      </c>
      <c r="L97" s="698" t="str">
        <f t="shared" si="16"/>
        <v/>
      </c>
      <c r="M97" s="698" t="str">
        <f t="shared" si="17"/>
        <v/>
      </c>
      <c r="N97" s="698" t="str">
        <f t="shared" si="18"/>
        <v/>
      </c>
      <c r="O97" s="153" t="s">
        <v>1131</v>
      </c>
      <c r="P97" s="153"/>
      <c r="Q97" s="153"/>
      <c r="R97" s="153"/>
      <c r="S97" s="153"/>
      <c r="T97" s="147" t="s">
        <v>2349</v>
      </c>
      <c r="U97" s="147"/>
      <c r="V97" s="147"/>
      <c r="W97" s="147"/>
      <c r="X97" s="147"/>
      <c r="Y97" s="148"/>
      <c r="Z97" s="138" t="s">
        <v>2350</v>
      </c>
      <c r="AA97" s="695"/>
      <c r="AB97" s="138"/>
      <c r="AC97" s="138"/>
      <c r="AD97" s="138"/>
    </row>
    <row r="98" spans="1:30" ht="63" customHeight="1">
      <c r="A98" s="697"/>
      <c r="B98" s="699">
        <v>81</v>
      </c>
      <c r="C98" s="147" t="s">
        <v>2351</v>
      </c>
      <c r="D98" s="152"/>
      <c r="E98" s="147"/>
      <c r="F98" s="147"/>
      <c r="G98" s="147"/>
      <c r="H98" s="154"/>
      <c r="I98" s="704">
        <f t="shared" si="13"/>
        <v>0</v>
      </c>
      <c r="J98" s="704">
        <f t="shared" si="14"/>
        <v>0</v>
      </c>
      <c r="K98" s="704">
        <f t="shared" si="15"/>
        <v>0</v>
      </c>
      <c r="L98" s="698" t="str">
        <f t="shared" si="16"/>
        <v/>
      </c>
      <c r="M98" s="698" t="str">
        <f t="shared" si="17"/>
        <v/>
      </c>
      <c r="N98" s="698" t="str">
        <f t="shared" si="18"/>
        <v/>
      </c>
      <c r="O98" s="153" t="s">
        <v>1132</v>
      </c>
      <c r="P98" s="153"/>
      <c r="Q98" s="153"/>
      <c r="R98" s="153"/>
      <c r="S98" s="153"/>
      <c r="T98" s="147" t="s">
        <v>2352</v>
      </c>
      <c r="U98" s="147"/>
      <c r="V98" s="147"/>
      <c r="W98" s="147"/>
      <c r="X98" s="147"/>
      <c r="Y98" s="148"/>
      <c r="Z98" s="138" t="s">
        <v>2350</v>
      </c>
      <c r="AA98" s="695"/>
      <c r="AB98" s="138"/>
      <c r="AC98" s="138"/>
      <c r="AD98" s="138"/>
    </row>
    <row r="99" spans="1:30" ht="90" customHeight="1">
      <c r="A99" s="697"/>
      <c r="B99" s="699">
        <v>82</v>
      </c>
      <c r="C99" s="147" t="s">
        <v>2353</v>
      </c>
      <c r="D99" s="152"/>
      <c r="E99" s="147"/>
      <c r="F99" s="147"/>
      <c r="G99" s="147"/>
      <c r="H99" s="154"/>
      <c r="I99" s="704">
        <f t="shared" si="13"/>
        <v>0</v>
      </c>
      <c r="J99" s="704">
        <f t="shared" si="14"/>
        <v>0</v>
      </c>
      <c r="K99" s="704">
        <f t="shared" si="15"/>
        <v>0</v>
      </c>
      <c r="L99" s="698" t="str">
        <f t="shared" si="16"/>
        <v/>
      </c>
      <c r="M99" s="698" t="str">
        <f t="shared" si="17"/>
        <v/>
      </c>
      <c r="N99" s="698" t="str">
        <f t="shared" si="18"/>
        <v/>
      </c>
      <c r="O99" s="153" t="s">
        <v>1134</v>
      </c>
      <c r="P99" s="153"/>
      <c r="Q99" s="153"/>
      <c r="R99" s="153"/>
      <c r="S99" s="153"/>
      <c r="T99" s="147" t="s">
        <v>2354</v>
      </c>
      <c r="U99" s="147"/>
      <c r="V99" s="147"/>
      <c r="W99" s="147"/>
      <c r="X99" s="147"/>
      <c r="Y99" s="148"/>
      <c r="Z99" s="138" t="s">
        <v>648</v>
      </c>
      <c r="AA99" s="695"/>
      <c r="AB99" s="138"/>
      <c r="AC99" s="138"/>
      <c r="AD99" s="138"/>
    </row>
    <row r="100" spans="1:30" ht="27" customHeight="1">
      <c r="A100" s="697"/>
      <c r="B100" s="699">
        <v>83</v>
      </c>
      <c r="C100" s="147"/>
      <c r="D100" s="152"/>
      <c r="E100" s="147"/>
      <c r="F100" s="147"/>
      <c r="G100" s="147"/>
      <c r="H100" s="154"/>
      <c r="I100" s="704">
        <f t="shared" si="13"/>
        <v>0</v>
      </c>
      <c r="J100" s="704">
        <f t="shared" si="14"/>
        <v>0</v>
      </c>
      <c r="K100" s="704">
        <f t="shared" si="15"/>
        <v>0</v>
      </c>
      <c r="L100" s="698" t="str">
        <f t="shared" si="16"/>
        <v/>
      </c>
      <c r="M100" s="698" t="str">
        <f t="shared" si="17"/>
        <v/>
      </c>
      <c r="N100" s="698" t="str">
        <f t="shared" si="18"/>
        <v/>
      </c>
      <c r="O100" s="153" t="s">
        <v>2355</v>
      </c>
      <c r="P100" s="153"/>
      <c r="Q100" s="153"/>
      <c r="R100" s="153"/>
      <c r="S100" s="153"/>
      <c r="T100" s="147" t="s">
        <v>2356</v>
      </c>
      <c r="U100" s="147"/>
      <c r="V100" s="147"/>
      <c r="W100" s="147"/>
      <c r="X100" s="147"/>
      <c r="Y100" s="148"/>
      <c r="Z100" s="138" t="s">
        <v>648</v>
      </c>
      <c r="AA100" s="695"/>
      <c r="AB100" s="138"/>
      <c r="AC100" s="138"/>
      <c r="AD100" s="138"/>
    </row>
    <row r="101" spans="1:30" ht="27" customHeight="1">
      <c r="A101" s="697"/>
      <c r="B101" s="699">
        <v>84</v>
      </c>
      <c r="C101" s="147"/>
      <c r="D101" s="152"/>
      <c r="E101" s="147"/>
      <c r="F101" s="147"/>
      <c r="G101" s="147"/>
      <c r="H101" s="154"/>
      <c r="I101" s="704">
        <f t="shared" si="13"/>
        <v>0</v>
      </c>
      <c r="J101" s="704">
        <f t="shared" si="14"/>
        <v>0</v>
      </c>
      <c r="K101" s="704">
        <f t="shared" si="15"/>
        <v>0</v>
      </c>
      <c r="L101" s="698" t="str">
        <f t="shared" si="16"/>
        <v/>
      </c>
      <c r="M101" s="698" t="str">
        <f t="shared" si="17"/>
        <v/>
      </c>
      <c r="N101" s="698" t="str">
        <f t="shared" si="18"/>
        <v/>
      </c>
      <c r="O101" s="153" t="s">
        <v>2357</v>
      </c>
      <c r="P101" s="153"/>
      <c r="Q101" s="153"/>
      <c r="R101" s="153"/>
      <c r="S101" s="153"/>
      <c r="T101" s="147" t="s">
        <v>2358</v>
      </c>
      <c r="U101" s="147"/>
      <c r="V101" s="147"/>
      <c r="W101" s="147"/>
      <c r="X101" s="147"/>
      <c r="Y101" s="148"/>
      <c r="Z101" s="138" t="s">
        <v>648</v>
      </c>
      <c r="AA101" s="695"/>
      <c r="AB101" s="138"/>
      <c r="AC101" s="138"/>
      <c r="AD101" s="138"/>
    </row>
    <row r="102" spans="1:30" ht="9" customHeight="1">
      <c r="A102" s="697"/>
      <c r="B102" s="697"/>
      <c r="C102" s="147"/>
      <c r="D102" s="147"/>
      <c r="E102" s="147"/>
      <c r="F102" s="147"/>
      <c r="G102" s="147"/>
      <c r="H102" s="154"/>
      <c r="I102" s="154"/>
      <c r="J102" s="154"/>
      <c r="K102" s="154"/>
      <c r="L102" s="154"/>
      <c r="M102" s="147"/>
      <c r="N102" s="156"/>
      <c r="O102" s="153"/>
      <c r="P102" s="153"/>
      <c r="Q102" s="153"/>
      <c r="R102" s="153"/>
      <c r="S102" s="147"/>
      <c r="T102" s="147"/>
      <c r="U102" s="147"/>
      <c r="V102" s="147"/>
      <c r="W102" s="147"/>
      <c r="X102" s="147"/>
      <c r="Y102" s="148"/>
      <c r="Z102" s="138"/>
      <c r="AA102" s="695"/>
      <c r="AB102" s="138"/>
      <c r="AC102" s="138"/>
      <c r="AD102" s="138"/>
    </row>
    <row r="103" spans="1:30" ht="9" customHeight="1">
      <c r="A103" s="697"/>
      <c r="B103" s="697"/>
      <c r="C103" s="147"/>
      <c r="D103" s="147"/>
      <c r="E103" s="147"/>
      <c r="F103" s="147"/>
      <c r="G103" s="147"/>
      <c r="H103" s="154"/>
      <c r="I103" s="154"/>
      <c r="J103" s="154"/>
      <c r="K103" s="154"/>
      <c r="L103" s="154"/>
      <c r="M103" s="147"/>
      <c r="N103" s="156"/>
      <c r="O103" s="153"/>
      <c r="P103" s="153"/>
      <c r="Q103" s="153"/>
      <c r="R103" s="153"/>
      <c r="S103" s="147"/>
      <c r="T103" s="147"/>
      <c r="U103" s="147"/>
      <c r="V103" s="147"/>
      <c r="W103" s="147"/>
      <c r="X103" s="147"/>
      <c r="Y103" s="148"/>
      <c r="Z103" s="138"/>
      <c r="AA103" s="695"/>
      <c r="AB103" s="138"/>
      <c r="AC103" s="138"/>
      <c r="AD103" s="138"/>
    </row>
    <row r="104" spans="1:30" ht="9" customHeight="1">
      <c r="A104" s="697"/>
      <c r="B104" s="697"/>
      <c r="C104" s="147"/>
      <c r="D104" s="147"/>
      <c r="E104" s="147"/>
      <c r="F104" s="147"/>
      <c r="G104" s="147"/>
      <c r="H104" s="154"/>
      <c r="I104" s="154"/>
      <c r="J104" s="154"/>
      <c r="K104" s="154"/>
      <c r="L104" s="154"/>
      <c r="M104" s="147"/>
      <c r="N104" s="156"/>
      <c r="O104" s="153"/>
      <c r="P104" s="153"/>
      <c r="Q104" s="153"/>
      <c r="R104" s="153"/>
      <c r="S104" s="147"/>
      <c r="T104" s="147"/>
      <c r="U104" s="147"/>
      <c r="V104" s="147"/>
      <c r="W104" s="147"/>
      <c r="X104" s="147"/>
      <c r="Y104" s="148"/>
      <c r="Z104" s="138"/>
      <c r="AA104" s="695"/>
      <c r="AB104" s="138"/>
      <c r="AC104" s="138"/>
      <c r="AD104" s="138"/>
    </row>
    <row r="105" spans="1:30" ht="9" customHeight="1">
      <c r="A105" s="697"/>
      <c r="B105" s="697"/>
      <c r="C105" s="147"/>
      <c r="D105" s="147"/>
      <c r="E105" s="147"/>
      <c r="F105" s="147"/>
      <c r="G105" s="147"/>
      <c r="H105" s="154"/>
      <c r="I105" s="154"/>
      <c r="J105" s="154"/>
      <c r="K105" s="154"/>
      <c r="L105" s="154"/>
      <c r="M105" s="147"/>
      <c r="N105" s="156"/>
      <c r="O105" s="153"/>
      <c r="P105" s="153"/>
      <c r="Q105" s="153"/>
      <c r="R105" s="153"/>
      <c r="S105" s="147"/>
      <c r="T105" s="147"/>
      <c r="U105" s="147"/>
      <c r="V105" s="147"/>
      <c r="W105" s="147"/>
      <c r="X105" s="147"/>
      <c r="Y105" s="148"/>
      <c r="Z105" s="138"/>
      <c r="AA105" s="695"/>
      <c r="AB105" s="138"/>
      <c r="AC105" s="138"/>
      <c r="AD105" s="138"/>
    </row>
    <row r="106" spans="1:30" ht="9" customHeight="1">
      <c r="A106" s="697"/>
      <c r="B106" s="697"/>
      <c r="C106" s="147"/>
      <c r="D106" s="147"/>
      <c r="E106" s="147"/>
      <c r="F106" s="147"/>
      <c r="G106" s="147"/>
      <c r="H106" s="154"/>
      <c r="I106" s="154"/>
      <c r="J106" s="154"/>
      <c r="K106" s="154"/>
      <c r="L106" s="154"/>
      <c r="M106" s="147"/>
      <c r="N106" s="156"/>
      <c r="O106" s="153"/>
      <c r="P106" s="153"/>
      <c r="Q106" s="153"/>
      <c r="R106" s="153"/>
      <c r="S106" s="147"/>
      <c r="T106" s="147"/>
      <c r="U106" s="147"/>
      <c r="V106" s="147"/>
      <c r="W106" s="147"/>
      <c r="X106" s="147"/>
      <c r="Y106" s="148"/>
      <c r="Z106" s="138"/>
      <c r="AA106" s="695"/>
      <c r="AB106" s="138"/>
      <c r="AC106" s="138"/>
      <c r="AD106" s="138"/>
    </row>
    <row r="107" spans="1:30" ht="9" customHeight="1">
      <c r="A107" s="697"/>
      <c r="B107" s="697"/>
      <c r="C107" s="147"/>
      <c r="D107" s="147"/>
      <c r="E107" s="147"/>
      <c r="F107" s="147"/>
      <c r="G107" s="147"/>
      <c r="H107" s="154"/>
      <c r="I107" s="154"/>
      <c r="J107" s="154"/>
      <c r="K107" s="154"/>
      <c r="L107" s="154"/>
      <c r="M107" s="147"/>
      <c r="N107" s="156"/>
      <c r="O107" s="153"/>
      <c r="P107" s="153"/>
      <c r="Q107" s="153"/>
      <c r="R107" s="153"/>
      <c r="S107" s="147"/>
      <c r="T107" s="147"/>
      <c r="U107" s="147"/>
      <c r="V107" s="147"/>
      <c r="W107" s="147"/>
      <c r="X107" s="147"/>
      <c r="Y107" s="148"/>
      <c r="Z107" s="138"/>
      <c r="AA107" s="695"/>
      <c r="AB107" s="138"/>
      <c r="AC107" s="138"/>
      <c r="AD107" s="138"/>
    </row>
    <row r="108" spans="1:30" ht="9" customHeight="1">
      <c r="A108" s="697"/>
      <c r="B108" s="697"/>
      <c r="C108" s="147"/>
      <c r="D108" s="147"/>
      <c r="E108" s="147"/>
      <c r="F108" s="147"/>
      <c r="G108" s="147"/>
      <c r="H108" s="154"/>
      <c r="I108" s="154"/>
      <c r="J108" s="154"/>
      <c r="K108" s="154"/>
      <c r="L108" s="154"/>
      <c r="M108" s="147"/>
      <c r="N108" s="156"/>
      <c r="O108" s="153"/>
      <c r="P108" s="153"/>
      <c r="Q108" s="153"/>
      <c r="R108" s="153"/>
      <c r="S108" s="147"/>
      <c r="T108" s="147"/>
      <c r="U108" s="147"/>
      <c r="V108" s="147"/>
      <c r="W108" s="147"/>
      <c r="X108" s="147"/>
      <c r="Y108" s="148"/>
      <c r="Z108" s="138"/>
      <c r="AA108" s="695"/>
      <c r="AB108" s="138"/>
      <c r="AC108" s="138"/>
      <c r="AD108" s="138"/>
    </row>
    <row r="109" spans="1:30" ht="9" customHeight="1">
      <c r="A109" s="697"/>
      <c r="B109" s="697"/>
      <c r="C109" s="147"/>
      <c r="D109" s="147"/>
      <c r="E109" s="147"/>
      <c r="F109" s="147"/>
      <c r="G109" s="147"/>
      <c r="H109" s="154"/>
      <c r="I109" s="154"/>
      <c r="J109" s="154"/>
      <c r="K109" s="154"/>
      <c r="L109" s="154"/>
      <c r="M109" s="147"/>
      <c r="N109" s="156"/>
      <c r="O109" s="153"/>
      <c r="P109" s="153"/>
      <c r="Q109" s="153"/>
      <c r="R109" s="153"/>
      <c r="S109" s="147"/>
      <c r="T109" s="147"/>
      <c r="U109" s="147"/>
      <c r="V109" s="147"/>
      <c r="W109" s="147"/>
      <c r="X109" s="147"/>
      <c r="Y109" s="148"/>
      <c r="Z109" s="138"/>
      <c r="AA109" s="695"/>
      <c r="AB109" s="138"/>
      <c r="AC109" s="138"/>
      <c r="AD109" s="138"/>
    </row>
    <row r="110" spans="1:30" ht="9" customHeight="1">
      <c r="A110" s="697"/>
      <c r="B110" s="697"/>
      <c r="C110" s="147"/>
      <c r="D110" s="147"/>
      <c r="E110" s="147"/>
      <c r="F110" s="147"/>
      <c r="G110" s="147"/>
      <c r="H110" s="154"/>
      <c r="I110" s="154"/>
      <c r="J110" s="154"/>
      <c r="K110" s="154"/>
      <c r="L110" s="154"/>
      <c r="M110" s="147"/>
      <c r="N110" s="156"/>
      <c r="O110" s="153"/>
      <c r="P110" s="153"/>
      <c r="Q110" s="153"/>
      <c r="R110" s="153"/>
      <c r="S110" s="147"/>
      <c r="T110" s="147"/>
      <c r="U110" s="147"/>
      <c r="V110" s="147"/>
      <c r="W110" s="147"/>
      <c r="X110" s="147"/>
      <c r="Y110" s="148"/>
      <c r="Z110" s="138"/>
      <c r="AA110" s="695"/>
      <c r="AB110" s="138"/>
      <c r="AC110" s="138"/>
      <c r="AD110" s="138"/>
    </row>
    <row r="111" spans="1:30" ht="9" customHeight="1">
      <c r="A111" s="697"/>
      <c r="B111" s="697"/>
      <c r="C111" s="147"/>
      <c r="D111" s="147"/>
      <c r="E111" s="147"/>
      <c r="F111" s="147"/>
      <c r="G111" s="147"/>
      <c r="H111" s="154"/>
      <c r="I111" s="154"/>
      <c r="J111" s="154"/>
      <c r="K111" s="154"/>
      <c r="L111" s="154"/>
      <c r="M111" s="147"/>
      <c r="N111" s="156"/>
      <c r="O111" s="153"/>
      <c r="P111" s="153"/>
      <c r="Q111" s="153"/>
      <c r="R111" s="153"/>
      <c r="S111" s="147"/>
      <c r="T111" s="147"/>
      <c r="U111" s="147"/>
      <c r="V111" s="147"/>
      <c r="W111" s="147"/>
      <c r="X111" s="147"/>
      <c r="Y111" s="148"/>
      <c r="Z111" s="138"/>
      <c r="AA111" s="695"/>
      <c r="AB111" s="138"/>
      <c r="AC111" s="138"/>
      <c r="AD111" s="138"/>
    </row>
    <row r="112" spans="1:30" ht="9" customHeight="1">
      <c r="A112" s="697"/>
      <c r="B112" s="697"/>
      <c r="C112" s="147"/>
      <c r="D112" s="147"/>
      <c r="E112" s="147"/>
      <c r="F112" s="147"/>
      <c r="G112" s="147"/>
      <c r="H112" s="154"/>
      <c r="I112" s="154"/>
      <c r="J112" s="154"/>
      <c r="K112" s="154"/>
      <c r="L112" s="154"/>
      <c r="M112" s="147"/>
      <c r="N112" s="156"/>
      <c r="O112" s="153"/>
      <c r="P112" s="153"/>
      <c r="Q112" s="153"/>
      <c r="R112" s="153"/>
      <c r="S112" s="147"/>
      <c r="T112" s="147"/>
      <c r="U112" s="147"/>
      <c r="V112" s="147"/>
      <c r="W112" s="147"/>
      <c r="X112" s="147"/>
      <c r="Y112" s="148"/>
      <c r="Z112" s="138"/>
      <c r="AA112" s="695"/>
      <c r="AB112" s="138"/>
      <c r="AC112" s="138"/>
      <c r="AD112" s="138"/>
    </row>
    <row r="113" spans="1:30" ht="9" customHeight="1">
      <c r="A113" s="697"/>
      <c r="B113" s="697"/>
      <c r="C113" s="147"/>
      <c r="D113" s="147"/>
      <c r="E113" s="147"/>
      <c r="F113" s="147"/>
      <c r="G113" s="147"/>
      <c r="H113" s="154"/>
      <c r="I113" s="154"/>
      <c r="J113" s="154"/>
      <c r="K113" s="154"/>
      <c r="L113" s="154"/>
      <c r="M113" s="147"/>
      <c r="N113" s="156"/>
      <c r="O113" s="153"/>
      <c r="P113" s="153"/>
      <c r="Q113" s="153"/>
      <c r="R113" s="153"/>
      <c r="S113" s="147"/>
      <c r="T113" s="147"/>
      <c r="U113" s="147"/>
      <c r="V113" s="147"/>
      <c r="W113" s="147"/>
      <c r="X113" s="147"/>
      <c r="Y113" s="148"/>
      <c r="Z113" s="138"/>
      <c r="AA113" s="695"/>
      <c r="AB113" s="138"/>
      <c r="AC113" s="138"/>
      <c r="AD113" s="138"/>
    </row>
    <row r="114" spans="1:30" ht="9" customHeight="1">
      <c r="A114" s="697"/>
      <c r="B114" s="697"/>
      <c r="C114" s="147"/>
      <c r="D114" s="147"/>
      <c r="E114" s="147"/>
      <c r="F114" s="147"/>
      <c r="G114" s="147"/>
      <c r="H114" s="154"/>
      <c r="I114" s="154"/>
      <c r="J114" s="154"/>
      <c r="K114" s="154"/>
      <c r="L114" s="154"/>
      <c r="M114" s="147"/>
      <c r="N114" s="156"/>
      <c r="O114" s="153"/>
      <c r="P114" s="153"/>
      <c r="Q114" s="153"/>
      <c r="R114" s="153"/>
      <c r="S114" s="147"/>
      <c r="T114" s="147"/>
      <c r="U114" s="147"/>
      <c r="V114" s="147"/>
      <c r="W114" s="147"/>
      <c r="X114" s="147"/>
      <c r="Y114" s="148"/>
      <c r="Z114" s="138"/>
      <c r="AA114" s="695"/>
      <c r="AB114" s="138"/>
      <c r="AC114" s="138"/>
      <c r="AD114" s="138"/>
    </row>
    <row r="115" spans="1:30" ht="9" customHeight="1">
      <c r="A115" s="697"/>
      <c r="B115" s="697"/>
      <c r="C115" s="147"/>
      <c r="D115" s="147"/>
      <c r="E115" s="147"/>
      <c r="F115" s="147"/>
      <c r="G115" s="147"/>
      <c r="H115" s="154"/>
      <c r="I115" s="154"/>
      <c r="J115" s="154"/>
      <c r="K115" s="154"/>
      <c r="L115" s="154"/>
      <c r="M115" s="147"/>
      <c r="N115" s="156"/>
      <c r="O115" s="153"/>
      <c r="P115" s="153"/>
      <c r="Q115" s="153"/>
      <c r="R115" s="153"/>
      <c r="S115" s="147"/>
      <c r="T115" s="147"/>
      <c r="U115" s="147"/>
      <c r="V115" s="147"/>
      <c r="W115" s="147"/>
      <c r="X115" s="147"/>
      <c r="Y115" s="148"/>
      <c r="Z115" s="138"/>
      <c r="AA115" s="695"/>
      <c r="AB115" s="138"/>
      <c r="AC115" s="138"/>
      <c r="AD115" s="138"/>
    </row>
    <row r="116" spans="1:30" ht="9" customHeight="1">
      <c r="A116" s="697"/>
      <c r="B116" s="697"/>
      <c r="C116" s="147"/>
      <c r="D116" s="147"/>
      <c r="E116" s="147"/>
      <c r="F116" s="147"/>
      <c r="G116" s="147"/>
      <c r="H116" s="154"/>
      <c r="I116" s="154"/>
      <c r="J116" s="154"/>
      <c r="K116" s="154"/>
      <c r="L116" s="154"/>
      <c r="M116" s="147"/>
      <c r="N116" s="156"/>
      <c r="O116" s="153"/>
      <c r="P116" s="153"/>
      <c r="Q116" s="153"/>
      <c r="R116" s="153"/>
      <c r="S116" s="147"/>
      <c r="T116" s="147"/>
      <c r="U116" s="147"/>
      <c r="V116" s="147"/>
      <c r="W116" s="147"/>
      <c r="X116" s="147"/>
      <c r="Y116" s="148"/>
      <c r="Z116" s="138"/>
      <c r="AA116" s="695"/>
      <c r="AB116" s="138"/>
      <c r="AC116" s="138"/>
      <c r="AD116" s="138"/>
    </row>
    <row r="117" spans="1:30" ht="9" customHeight="1">
      <c r="A117" s="697"/>
      <c r="B117" s="697"/>
      <c r="C117" s="147"/>
      <c r="D117" s="147"/>
      <c r="E117" s="147"/>
      <c r="F117" s="147"/>
      <c r="G117" s="147"/>
      <c r="H117" s="154"/>
      <c r="I117" s="154"/>
      <c r="J117" s="154"/>
      <c r="K117" s="154"/>
      <c r="L117" s="154"/>
      <c r="M117" s="147"/>
      <c r="N117" s="156"/>
      <c r="O117" s="153"/>
      <c r="P117" s="153"/>
      <c r="Q117" s="153"/>
      <c r="R117" s="153"/>
      <c r="S117" s="147"/>
      <c r="T117" s="147"/>
      <c r="U117" s="147"/>
      <c r="V117" s="147"/>
      <c r="W117" s="147"/>
      <c r="X117" s="147"/>
      <c r="Y117" s="148"/>
      <c r="Z117" s="138"/>
      <c r="AA117" s="695"/>
      <c r="AB117" s="138"/>
      <c r="AC117" s="138"/>
      <c r="AD117" s="138"/>
    </row>
    <row r="118" spans="1:30" ht="9" customHeight="1">
      <c r="A118" s="697"/>
      <c r="B118" s="697"/>
      <c r="C118" s="147"/>
      <c r="D118" s="147"/>
      <c r="E118" s="147"/>
      <c r="F118" s="147"/>
      <c r="G118" s="147"/>
      <c r="H118" s="154"/>
      <c r="I118" s="154"/>
      <c r="J118" s="154"/>
      <c r="K118" s="154"/>
      <c r="L118" s="154"/>
      <c r="M118" s="147"/>
      <c r="N118" s="156"/>
      <c r="O118" s="153"/>
      <c r="P118" s="153"/>
      <c r="Q118" s="153"/>
      <c r="R118" s="153"/>
      <c r="S118" s="147"/>
      <c r="T118" s="147"/>
      <c r="U118" s="147"/>
      <c r="V118" s="147"/>
      <c r="W118" s="147"/>
      <c r="X118" s="147"/>
      <c r="Y118" s="148"/>
      <c r="Z118" s="138"/>
      <c r="AA118" s="695"/>
      <c r="AB118" s="138"/>
      <c r="AC118" s="138"/>
      <c r="AD118" s="138"/>
    </row>
    <row r="119" spans="1:30" ht="9" customHeight="1">
      <c r="A119" s="697"/>
      <c r="B119" s="697"/>
      <c r="C119" s="147"/>
      <c r="D119" s="147"/>
      <c r="E119" s="147"/>
      <c r="F119" s="147"/>
      <c r="G119" s="147"/>
      <c r="H119" s="154"/>
      <c r="I119" s="154"/>
      <c r="J119" s="154"/>
      <c r="K119" s="154"/>
      <c r="L119" s="154"/>
      <c r="M119" s="147"/>
      <c r="N119" s="156"/>
      <c r="O119" s="153"/>
      <c r="P119" s="153"/>
      <c r="Q119" s="153"/>
      <c r="R119" s="153"/>
      <c r="S119" s="147"/>
      <c r="T119" s="147"/>
      <c r="U119" s="147"/>
      <c r="V119" s="147"/>
      <c r="W119" s="147"/>
      <c r="X119" s="147"/>
      <c r="Y119" s="148"/>
      <c r="Z119" s="138"/>
      <c r="AA119" s="695"/>
      <c r="AB119" s="138"/>
      <c r="AC119" s="138"/>
      <c r="AD119" s="138"/>
    </row>
    <row r="120" spans="1:30" ht="9" customHeight="1">
      <c r="A120" s="697"/>
      <c r="B120" s="697"/>
      <c r="C120" s="147"/>
      <c r="D120" s="147"/>
      <c r="E120" s="147"/>
      <c r="F120" s="147"/>
      <c r="G120" s="147"/>
      <c r="H120" s="154"/>
      <c r="I120" s="154"/>
      <c r="J120" s="154"/>
      <c r="K120" s="154"/>
      <c r="L120" s="154"/>
      <c r="M120" s="147"/>
      <c r="N120" s="156"/>
      <c r="O120" s="153"/>
      <c r="P120" s="153"/>
      <c r="Q120" s="153"/>
      <c r="R120" s="153"/>
      <c r="S120" s="147"/>
      <c r="T120" s="147"/>
      <c r="U120" s="147"/>
      <c r="V120" s="147"/>
      <c r="W120" s="147"/>
      <c r="X120" s="147"/>
      <c r="Y120" s="148"/>
      <c r="Z120" s="138"/>
      <c r="AA120" s="695"/>
      <c r="AB120" s="138"/>
      <c r="AC120" s="138"/>
      <c r="AD120" s="138"/>
    </row>
    <row r="121" spans="1:30" ht="9" customHeight="1">
      <c r="A121" s="697"/>
      <c r="B121" s="697"/>
      <c r="C121" s="147"/>
      <c r="D121" s="147"/>
      <c r="E121" s="147"/>
      <c r="F121" s="147"/>
      <c r="G121" s="147"/>
      <c r="H121" s="154"/>
      <c r="I121" s="154"/>
      <c r="J121" s="154"/>
      <c r="K121" s="154"/>
      <c r="L121" s="154"/>
      <c r="M121" s="147"/>
      <c r="N121" s="156"/>
      <c r="O121" s="153"/>
      <c r="P121" s="153"/>
      <c r="Q121" s="153"/>
      <c r="R121" s="153"/>
      <c r="S121" s="147"/>
      <c r="T121" s="147"/>
      <c r="U121" s="147"/>
      <c r="V121" s="147"/>
      <c r="W121" s="147"/>
      <c r="X121" s="147"/>
      <c r="Y121" s="148"/>
      <c r="Z121" s="138"/>
      <c r="AA121" s="695"/>
      <c r="AB121" s="138"/>
      <c r="AC121" s="138"/>
      <c r="AD121" s="138"/>
    </row>
    <row r="122" spans="1:30" ht="9" customHeight="1">
      <c r="A122" s="697"/>
      <c r="B122" s="697"/>
      <c r="C122" s="147"/>
      <c r="D122" s="147"/>
      <c r="E122" s="147"/>
      <c r="F122" s="147"/>
      <c r="G122" s="147"/>
      <c r="H122" s="154"/>
      <c r="I122" s="154"/>
      <c r="J122" s="154"/>
      <c r="K122" s="154"/>
      <c r="L122" s="154"/>
      <c r="M122" s="147"/>
      <c r="N122" s="156"/>
      <c r="O122" s="153"/>
      <c r="P122" s="153"/>
      <c r="Q122" s="153"/>
      <c r="R122" s="153"/>
      <c r="S122" s="147"/>
      <c r="T122" s="147"/>
      <c r="U122" s="147"/>
      <c r="V122" s="147"/>
      <c r="W122" s="147"/>
      <c r="X122" s="147"/>
      <c r="Y122" s="148"/>
      <c r="Z122" s="138"/>
      <c r="AA122" s="695"/>
      <c r="AB122" s="138"/>
      <c r="AC122" s="138"/>
      <c r="AD122" s="138"/>
    </row>
    <row r="123" spans="1:30" ht="9" customHeight="1">
      <c r="A123" s="697"/>
      <c r="B123" s="697"/>
      <c r="C123" s="147"/>
      <c r="D123" s="147"/>
      <c r="E123" s="147"/>
      <c r="F123" s="147"/>
      <c r="G123" s="147"/>
      <c r="H123" s="154"/>
      <c r="I123" s="154"/>
      <c r="J123" s="154"/>
      <c r="K123" s="154"/>
      <c r="L123" s="154"/>
      <c r="M123" s="147"/>
      <c r="N123" s="156"/>
      <c r="O123" s="153"/>
      <c r="P123" s="153"/>
      <c r="Q123" s="153"/>
      <c r="R123" s="153"/>
      <c r="S123" s="147"/>
      <c r="T123" s="147"/>
      <c r="U123" s="147"/>
      <c r="V123" s="147"/>
      <c r="W123" s="147"/>
      <c r="X123" s="147"/>
      <c r="Y123" s="148"/>
      <c r="Z123" s="138"/>
      <c r="AA123" s="695"/>
      <c r="AB123" s="138"/>
      <c r="AC123" s="138"/>
      <c r="AD123" s="138"/>
    </row>
    <row r="124" spans="1:30" ht="9" customHeight="1">
      <c r="A124" s="697"/>
      <c r="B124" s="697"/>
      <c r="C124" s="147"/>
      <c r="D124" s="147"/>
      <c r="E124" s="147"/>
      <c r="F124" s="147"/>
      <c r="G124" s="147"/>
      <c r="H124" s="154"/>
      <c r="I124" s="154"/>
      <c r="J124" s="154"/>
      <c r="K124" s="154"/>
      <c r="L124" s="154"/>
      <c r="M124" s="147"/>
      <c r="N124" s="156"/>
      <c r="O124" s="153"/>
      <c r="P124" s="153"/>
      <c r="Q124" s="153"/>
      <c r="R124" s="153"/>
      <c r="S124" s="147"/>
      <c r="T124" s="147"/>
      <c r="U124" s="147"/>
      <c r="V124" s="147"/>
      <c r="W124" s="147"/>
      <c r="X124" s="147"/>
      <c r="Y124" s="148"/>
      <c r="Z124" s="138"/>
      <c r="AA124" s="695"/>
      <c r="AB124" s="138"/>
      <c r="AC124" s="138"/>
      <c r="AD124" s="138"/>
    </row>
    <row r="125" spans="1:30" ht="9" customHeight="1">
      <c r="A125" s="697"/>
      <c r="B125" s="697"/>
      <c r="C125" s="147"/>
      <c r="D125" s="147"/>
      <c r="E125" s="147"/>
      <c r="F125" s="147"/>
      <c r="G125" s="147"/>
      <c r="H125" s="154"/>
      <c r="I125" s="154"/>
      <c r="J125" s="154"/>
      <c r="K125" s="154"/>
      <c r="L125" s="154"/>
      <c r="M125" s="147"/>
      <c r="N125" s="156"/>
      <c r="O125" s="153"/>
      <c r="P125" s="153"/>
      <c r="Q125" s="153"/>
      <c r="R125" s="153"/>
      <c r="S125" s="147"/>
      <c r="T125" s="147"/>
      <c r="U125" s="147"/>
      <c r="V125" s="147"/>
      <c r="W125" s="147"/>
      <c r="X125" s="147"/>
      <c r="Y125" s="148"/>
      <c r="Z125" s="138"/>
      <c r="AA125" s="695"/>
      <c r="AB125" s="138"/>
      <c r="AC125" s="138"/>
      <c r="AD125" s="138"/>
    </row>
    <row r="126" spans="1:30" ht="9" customHeight="1">
      <c r="A126" s="697"/>
      <c r="B126" s="697"/>
      <c r="C126" s="147"/>
      <c r="D126" s="147"/>
      <c r="E126" s="147"/>
      <c r="F126" s="147"/>
      <c r="G126" s="147"/>
      <c r="H126" s="154"/>
      <c r="I126" s="154"/>
      <c r="J126" s="154"/>
      <c r="K126" s="154"/>
      <c r="L126" s="154"/>
      <c r="M126" s="147"/>
      <c r="N126" s="156"/>
      <c r="O126" s="153"/>
      <c r="P126" s="153"/>
      <c r="Q126" s="153"/>
      <c r="R126" s="153"/>
      <c r="S126" s="147"/>
      <c r="T126" s="147"/>
      <c r="U126" s="147"/>
      <c r="V126" s="147"/>
      <c r="W126" s="147"/>
      <c r="X126" s="147"/>
      <c r="Y126" s="148"/>
      <c r="Z126" s="138"/>
      <c r="AA126" s="695"/>
      <c r="AB126" s="138"/>
      <c r="AC126" s="138"/>
      <c r="AD126" s="138"/>
    </row>
    <row r="127" spans="1:30" ht="9" customHeight="1">
      <c r="A127" s="697"/>
      <c r="B127" s="697"/>
      <c r="C127" s="147"/>
      <c r="D127" s="147"/>
      <c r="E127" s="147"/>
      <c r="F127" s="147"/>
      <c r="G127" s="147"/>
      <c r="H127" s="154"/>
      <c r="I127" s="154"/>
      <c r="J127" s="154"/>
      <c r="K127" s="154"/>
      <c r="L127" s="154"/>
      <c r="M127" s="147"/>
      <c r="N127" s="156"/>
      <c r="O127" s="153"/>
      <c r="P127" s="153"/>
      <c r="Q127" s="153"/>
      <c r="R127" s="153"/>
      <c r="S127" s="147"/>
      <c r="T127" s="147"/>
      <c r="U127" s="147"/>
      <c r="V127" s="147"/>
      <c r="W127" s="147"/>
      <c r="X127" s="147"/>
      <c r="Y127" s="148"/>
      <c r="Z127" s="138"/>
      <c r="AA127" s="695"/>
      <c r="AB127" s="138"/>
      <c r="AC127" s="138"/>
      <c r="AD127" s="138"/>
    </row>
    <row r="128" spans="1:30" ht="9" customHeight="1">
      <c r="A128" s="697"/>
      <c r="B128" s="697"/>
      <c r="C128" s="147"/>
      <c r="D128" s="147"/>
      <c r="E128" s="147"/>
      <c r="F128" s="147"/>
      <c r="G128" s="147"/>
      <c r="H128" s="154"/>
      <c r="I128" s="154"/>
      <c r="J128" s="154"/>
      <c r="K128" s="154"/>
      <c r="L128" s="154"/>
      <c r="M128" s="147"/>
      <c r="N128" s="156"/>
      <c r="O128" s="153"/>
      <c r="P128" s="153"/>
      <c r="Q128" s="153"/>
      <c r="R128" s="153"/>
      <c r="S128" s="147"/>
      <c r="T128" s="147"/>
      <c r="U128" s="147"/>
      <c r="V128" s="147"/>
      <c r="W128" s="147"/>
      <c r="X128" s="147"/>
      <c r="Y128" s="148"/>
      <c r="Z128" s="138"/>
      <c r="AA128" s="695"/>
      <c r="AB128" s="138"/>
      <c r="AC128" s="138"/>
      <c r="AD128" s="138"/>
    </row>
    <row r="129" spans="1:30" ht="9" customHeight="1">
      <c r="A129" s="697"/>
      <c r="B129" s="697"/>
      <c r="C129" s="147"/>
      <c r="D129" s="147"/>
      <c r="E129" s="147"/>
      <c r="F129" s="147"/>
      <c r="G129" s="147"/>
      <c r="H129" s="154"/>
      <c r="I129" s="154"/>
      <c r="J129" s="154"/>
      <c r="K129" s="154"/>
      <c r="L129" s="154"/>
      <c r="M129" s="147"/>
      <c r="N129" s="156"/>
      <c r="O129" s="153"/>
      <c r="P129" s="153"/>
      <c r="Q129" s="153"/>
      <c r="R129" s="153"/>
      <c r="S129" s="147"/>
      <c r="T129" s="147"/>
      <c r="U129" s="147"/>
      <c r="V129" s="147"/>
      <c r="W129" s="147"/>
      <c r="X129" s="147"/>
      <c r="Y129" s="148"/>
      <c r="Z129" s="138"/>
      <c r="AA129" s="695"/>
      <c r="AB129" s="138"/>
      <c r="AC129" s="138"/>
      <c r="AD129" s="138"/>
    </row>
    <row r="130" spans="1:30" ht="9" customHeight="1">
      <c r="A130" s="697"/>
      <c r="B130" s="697"/>
      <c r="C130" s="147"/>
      <c r="D130" s="147"/>
      <c r="E130" s="147"/>
      <c r="F130" s="147"/>
      <c r="G130" s="147"/>
      <c r="H130" s="154"/>
      <c r="I130" s="154"/>
      <c r="J130" s="154"/>
      <c r="K130" s="154"/>
      <c r="L130" s="154"/>
      <c r="M130" s="147"/>
      <c r="N130" s="156"/>
      <c r="O130" s="157"/>
      <c r="P130" s="157"/>
      <c r="Q130" s="157"/>
      <c r="R130" s="157"/>
      <c r="S130" s="147"/>
      <c r="T130" s="147"/>
      <c r="U130" s="147"/>
      <c r="V130" s="147"/>
      <c r="W130" s="147"/>
      <c r="X130" s="147"/>
      <c r="Y130" s="148"/>
      <c r="Z130" s="138"/>
      <c r="AA130" s="695"/>
      <c r="AB130" s="138"/>
      <c r="AC130" s="138"/>
      <c r="AD130" s="138"/>
    </row>
    <row r="131" spans="1:30" ht="9" customHeight="1">
      <c r="A131" s="697"/>
      <c r="B131" s="697"/>
      <c r="C131" s="147"/>
      <c r="D131" s="147"/>
      <c r="E131" s="147"/>
      <c r="F131" s="147"/>
      <c r="G131" s="147"/>
      <c r="H131" s="154"/>
      <c r="I131" s="154"/>
      <c r="J131" s="154"/>
      <c r="K131" s="154"/>
      <c r="L131" s="154"/>
      <c r="M131" s="147"/>
      <c r="N131" s="156"/>
      <c r="O131" s="158"/>
      <c r="P131" s="158"/>
      <c r="Q131" s="158"/>
      <c r="R131" s="158"/>
      <c r="S131" s="147"/>
      <c r="T131" s="147"/>
      <c r="U131" s="147"/>
      <c r="V131" s="147"/>
      <c r="W131" s="147"/>
      <c r="X131" s="147"/>
      <c r="Y131" s="148"/>
      <c r="Z131" s="138"/>
      <c r="AA131" s="695"/>
      <c r="AB131" s="138"/>
      <c r="AC131" s="138"/>
      <c r="AD131" s="138"/>
    </row>
    <row r="132" spans="1:30" ht="9" customHeight="1">
      <c r="A132" s="697"/>
      <c r="B132" s="697"/>
      <c r="C132" s="147"/>
      <c r="D132" s="147"/>
      <c r="E132" s="147"/>
      <c r="F132" s="147"/>
      <c r="G132" s="147"/>
      <c r="H132" s="154"/>
      <c r="I132" s="154"/>
      <c r="J132" s="154"/>
      <c r="K132" s="154"/>
      <c r="L132" s="154"/>
      <c r="M132" s="147"/>
      <c r="N132" s="156"/>
      <c r="O132" s="157"/>
      <c r="P132" s="157"/>
      <c r="Q132" s="157"/>
      <c r="R132" s="157"/>
      <c r="S132" s="147"/>
      <c r="T132" s="147"/>
      <c r="U132" s="147"/>
      <c r="V132" s="147"/>
      <c r="W132" s="147"/>
      <c r="X132" s="147"/>
      <c r="Y132" s="148"/>
      <c r="Z132" s="138"/>
      <c r="AA132" s="695"/>
      <c r="AB132" s="138"/>
      <c r="AC132" s="138"/>
      <c r="AD132" s="138"/>
    </row>
    <row r="133" spans="1:30" ht="9" customHeight="1">
      <c r="A133" s="697"/>
      <c r="B133" s="697"/>
      <c r="C133" s="147"/>
      <c r="D133" s="147"/>
      <c r="E133" s="147"/>
      <c r="F133" s="147"/>
      <c r="G133" s="147"/>
      <c r="H133" s="154"/>
      <c r="I133" s="154"/>
      <c r="J133" s="154"/>
      <c r="K133" s="154"/>
      <c r="L133" s="154"/>
      <c r="M133" s="147"/>
      <c r="N133" s="156"/>
      <c r="O133" s="158"/>
      <c r="P133" s="158"/>
      <c r="Q133" s="158"/>
      <c r="R133" s="158"/>
      <c r="S133" s="147"/>
      <c r="T133" s="147"/>
      <c r="U133" s="147"/>
      <c r="V133" s="147"/>
      <c r="W133" s="147"/>
      <c r="X133" s="147"/>
      <c r="Y133" s="148"/>
      <c r="Z133" s="138"/>
      <c r="AA133" s="695"/>
      <c r="AB133" s="138"/>
      <c r="AC133" s="138"/>
      <c r="AD133" s="138"/>
    </row>
    <row r="134" spans="1:30" ht="9" customHeight="1">
      <c r="A134" s="697"/>
      <c r="B134" s="697"/>
      <c r="C134" s="147"/>
      <c r="D134" s="147"/>
      <c r="E134" s="147"/>
      <c r="F134" s="147"/>
      <c r="G134" s="147"/>
      <c r="H134" s="154"/>
      <c r="I134" s="154"/>
      <c r="J134" s="154"/>
      <c r="K134" s="154"/>
      <c r="L134" s="154"/>
      <c r="M134" s="147"/>
      <c r="N134" s="156"/>
      <c r="O134" s="153"/>
      <c r="P134" s="153"/>
      <c r="Q134" s="153"/>
      <c r="R134" s="153"/>
      <c r="S134" s="147"/>
      <c r="T134" s="147"/>
      <c r="U134" s="147"/>
      <c r="V134" s="147"/>
      <c r="W134" s="147"/>
      <c r="X134" s="147"/>
      <c r="Y134" s="148"/>
      <c r="Z134" s="138"/>
      <c r="AA134" s="695"/>
      <c r="AB134" s="138"/>
      <c r="AC134" s="138"/>
      <c r="AD134" s="138"/>
    </row>
    <row r="135" spans="1:30" ht="9" customHeight="1">
      <c r="A135" s="697"/>
      <c r="B135" s="697"/>
      <c r="C135" s="147"/>
      <c r="D135" s="147"/>
      <c r="E135" s="147"/>
      <c r="F135" s="147"/>
      <c r="G135" s="147"/>
      <c r="H135" s="154"/>
      <c r="I135" s="154"/>
      <c r="J135" s="154"/>
      <c r="K135" s="154"/>
      <c r="L135" s="154"/>
      <c r="M135" s="147"/>
      <c r="N135" s="156"/>
      <c r="O135" s="153"/>
      <c r="P135" s="153"/>
      <c r="Q135" s="153"/>
      <c r="R135" s="153"/>
      <c r="S135" s="147"/>
      <c r="T135" s="147"/>
      <c r="U135" s="147"/>
      <c r="V135" s="147"/>
      <c r="W135" s="147"/>
      <c r="X135" s="147"/>
      <c r="Y135" s="148"/>
      <c r="Z135" s="138"/>
      <c r="AA135" s="695"/>
      <c r="AB135" s="138"/>
      <c r="AC135" s="138"/>
      <c r="AD135" s="138"/>
    </row>
    <row r="136" spans="1:30" ht="9" customHeight="1">
      <c r="A136" s="697"/>
      <c r="B136" s="697"/>
      <c r="C136" s="147"/>
      <c r="D136" s="147"/>
      <c r="E136" s="147"/>
      <c r="F136" s="147"/>
      <c r="G136" s="147"/>
      <c r="H136" s="154"/>
      <c r="I136" s="154"/>
      <c r="J136" s="154"/>
      <c r="K136" s="154"/>
      <c r="L136" s="154"/>
      <c r="M136" s="147"/>
      <c r="N136" s="156"/>
      <c r="O136" s="153"/>
      <c r="P136" s="153"/>
      <c r="Q136" s="153"/>
      <c r="R136" s="153"/>
      <c r="S136" s="147"/>
      <c r="T136" s="147"/>
      <c r="U136" s="147"/>
      <c r="V136" s="147"/>
      <c r="W136" s="147"/>
      <c r="X136" s="147"/>
      <c r="Y136" s="148"/>
      <c r="Z136" s="138"/>
      <c r="AA136" s="695"/>
      <c r="AB136" s="138"/>
      <c r="AC136" s="138"/>
      <c r="AD136" s="138"/>
    </row>
    <row r="137" spans="1:30" ht="9" customHeight="1">
      <c r="A137" s="697"/>
      <c r="B137" s="697"/>
      <c r="C137" s="147"/>
      <c r="D137" s="147"/>
      <c r="E137" s="147"/>
      <c r="F137" s="147"/>
      <c r="G137" s="147"/>
      <c r="H137" s="154"/>
      <c r="I137" s="154"/>
      <c r="J137" s="154"/>
      <c r="K137" s="154"/>
      <c r="L137" s="154"/>
      <c r="M137" s="147"/>
      <c r="N137" s="156"/>
      <c r="O137" s="709"/>
      <c r="P137" s="709"/>
      <c r="Q137" s="709"/>
      <c r="R137" s="709"/>
      <c r="S137" s="147"/>
      <c r="T137" s="147"/>
      <c r="U137" s="147"/>
      <c r="V137" s="147"/>
      <c r="W137" s="147"/>
      <c r="X137" s="147"/>
      <c r="Y137" s="148"/>
      <c r="Z137" s="138"/>
      <c r="AA137" s="695"/>
      <c r="AB137" s="138"/>
      <c r="AC137" s="138"/>
      <c r="AD137" s="138"/>
    </row>
    <row r="138" spans="1:30" ht="9" customHeight="1">
      <c r="A138" s="697"/>
      <c r="B138" s="697"/>
      <c r="C138" s="147"/>
      <c r="D138" s="147"/>
      <c r="E138" s="147"/>
      <c r="F138" s="147"/>
      <c r="G138" s="147"/>
      <c r="H138" s="154"/>
      <c r="I138" s="154"/>
      <c r="J138" s="154"/>
      <c r="K138" s="154"/>
      <c r="L138" s="154"/>
      <c r="M138" s="147"/>
      <c r="N138" s="156"/>
      <c r="O138" s="706"/>
      <c r="P138" s="706"/>
      <c r="Q138" s="706"/>
      <c r="R138" s="706"/>
      <c r="S138" s="147"/>
      <c r="T138" s="147"/>
      <c r="U138" s="147"/>
      <c r="V138" s="147"/>
      <c r="W138" s="147"/>
      <c r="X138" s="147"/>
      <c r="Y138" s="148"/>
      <c r="Z138" s="138"/>
      <c r="AA138" s="695"/>
      <c r="AB138" s="138"/>
      <c r="AC138" s="138"/>
      <c r="AD138" s="138"/>
    </row>
    <row r="139" spans="1:30" ht="9" customHeight="1">
      <c r="A139" s="697"/>
      <c r="B139" s="697"/>
      <c r="C139" s="147"/>
      <c r="D139" s="147"/>
      <c r="E139" s="147"/>
      <c r="F139" s="147"/>
      <c r="G139" s="147"/>
      <c r="H139" s="154"/>
      <c r="I139" s="154"/>
      <c r="J139" s="154"/>
      <c r="K139" s="154"/>
      <c r="L139" s="154"/>
      <c r="M139" s="147"/>
      <c r="N139" s="156"/>
      <c r="O139" s="147"/>
      <c r="P139" s="147"/>
      <c r="Q139" s="147"/>
      <c r="R139" s="147"/>
      <c r="S139" s="147"/>
      <c r="T139" s="147"/>
      <c r="U139" s="147"/>
      <c r="V139" s="147"/>
      <c r="W139" s="147"/>
      <c r="X139" s="147"/>
      <c r="Y139" s="148"/>
      <c r="Z139" s="138"/>
      <c r="AA139" s="695"/>
      <c r="AB139" s="138"/>
      <c r="AC139" s="138"/>
      <c r="AD139" s="138"/>
    </row>
    <row r="140" spans="1:30" ht="9" customHeight="1">
      <c r="A140" s="697"/>
      <c r="B140" s="697"/>
      <c r="C140" s="147"/>
      <c r="D140" s="147"/>
      <c r="E140" s="147"/>
      <c r="F140" s="147"/>
      <c r="G140" s="147"/>
      <c r="H140" s="154"/>
      <c r="I140" s="154"/>
      <c r="J140" s="154"/>
      <c r="K140" s="154"/>
      <c r="L140" s="154"/>
      <c r="M140" s="147"/>
      <c r="N140" s="156"/>
      <c r="O140" s="147"/>
      <c r="P140" s="147"/>
      <c r="Q140" s="147"/>
      <c r="R140" s="147"/>
      <c r="S140" s="147"/>
      <c r="T140" s="147"/>
      <c r="U140" s="147"/>
      <c r="V140" s="147"/>
      <c r="W140" s="147"/>
      <c r="X140" s="147"/>
      <c r="Y140" s="148"/>
      <c r="Z140" s="138"/>
      <c r="AA140" s="695"/>
      <c r="AB140" s="138"/>
      <c r="AC140" s="138"/>
      <c r="AD140" s="138"/>
    </row>
    <row r="141" spans="1:30" ht="9" customHeight="1">
      <c r="A141" s="697"/>
      <c r="B141" s="697"/>
      <c r="C141" s="147"/>
      <c r="D141" s="147"/>
      <c r="E141" s="147"/>
      <c r="F141" s="147"/>
      <c r="G141" s="147"/>
      <c r="H141" s="154"/>
      <c r="I141" s="154"/>
      <c r="J141" s="154"/>
      <c r="K141" s="154"/>
      <c r="L141" s="154"/>
      <c r="M141" s="147"/>
      <c r="N141" s="156"/>
      <c r="O141" s="147"/>
      <c r="P141" s="147"/>
      <c r="Q141" s="147"/>
      <c r="R141" s="147"/>
      <c r="S141" s="147"/>
      <c r="T141" s="147"/>
      <c r="U141" s="147"/>
      <c r="V141" s="147"/>
      <c r="W141" s="147"/>
      <c r="X141" s="147"/>
      <c r="Y141" s="148"/>
      <c r="Z141" s="138"/>
      <c r="AA141" s="695"/>
      <c r="AB141" s="138"/>
      <c r="AC141" s="138"/>
      <c r="AD141" s="138"/>
    </row>
    <row r="142" spans="1:30" ht="9" customHeight="1">
      <c r="A142" s="697"/>
      <c r="B142" s="697"/>
      <c r="C142" s="147"/>
      <c r="D142" s="147"/>
      <c r="E142" s="147"/>
      <c r="F142" s="147"/>
      <c r="G142" s="147"/>
      <c r="H142" s="154"/>
      <c r="I142" s="154"/>
      <c r="J142" s="154"/>
      <c r="K142" s="154"/>
      <c r="L142" s="154"/>
      <c r="M142" s="147"/>
      <c r="N142" s="156"/>
      <c r="O142" s="147"/>
      <c r="P142" s="147"/>
      <c r="Q142" s="147"/>
      <c r="R142" s="147"/>
      <c r="S142" s="147"/>
      <c r="T142" s="147"/>
      <c r="U142" s="147"/>
      <c r="V142" s="147"/>
      <c r="W142" s="147"/>
      <c r="X142" s="147"/>
      <c r="Y142" s="148"/>
      <c r="Z142" s="138"/>
      <c r="AA142" s="695"/>
      <c r="AB142" s="138"/>
      <c r="AC142" s="138"/>
      <c r="AD142" s="138"/>
    </row>
    <row r="143" spans="1:30" ht="9" customHeight="1">
      <c r="A143" s="697"/>
      <c r="B143" s="697"/>
      <c r="C143" s="147"/>
      <c r="D143" s="147"/>
      <c r="E143" s="147"/>
      <c r="F143" s="147"/>
      <c r="G143" s="147"/>
      <c r="H143" s="154"/>
      <c r="I143" s="154"/>
      <c r="J143" s="154"/>
      <c r="K143" s="154"/>
      <c r="L143" s="154"/>
      <c r="M143" s="147"/>
      <c r="N143" s="156"/>
      <c r="O143" s="147"/>
      <c r="P143" s="147"/>
      <c r="Q143" s="147"/>
      <c r="R143" s="147"/>
      <c r="S143" s="147"/>
      <c r="T143" s="147"/>
      <c r="U143" s="147"/>
      <c r="V143" s="147"/>
      <c r="W143" s="147"/>
      <c r="X143" s="147"/>
      <c r="Y143" s="148"/>
      <c r="Z143" s="138"/>
      <c r="AA143" s="695"/>
      <c r="AB143" s="138"/>
      <c r="AC143" s="138"/>
      <c r="AD143" s="138"/>
    </row>
    <row r="144" spans="1:30" ht="9" customHeight="1">
      <c r="A144" s="697"/>
      <c r="B144" s="697"/>
      <c r="C144" s="147"/>
      <c r="D144" s="147"/>
      <c r="E144" s="147"/>
      <c r="F144" s="147"/>
      <c r="G144" s="147"/>
      <c r="H144" s="154"/>
      <c r="I144" s="154"/>
      <c r="J144" s="154"/>
      <c r="K144" s="154"/>
      <c r="L144" s="154"/>
      <c r="M144" s="147"/>
      <c r="N144" s="156"/>
      <c r="O144" s="147"/>
      <c r="P144" s="147"/>
      <c r="Q144" s="147"/>
      <c r="R144" s="147"/>
      <c r="S144" s="147"/>
      <c r="T144" s="147"/>
      <c r="U144" s="147"/>
      <c r="V144" s="147"/>
      <c r="W144" s="147"/>
      <c r="X144" s="147"/>
      <c r="Y144" s="148"/>
      <c r="Z144" s="138"/>
      <c r="AA144" s="695"/>
      <c r="AB144" s="138"/>
      <c r="AC144" s="138"/>
      <c r="AD144" s="138"/>
    </row>
    <row r="145" spans="1:30" ht="9" customHeight="1">
      <c r="A145" s="697"/>
      <c r="B145" s="697"/>
      <c r="C145" s="147"/>
      <c r="D145" s="147"/>
      <c r="E145" s="147"/>
      <c r="F145" s="147"/>
      <c r="G145" s="147"/>
      <c r="H145" s="154"/>
      <c r="I145" s="154"/>
      <c r="J145" s="154"/>
      <c r="K145" s="154"/>
      <c r="L145" s="154"/>
      <c r="M145" s="147"/>
      <c r="N145" s="156"/>
      <c r="O145" s="147"/>
      <c r="P145" s="147"/>
      <c r="Q145" s="147"/>
      <c r="R145" s="147"/>
      <c r="S145" s="147"/>
      <c r="T145" s="147"/>
      <c r="U145" s="147"/>
      <c r="V145" s="147"/>
      <c r="W145" s="147"/>
      <c r="X145" s="147"/>
      <c r="Y145" s="148"/>
      <c r="Z145" s="138"/>
      <c r="AA145" s="695"/>
      <c r="AB145" s="138"/>
      <c r="AC145" s="138"/>
      <c r="AD145" s="138"/>
    </row>
    <row r="146" spans="1:30" ht="9" customHeight="1">
      <c r="A146" s="697"/>
      <c r="B146" s="697"/>
      <c r="C146" s="147"/>
      <c r="D146" s="147"/>
      <c r="E146" s="147"/>
      <c r="F146" s="147"/>
      <c r="G146" s="147"/>
      <c r="H146" s="154"/>
      <c r="I146" s="154"/>
      <c r="J146" s="154"/>
      <c r="K146" s="154"/>
      <c r="L146" s="154"/>
      <c r="M146" s="147"/>
      <c r="N146" s="156"/>
      <c r="O146" s="147"/>
      <c r="P146" s="147"/>
      <c r="Q146" s="147"/>
      <c r="R146" s="147"/>
      <c r="S146" s="147"/>
      <c r="T146" s="147"/>
      <c r="U146" s="147"/>
      <c r="V146" s="147"/>
      <c r="W146" s="147"/>
      <c r="X146" s="147"/>
      <c r="Y146" s="148"/>
      <c r="Z146" s="138"/>
      <c r="AA146" s="695"/>
      <c r="AB146" s="138"/>
      <c r="AC146" s="138"/>
      <c r="AD146" s="138"/>
    </row>
    <row r="147" spans="1:30" ht="9" customHeight="1">
      <c r="A147" s="697"/>
      <c r="B147" s="697"/>
      <c r="C147" s="697"/>
      <c r="D147" s="697"/>
      <c r="E147" s="697"/>
      <c r="F147" s="697"/>
      <c r="G147" s="697"/>
      <c r="H147" s="697"/>
      <c r="I147" s="697"/>
      <c r="J147" s="697"/>
      <c r="K147" s="697"/>
      <c r="L147" s="697"/>
      <c r="M147" s="697"/>
      <c r="N147" s="697"/>
      <c r="O147" s="697"/>
      <c r="P147" s="697"/>
      <c r="Q147" s="697"/>
      <c r="R147" s="697"/>
      <c r="S147" s="697"/>
      <c r="T147" s="697"/>
      <c r="U147" s="697"/>
      <c r="V147" s="697"/>
      <c r="W147" s="697"/>
      <c r="X147" s="697"/>
      <c r="Y147" s="697"/>
      <c r="Z147" s="697"/>
      <c r="AA147" s="697"/>
      <c r="AB147" s="697"/>
      <c r="AC147" s="697"/>
      <c r="AD147" s="697"/>
    </row>
    <row r="148" spans="1:30" ht="90" customHeight="1">
      <c r="A148" s="697" t="s">
        <v>1811</v>
      </c>
      <c r="B148" s="697"/>
      <c r="C148" s="147" t="s">
        <v>2359</v>
      </c>
      <c r="D148" s="147" t="s">
        <v>1160</v>
      </c>
      <c r="E148" s="147" t="s">
        <v>1813</v>
      </c>
      <c r="F148" s="147" t="s">
        <v>2360</v>
      </c>
      <c r="G148" s="147"/>
      <c r="H148" s="147"/>
      <c r="I148" s="159"/>
      <c r="J148" s="159"/>
      <c r="K148" s="159"/>
      <c r="L148" s="159"/>
      <c r="M148" s="71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01"/>
      <c r="O148" s="147"/>
      <c r="P148" s="698"/>
      <c r="Q148" s="698"/>
      <c r="R148" s="698"/>
      <c r="S148" s="147"/>
      <c r="T148" s="147" t="s">
        <v>2361</v>
      </c>
      <c r="U148" s="69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698"/>
      <c r="W148" s="698"/>
      <c r="X148" s="147" t="s">
        <v>2362</v>
      </c>
      <c r="Y148" s="148"/>
      <c r="Z148" s="138"/>
      <c r="AA148" s="695"/>
      <c r="AB148" s="138"/>
      <c r="AC148" s="138"/>
      <c r="AD148" s="138"/>
    </row>
    <row r="149" spans="1:30" ht="9" customHeight="1">
      <c r="A149" s="697"/>
      <c r="B149" s="697"/>
      <c r="C149" s="697"/>
      <c r="D149" s="697"/>
      <c r="E149" s="697"/>
      <c r="F149" s="697"/>
      <c r="G149" s="697"/>
      <c r="H149" s="697"/>
      <c r="I149" s="697"/>
      <c r="J149" s="697"/>
      <c r="K149" s="697"/>
      <c r="L149" s="697"/>
      <c r="M149" s="697"/>
      <c r="N149" s="697"/>
      <c r="O149" s="697"/>
      <c r="P149" s="697"/>
      <c r="Q149" s="697"/>
      <c r="R149" s="697"/>
      <c r="S149" s="697"/>
      <c r="T149" s="697"/>
      <c r="U149" s="697"/>
      <c r="V149" s="697"/>
      <c r="W149" s="697"/>
      <c r="X149" s="697"/>
      <c r="Y149" s="697"/>
      <c r="Z149" s="697"/>
      <c r="AA149" s="697"/>
      <c r="AB149" s="697"/>
      <c r="AC149" s="697"/>
      <c r="AD149" s="697"/>
    </row>
    <row r="150" spans="1:30" ht="9" customHeight="1">
      <c r="A150" s="697" t="s">
        <v>1815</v>
      </c>
      <c r="B150" s="69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8"/>
      <c r="Z150" s="138"/>
      <c r="AA150" s="695"/>
      <c r="AB150" s="138"/>
      <c r="AC150" s="138"/>
      <c r="AD150" s="138"/>
    </row>
    <row r="151" spans="1:30" ht="9" customHeight="1">
      <c r="A151" s="697"/>
      <c r="B151" s="697"/>
      <c r="C151" s="697"/>
      <c r="D151" s="697"/>
      <c r="E151" s="697"/>
      <c r="F151" s="697"/>
      <c r="G151" s="697"/>
      <c r="H151" s="697"/>
      <c r="I151" s="697"/>
      <c r="J151" s="697"/>
      <c r="K151" s="697"/>
      <c r="L151" s="697"/>
      <c r="M151" s="697"/>
      <c r="N151" s="697"/>
      <c r="O151" s="697"/>
      <c r="P151" s="697"/>
      <c r="Q151" s="697"/>
      <c r="R151" s="697"/>
      <c r="S151" s="697"/>
      <c r="T151" s="697"/>
      <c r="U151" s="697"/>
      <c r="V151" s="697"/>
      <c r="W151" s="697"/>
      <c r="X151" s="697"/>
      <c r="Y151" s="697"/>
      <c r="Z151" s="697"/>
      <c r="AA151" s="697"/>
      <c r="AB151" s="697"/>
      <c r="AC151" s="697"/>
      <c r="AD151" s="697"/>
    </row>
    <row r="152" spans="1:30" ht="9" customHeight="1">
      <c r="A152" s="697" t="s">
        <v>1817</v>
      </c>
      <c r="B152" s="69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8"/>
      <c r="Z152" s="138"/>
      <c r="AA152" s="695"/>
      <c r="AB152" s="138"/>
      <c r="AC152" s="138"/>
      <c r="AD152" s="138"/>
    </row>
    <row r="153" spans="1:30" ht="9" customHeight="1">
      <c r="A153" s="697"/>
      <c r="B153" s="697"/>
      <c r="C153" s="697"/>
      <c r="D153" s="697"/>
      <c r="E153" s="697"/>
      <c r="F153" s="697"/>
      <c r="G153" s="697"/>
      <c r="H153" s="697"/>
      <c r="I153" s="697"/>
      <c r="J153" s="697"/>
      <c r="K153" s="697"/>
      <c r="L153" s="697"/>
      <c r="M153" s="697"/>
      <c r="N153" s="697"/>
      <c r="O153" s="697"/>
      <c r="P153" s="697"/>
      <c r="Q153" s="697"/>
      <c r="R153" s="697"/>
      <c r="S153" s="697"/>
      <c r="T153" s="697"/>
      <c r="U153" s="697"/>
      <c r="V153" s="697"/>
      <c r="W153" s="697"/>
      <c r="X153" s="697"/>
      <c r="Y153" s="697"/>
      <c r="Z153" s="697"/>
      <c r="AA153" s="697"/>
      <c r="AB153" s="697"/>
      <c r="AC153" s="697"/>
      <c r="AD153" s="697"/>
    </row>
    <row r="154" spans="1:30" ht="9" customHeight="1">
      <c r="A154" s="697" t="s">
        <v>1822</v>
      </c>
      <c r="B154" s="69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8"/>
      <c r="Z154" s="138"/>
      <c r="AA154" s="695"/>
      <c r="AB154" s="138"/>
      <c r="AC154" s="138"/>
      <c r="AD154" s="13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030" hidden="1"/>
    <col min="2" max="2" width="11" style="1030" hidden="1" customWidth="1"/>
    <col min="3" max="3" width="10.5703125" style="1030" hidden="1"/>
    <col min="4" max="4" width="11.85546875" style="1030" hidden="1" customWidth="1"/>
    <col min="5" max="8" width="12.28515625" style="1030" hidden="1" customWidth="1"/>
    <col min="9" max="11" width="3" style="1030" customWidth="1"/>
    <col min="12" max="12" width="12" style="1030" customWidth="1"/>
    <col min="13" max="13" width="31" style="1030" customWidth="1"/>
    <col min="14" max="14" width="1" style="1030" customWidth="1"/>
    <col min="15" max="18" width="24" style="1030" customWidth="1"/>
    <col min="19" max="19" width="11" style="1030" customWidth="1"/>
    <col min="20" max="20" width="3.7109375" style="1030" customWidth="1"/>
    <col min="21" max="21" width="11" style="1030" customWidth="1"/>
    <col min="22" max="22" width="8.5703125" style="1030" customWidth="1"/>
    <col min="23" max="23" width="4" style="1030" customWidth="1"/>
    <col min="24" max="24" width="115" style="1030" customWidth="1"/>
    <col min="25" max="29" width="10" style="1030" customWidth="1"/>
    <col min="30" max="30" width="10.5703125" style="1030" hidden="1"/>
  </cols>
  <sheetData>
    <row r="1" spans="10:30" ht="22.5" hidden="1" customHeight="1">
      <c r="AD1" s="539" t="s">
        <v>14</v>
      </c>
    </row>
    <row r="2" spans="10:30" ht="14.25" hidden="1" customHeight="1">
      <c r="AD2" s="539">
        <v>0</v>
      </c>
    </row>
    <row r="3" spans="10:30" ht="14.25" hidden="1" customHeight="1">
      <c r="AD3" s="539">
        <v>0</v>
      </c>
    </row>
    <row r="4" spans="10:30" ht="14.65" customHeight="1">
      <c r="J4" s="757"/>
      <c r="K4" s="757"/>
      <c r="L4" s="848"/>
      <c r="M4" s="557"/>
      <c r="N4" s="557"/>
      <c r="AD4" s="539">
        <v>14</v>
      </c>
    </row>
    <row r="5" spans="10:30" ht="67.150000000000006" customHeight="1">
      <c r="J5" s="757"/>
      <c r="K5" s="757"/>
      <c r="L5" s="1471" t="s">
        <v>2363</v>
      </c>
      <c r="M5" s="1471"/>
      <c r="N5" s="1471"/>
      <c r="O5" s="1471"/>
      <c r="P5" s="1471"/>
      <c r="Q5" s="1471"/>
      <c r="R5" s="1471"/>
      <c r="S5" s="1471"/>
      <c r="T5" s="1471"/>
      <c r="U5" s="1471"/>
      <c r="AD5" s="539">
        <v>64</v>
      </c>
    </row>
    <row r="6" spans="10:30" ht="14.65" customHeight="1">
      <c r="J6" s="757"/>
      <c r="K6" s="757"/>
      <c r="L6" s="1472" t="str">
        <f>IF(org=0,"Не определено",org)</f>
        <v>АО "НИЖЕГОРОДСКИЙ ВОДОКАНАЛ"</v>
      </c>
      <c r="M6" s="1472"/>
      <c r="N6" s="1472"/>
      <c r="O6" s="1472"/>
      <c r="P6" s="1472"/>
      <c r="Q6" s="1472"/>
      <c r="R6" s="1472"/>
      <c r="S6" s="1472"/>
      <c r="T6" s="1472"/>
      <c r="U6" s="1472"/>
      <c r="AD6" s="539">
        <v>14</v>
      </c>
    </row>
    <row r="7" spans="10:30" ht="14.65" customHeight="1">
      <c r="J7" s="757"/>
      <c r="K7" s="757"/>
      <c r="L7" s="848"/>
      <c r="M7" s="557"/>
      <c r="N7" s="557"/>
      <c r="O7" s="827"/>
      <c r="P7" s="827"/>
      <c r="Q7" s="827"/>
      <c r="R7" s="827"/>
      <c r="S7" s="827"/>
      <c r="T7" s="827"/>
      <c r="U7" s="827"/>
      <c r="V7" s="827"/>
      <c r="AD7" s="539">
        <v>14</v>
      </c>
    </row>
    <row r="8" spans="10:30" ht="48.2" customHeight="1">
      <c r="M8" s="849" t="s">
        <v>41</v>
      </c>
      <c r="N8" s="714"/>
      <c r="O8" s="1186" t="str">
        <f>IF(TITLE_NAME_OR_PR_CHANGE="",IF(TITLE_NAME_OR_PR="","",TITLE_NAME_OR_PR),TITLE_NAME_OR_PR_CHANGE)</f>
        <v/>
      </c>
      <c r="P8" s="1186"/>
      <c r="Q8" s="1186"/>
      <c r="R8" s="1186"/>
      <c r="S8" s="1186"/>
      <c r="T8" s="1186"/>
      <c r="U8" s="1186"/>
      <c r="AD8" s="593">
        <v>46</v>
      </c>
    </row>
    <row r="9" spans="10:30" ht="24" customHeight="1">
      <c r="M9" s="849" t="s">
        <v>431</v>
      </c>
      <c r="N9" s="714"/>
      <c r="O9" s="1186" t="str">
        <f>IF(TITLE_DATE_CHANGE_PERIOD="",IF(TITLE_DATE_PR="","",TITLE_DATE_PR),TITLE_DATE_CHANGE_PERIOD)</f>
        <v/>
      </c>
      <c r="P9" s="1186"/>
      <c r="Q9" s="1186"/>
      <c r="R9" s="1186"/>
      <c r="S9" s="1186"/>
      <c r="T9" s="1186"/>
      <c r="U9" s="1186"/>
      <c r="AD9" s="593">
        <v>23</v>
      </c>
    </row>
    <row r="10" spans="10:30" ht="24" customHeight="1">
      <c r="M10" s="849" t="s">
        <v>432</v>
      </c>
      <c r="N10" s="714"/>
      <c r="O10" s="1186" t="str">
        <f>IF(TITLE_NUMBER_PR_CHANGE="",IF(TITLE_NUMBER_PR="","",TITLE_NUMBER_PR),TITLE_NUMBER_PR_CHANGE)</f>
        <v/>
      </c>
      <c r="P10" s="1186"/>
      <c r="Q10" s="1186"/>
      <c r="R10" s="1186"/>
      <c r="S10" s="1186"/>
      <c r="T10" s="1186"/>
      <c r="U10" s="1186"/>
      <c r="AD10" s="593">
        <v>23</v>
      </c>
    </row>
    <row r="11" spans="10:30" ht="24" customHeight="1">
      <c r="M11" s="849" t="s">
        <v>42</v>
      </c>
      <c r="N11" s="714"/>
      <c r="O11" s="1186" t="str">
        <f>IF(TITLE_IST_PUB_CHANGE="",IF(TITLE_IST_PUB="","",TITLE_IST_PUB),TITLE_IST_PUB_CHANGE)</f>
        <v/>
      </c>
      <c r="P11" s="1186"/>
      <c r="Q11" s="1186"/>
      <c r="R11" s="1186"/>
      <c r="S11" s="1186"/>
      <c r="T11" s="1186"/>
      <c r="U11" s="1186"/>
      <c r="AD11" s="593">
        <v>23</v>
      </c>
    </row>
    <row r="12" spans="10:30" ht="11.25" hidden="1" customHeight="1">
      <c r="L12" s="1038"/>
      <c r="M12" s="1038"/>
      <c r="V12" s="578" t="s">
        <v>435</v>
      </c>
      <c r="AD12" s="593">
        <v>0</v>
      </c>
    </row>
    <row r="13" spans="10:30" ht="14.65" customHeight="1">
      <c r="J13" s="757"/>
      <c r="K13" s="757"/>
      <c r="L13" s="848"/>
      <c r="M13" s="557"/>
      <c r="N13" s="851"/>
      <c r="O13" s="1204"/>
      <c r="P13" s="1204"/>
      <c r="Q13" s="1204"/>
      <c r="R13" s="1204"/>
      <c r="S13" s="1204"/>
      <c r="T13" s="1204"/>
      <c r="U13" s="1204"/>
      <c r="V13" s="1204"/>
      <c r="AD13" s="539">
        <v>14</v>
      </c>
    </row>
    <row r="14" spans="10:30" ht="14.65" customHeight="1">
      <c r="J14" s="757"/>
      <c r="K14" s="757"/>
      <c r="L14" s="1070" t="s">
        <v>308</v>
      </c>
      <c r="M14" s="1070"/>
      <c r="N14" s="1070"/>
      <c r="O14" s="1070"/>
      <c r="P14" s="1070"/>
      <c r="Q14" s="1070"/>
      <c r="R14" s="1070"/>
      <c r="S14" s="1070"/>
      <c r="T14" s="1070"/>
      <c r="U14" s="1070"/>
      <c r="V14" s="1070"/>
      <c r="W14" s="1070"/>
      <c r="X14" s="1070" t="s">
        <v>309</v>
      </c>
      <c r="AD14" s="539">
        <v>14</v>
      </c>
    </row>
    <row r="15" spans="10:30" ht="14.65" customHeight="1">
      <c r="J15" s="757"/>
      <c r="K15" s="757"/>
      <c r="L15" s="1205" t="s">
        <v>87</v>
      </c>
      <c r="M15" s="1155" t="s">
        <v>436</v>
      </c>
      <c r="N15" s="818"/>
      <c r="O15" s="1206" t="s">
        <v>2364</v>
      </c>
      <c r="P15" s="1207"/>
      <c r="Q15" s="1207"/>
      <c r="R15" s="1207"/>
      <c r="S15" s="1207"/>
      <c r="T15" s="1207"/>
      <c r="U15" s="1208"/>
      <c r="V15" s="1209" t="s">
        <v>438</v>
      </c>
      <c r="W15" s="1212" t="s">
        <v>1338</v>
      </c>
      <c r="X15" s="1070"/>
      <c r="AD15" s="539">
        <v>14</v>
      </c>
    </row>
    <row r="16" spans="10:30" ht="35.65" customHeight="1">
      <c r="J16" s="757"/>
      <c r="K16" s="757"/>
      <c r="L16" s="1205"/>
      <c r="M16" s="1155"/>
      <c r="N16" s="823"/>
      <c r="O16" s="1128" t="s">
        <v>441</v>
      </c>
      <c r="P16" s="1128" t="s">
        <v>442</v>
      </c>
      <c r="Q16" s="1051" t="s">
        <v>443</v>
      </c>
      <c r="R16" s="1050"/>
      <c r="S16" s="1051" t="s">
        <v>457</v>
      </c>
      <c r="T16" s="1056"/>
      <c r="U16" s="1050"/>
      <c r="V16" s="1210"/>
      <c r="W16" s="1213"/>
      <c r="X16" s="1070"/>
      <c r="AD16" s="539">
        <v>34</v>
      </c>
    </row>
    <row r="17" spans="1:30" ht="35.65" customHeight="1">
      <c r="A17" s="599" t="s">
        <v>144</v>
      </c>
      <c r="B17" s="599" t="s">
        <v>145</v>
      </c>
      <c r="C17" s="599" t="s">
        <v>146</v>
      </c>
      <c r="D17" s="599" t="s">
        <v>147</v>
      </c>
      <c r="J17" s="757"/>
      <c r="K17" s="757"/>
      <c r="L17" s="1205"/>
      <c r="M17" s="1155"/>
      <c r="N17" s="853"/>
      <c r="O17" s="1179"/>
      <c r="P17" s="1179"/>
      <c r="Q17" s="603" t="s">
        <v>452</v>
      </c>
      <c r="R17" s="603" t="s">
        <v>453</v>
      </c>
      <c r="S17" s="603" t="s">
        <v>454</v>
      </c>
      <c r="T17" s="1160" t="s">
        <v>455</v>
      </c>
      <c r="U17" s="1173"/>
      <c r="V17" s="1211"/>
      <c r="W17" s="1214"/>
      <c r="X17" s="1070"/>
      <c r="AD17" s="539">
        <v>34</v>
      </c>
    </row>
    <row r="18" spans="1:30" ht="11.45" customHeight="1">
      <c r="J18" s="854"/>
      <c r="K18" s="855">
        <v>1</v>
      </c>
      <c r="L18" s="330" t="s">
        <v>114</v>
      </c>
      <c r="M18" s="331" t="s">
        <v>102</v>
      </c>
      <c r="N18" s="856" t="str">
        <f ca="1">OFFSET(N18,0,-1)</f>
        <v>2</v>
      </c>
      <c r="O18" s="857">
        <f ca="1">OFFSET(O18,0,-1)+1</f>
        <v>3</v>
      </c>
      <c r="P18" s="857"/>
      <c r="Q18" s="857">
        <f ca="1">OFFSET(Q18,0,-1)+1</f>
        <v>1</v>
      </c>
      <c r="R18" s="857">
        <f ca="1">OFFSET(R18,0,-1)+1</f>
        <v>2</v>
      </c>
      <c r="S18" s="857">
        <f ca="1">OFFSET(S18,0,-1)+1</f>
        <v>3</v>
      </c>
      <c r="T18" s="1203">
        <f ca="1">OFFSET(T18,0,-1)+1</f>
        <v>4</v>
      </c>
      <c r="U18" s="1203"/>
      <c r="V18" s="857">
        <f ca="1">OFFSET(V18,0,-2)+1</f>
        <v>5</v>
      </c>
      <c r="W18" s="856">
        <f ca="1">OFFSET(W18,0,-1)</f>
        <v>5</v>
      </c>
      <c r="X18" s="857">
        <f ca="1">OFFSET(X18,0,-1)+1</f>
        <v>6</v>
      </c>
      <c r="AD18" s="682">
        <v>11</v>
      </c>
    </row>
    <row r="19" spans="1:30" ht="21" customHeight="1">
      <c r="A19" s="858" t="s">
        <v>178</v>
      </c>
      <c r="B19" s="858" t="s">
        <v>179</v>
      </c>
      <c r="C19" s="858" t="s">
        <v>180</v>
      </c>
      <c r="D19" s="858" t="s">
        <v>181</v>
      </c>
      <c r="K19" s="311"/>
      <c r="L19" s="833">
        <f>INDEX(PT_DIFFERENTIATION_NUM_NTAR,MATCH(A19,PT_DIFFERENTIATION_NTAR_ID,0))</f>
        <v>0</v>
      </c>
      <c r="M19" s="796" t="s">
        <v>133</v>
      </c>
      <c r="N19" s="834"/>
      <c r="O19" s="1470" t="str">
        <f>INDEX(PT_DIFFERENTIATION_NTAR,MATCH(A19,PT_DIFFERENTIATION_NTAR_ID,0))</f>
        <v/>
      </c>
      <c r="P19" s="1470"/>
      <c r="Q19" s="1470"/>
      <c r="R19" s="1470"/>
      <c r="S19" s="1470"/>
      <c r="T19" s="1470"/>
      <c r="U19" s="1470"/>
      <c r="V19" s="1470"/>
      <c r="W19" s="1470"/>
      <c r="X19" s="836" t="s">
        <v>404</v>
      </c>
      <c r="AA19" s="583" t="str">
        <f t="shared" ref="AA19:AA32" si="0">IF(M19="","",M19)</f>
        <v>Наименование тарифа</v>
      </c>
      <c r="AD19" s="539">
        <v>20</v>
      </c>
    </row>
    <row r="20" spans="1:30" ht="21" customHeight="1">
      <c r="A20" s="858" t="s">
        <v>178</v>
      </c>
      <c r="B20" s="858" t="s">
        <v>179</v>
      </c>
      <c r="C20" s="858" t="s">
        <v>180</v>
      </c>
      <c r="D20" s="858" t="s">
        <v>181</v>
      </c>
      <c r="J20" s="837"/>
      <c r="K20" s="838"/>
      <c r="L20" s="833" t="str">
        <f>INDEX(PT_DIFFERENTIATION_NUM_TER,MATCH(B19,PT_DIFFERENTIATION_TER_ID,0))</f>
        <v>.</v>
      </c>
      <c r="M20" s="839" t="s">
        <v>405</v>
      </c>
      <c r="N20" s="834"/>
      <c r="O20" s="1470" t="str">
        <f>INDEX(PT_DIFFERENTIATION_TER,MATCH(B19,PT_DIFFERENTIATION_TER_ID,0))</f>
        <v/>
      </c>
      <c r="P20" s="1470"/>
      <c r="Q20" s="1470"/>
      <c r="R20" s="1470"/>
      <c r="S20" s="1470"/>
      <c r="T20" s="1470"/>
      <c r="U20" s="1470"/>
      <c r="V20" s="1470"/>
      <c r="W20" s="1470"/>
      <c r="X20" s="836" t="s">
        <v>406</v>
      </c>
      <c r="AA20" s="583" t="str">
        <f t="shared" si="0"/>
        <v>Территория действия тарифа</v>
      </c>
      <c r="AD20" s="539">
        <v>20</v>
      </c>
    </row>
    <row r="21" spans="1:30" ht="24" customHeight="1">
      <c r="A21" s="858" t="s">
        <v>178</v>
      </c>
      <c r="B21" s="858" t="s">
        <v>179</v>
      </c>
      <c r="C21" s="858" t="s">
        <v>180</v>
      </c>
      <c r="D21" s="858" t="s">
        <v>181</v>
      </c>
      <c r="J21" s="837"/>
      <c r="K21" s="838"/>
      <c r="L21" s="833" t="str">
        <f>INDEX(PT_DIFFERENTIATION_NUM_CS,MATCH(C19,PT_DIFFERENTIATION_CS_ID,0))</f>
        <v>..</v>
      </c>
      <c r="M21" s="840" t="s">
        <v>407</v>
      </c>
      <c r="N21" s="834"/>
      <c r="O21" s="1470" t="str">
        <f>INDEX(PT_DIFFERENTIATION_CS,MATCH(C19,PT_DIFFERENTIATION_CS_ID,0))</f>
        <v/>
      </c>
      <c r="P21" s="1470"/>
      <c r="Q21" s="1470"/>
      <c r="R21" s="1470"/>
      <c r="S21" s="1470"/>
      <c r="T21" s="1470"/>
      <c r="U21" s="1470"/>
      <c r="V21" s="1470"/>
      <c r="W21" s="1470"/>
      <c r="X21" s="836" t="s">
        <v>408</v>
      </c>
      <c r="AA21" s="583" t="str">
        <f t="shared" si="0"/>
        <v xml:space="preserve">Наименование системы теплоснабжения </v>
      </c>
      <c r="AD21" s="539">
        <v>23</v>
      </c>
    </row>
    <row r="22" spans="1:30" ht="21" customHeight="1">
      <c r="A22" s="858" t="s">
        <v>178</v>
      </c>
      <c r="B22" s="858" t="s">
        <v>179</v>
      </c>
      <c r="C22" s="858" t="s">
        <v>180</v>
      </c>
      <c r="D22" s="858" t="s">
        <v>181</v>
      </c>
      <c r="J22" s="837"/>
      <c r="K22" s="838"/>
      <c r="L22" s="833" t="str">
        <f>INDEX(PT_DIFFERENTIATION_NUM_IST_TE,MATCH(D19,PT_DIFFERENTIATION_IST_TE_ID,0))</f>
        <v>...</v>
      </c>
      <c r="M22" s="841" t="s">
        <v>409</v>
      </c>
      <c r="N22" s="834"/>
      <c r="O22" s="1470" t="str">
        <f>INDEX(PT_DIFFERENTIATION_IST_TE,MATCH(D19,PT_DIFFERENTIATION_IST_TE_ID,0))</f>
        <v/>
      </c>
      <c r="P22" s="1470"/>
      <c r="Q22" s="1470"/>
      <c r="R22" s="1470"/>
      <c r="S22" s="1470"/>
      <c r="T22" s="1470"/>
      <c r="U22" s="1470"/>
      <c r="V22" s="1470"/>
      <c r="W22" s="1470"/>
      <c r="X22" s="836" t="s">
        <v>410</v>
      </c>
      <c r="AA22" s="583" t="str">
        <f t="shared" si="0"/>
        <v xml:space="preserve">Источник тепловой энергии  </v>
      </c>
      <c r="AD22" s="539">
        <v>20</v>
      </c>
    </row>
    <row r="23" spans="1:30" ht="96.75" customHeight="1">
      <c r="A23" s="858" t="s">
        <v>178</v>
      </c>
      <c r="B23" s="858" t="s">
        <v>179</v>
      </c>
      <c r="C23" s="858" t="s">
        <v>180</v>
      </c>
      <c r="D23" s="858" t="s">
        <v>181</v>
      </c>
      <c r="F23" s="1058" t="str">
        <f>L22&amp;".1"</f>
        <v>....1</v>
      </c>
      <c r="I23" s="1196">
        <v>1</v>
      </c>
      <c r="K23" s="843"/>
      <c r="L23" s="833" t="str">
        <f>$F$23</f>
        <v>....1</v>
      </c>
      <c r="M23" s="844" t="s">
        <v>412</v>
      </c>
      <c r="N23" s="834"/>
      <c r="O23" s="1226"/>
      <c r="P23" s="1226"/>
      <c r="Q23" s="1226"/>
      <c r="R23" s="1226"/>
      <c r="S23" s="1226"/>
      <c r="T23" s="1226"/>
      <c r="U23" s="1226"/>
      <c r="V23" s="1226"/>
      <c r="W23" s="1226"/>
      <c r="X23" s="836" t="s">
        <v>413</v>
      </c>
      <c r="AA23" s="583" t="str">
        <f t="shared" si="0"/>
        <v>Схема подключения теплопотребляющей установки к коллектору источника тепловой энергии</v>
      </c>
      <c r="AD23" s="539">
        <v>92</v>
      </c>
    </row>
    <row r="24" spans="1:30" ht="86.25" customHeight="1">
      <c r="A24" s="858" t="s">
        <v>178</v>
      </c>
      <c r="B24" s="858" t="s">
        <v>179</v>
      </c>
      <c r="C24" s="858" t="s">
        <v>180</v>
      </c>
      <c r="D24" s="858" t="s">
        <v>181</v>
      </c>
      <c r="F24" s="1038"/>
      <c r="G24" s="1058" t="str">
        <f>F23&amp;".1"</f>
        <v>....1.1</v>
      </c>
      <c r="I24" s="1038"/>
      <c r="J24" s="1196">
        <v>1</v>
      </c>
      <c r="K24" s="845"/>
      <c r="L24" s="833" t="str">
        <f>$G$24</f>
        <v>....1.1</v>
      </c>
      <c r="M24" s="846" t="s">
        <v>415</v>
      </c>
      <c r="N24" s="834"/>
      <c r="O24" s="1181"/>
      <c r="P24" s="1182"/>
      <c r="Q24" s="1182"/>
      <c r="R24" s="1182"/>
      <c r="S24" s="1182"/>
      <c r="T24" s="1182"/>
      <c r="U24" s="1182"/>
      <c r="V24" s="1182"/>
      <c r="W24" s="1183"/>
      <c r="X24" s="836" t="s">
        <v>416</v>
      </c>
      <c r="AA24" s="583" t="str">
        <f t="shared" si="0"/>
        <v>Группа потребителей</v>
      </c>
      <c r="AD24" s="539">
        <v>82</v>
      </c>
    </row>
    <row r="25" spans="1:30" ht="11.45" customHeight="1">
      <c r="A25" s="858" t="s">
        <v>178</v>
      </c>
      <c r="B25" s="858" t="s">
        <v>179</v>
      </c>
      <c r="C25" s="858" t="s">
        <v>180</v>
      </c>
      <c r="D25" s="858" t="s">
        <v>181</v>
      </c>
      <c r="F25" s="1038"/>
      <c r="G25" s="1038"/>
      <c r="H25" s="1058" t="str">
        <f>G24&amp;".1"</f>
        <v>....1.1.1</v>
      </c>
      <c r="I25" s="1038"/>
      <c r="J25" s="1038"/>
      <c r="K25" s="845">
        <v>1</v>
      </c>
      <c r="L25" s="833" t="str">
        <f>$H$25</f>
        <v>....1.1.1</v>
      </c>
      <c r="M25" s="847"/>
      <c r="N25" s="834"/>
      <c r="O25" s="312"/>
      <c r="P25" s="313"/>
      <c r="Q25" s="312"/>
      <c r="R25" s="314"/>
      <c r="S25" s="1197"/>
      <c r="T25" s="1079" t="s">
        <v>61</v>
      </c>
      <c r="U25" s="1197"/>
      <c r="V25" s="1079" t="s">
        <v>19</v>
      </c>
      <c r="W25" s="313"/>
      <c r="X25" s="1215" t="s">
        <v>418</v>
      </c>
      <c r="Y25" s="578" t="e">
        <f ca="1">STRCHECKDATE(O26:W26)</f>
        <v>#NAME?</v>
      </c>
      <c r="AA25" s="583" t="str">
        <f t="shared" si="0"/>
        <v/>
      </c>
      <c r="AD25" s="539">
        <v>11</v>
      </c>
    </row>
    <row r="26" spans="1:30" ht="11.45" customHeight="1">
      <c r="A26" s="858" t="s">
        <v>178</v>
      </c>
      <c r="B26" s="858" t="s">
        <v>179</v>
      </c>
      <c r="C26" s="858" t="s">
        <v>180</v>
      </c>
      <c r="D26" s="858" t="s">
        <v>181</v>
      </c>
      <c r="F26" s="1038"/>
      <c r="G26" s="1038"/>
      <c r="H26" s="1038"/>
      <c r="I26" s="1038"/>
      <c r="J26" s="1038"/>
      <c r="K26" s="845"/>
      <c r="L26" s="127"/>
      <c r="M26" s="834"/>
      <c r="N26" s="834"/>
      <c r="O26" s="313"/>
      <c r="P26" s="313"/>
      <c r="Q26" s="313"/>
      <c r="R26" s="315" t="str">
        <f>S25&amp;"-"&amp;U25</f>
        <v>-</v>
      </c>
      <c r="S26" s="1198"/>
      <c r="T26" s="1079"/>
      <c r="U26" s="1198"/>
      <c r="V26" s="1079"/>
      <c r="W26" s="313"/>
      <c r="X26" s="1216"/>
      <c r="AA26" s="583" t="str">
        <f t="shared" si="0"/>
        <v/>
      </c>
      <c r="AD26" s="539">
        <v>11</v>
      </c>
    </row>
    <row r="27" spans="1:30" ht="15.75" customHeight="1">
      <c r="A27" s="858" t="s">
        <v>178</v>
      </c>
      <c r="B27" s="858" t="s">
        <v>179</v>
      </c>
      <c r="C27" s="858" t="s">
        <v>180</v>
      </c>
      <c r="D27" s="858" t="s">
        <v>181</v>
      </c>
      <c r="F27" s="1038"/>
      <c r="G27" s="1038"/>
      <c r="I27" s="1038"/>
      <c r="J27" s="1038"/>
      <c r="K27" s="843"/>
      <c r="L27" s="316"/>
      <c r="M27" s="317" t="s">
        <v>419</v>
      </c>
      <c r="N27" s="52"/>
      <c r="O27" s="52"/>
      <c r="P27" s="52"/>
      <c r="Q27" s="52"/>
      <c r="R27" s="52"/>
      <c r="S27" s="52"/>
      <c r="T27" s="52"/>
      <c r="U27" s="52"/>
      <c r="V27" s="52"/>
      <c r="W27" s="318"/>
      <c r="X27" s="1217"/>
      <c r="AA27" s="583" t="str">
        <f t="shared" si="0"/>
        <v>Добавить вид теплоносителя (параметры теплоносителя)</v>
      </c>
      <c r="AD27" s="539">
        <v>15</v>
      </c>
    </row>
    <row r="28" spans="1:30" ht="15.75" customHeight="1">
      <c r="A28" s="858" t="s">
        <v>178</v>
      </c>
      <c r="B28" s="858" t="s">
        <v>179</v>
      </c>
      <c r="C28" s="858" t="s">
        <v>180</v>
      </c>
      <c r="D28" s="858" t="s">
        <v>181</v>
      </c>
      <c r="F28" s="1038"/>
      <c r="I28" s="1038"/>
      <c r="K28" s="843"/>
      <c r="L28" s="316"/>
      <c r="M28" s="319" t="s">
        <v>420</v>
      </c>
      <c r="N28" s="52"/>
      <c r="O28" s="52"/>
      <c r="P28" s="52"/>
      <c r="Q28" s="52"/>
      <c r="R28" s="52"/>
      <c r="S28" s="52"/>
      <c r="T28" s="52"/>
      <c r="U28" s="52"/>
      <c r="V28" s="320"/>
      <c r="W28" s="52"/>
      <c r="X28" s="321"/>
      <c r="AA28" s="583" t="str">
        <f t="shared" si="0"/>
        <v>Добавить группу потребителей</v>
      </c>
      <c r="AD28" s="539">
        <v>15</v>
      </c>
    </row>
    <row r="29" spans="1:30" ht="14.65" customHeight="1">
      <c r="A29" s="858" t="s">
        <v>178</v>
      </c>
      <c r="B29" s="858" t="s">
        <v>179</v>
      </c>
      <c r="C29" s="858" t="s">
        <v>180</v>
      </c>
      <c r="D29" s="858" t="s">
        <v>181</v>
      </c>
      <c r="K29" s="311"/>
      <c r="L29" s="316"/>
      <c r="M29" s="322" t="s">
        <v>421</v>
      </c>
      <c r="N29" s="52"/>
      <c r="O29" s="52"/>
      <c r="P29" s="52"/>
      <c r="Q29" s="52"/>
      <c r="R29" s="52"/>
      <c r="S29" s="52"/>
      <c r="T29" s="52"/>
      <c r="U29" s="52"/>
      <c r="V29" s="320"/>
      <c r="W29" s="52"/>
      <c r="X29" s="321"/>
      <c r="AA29" s="583" t="str">
        <f t="shared" si="0"/>
        <v>Добавить схему подключения</v>
      </c>
      <c r="AD29" s="539">
        <v>14</v>
      </c>
    </row>
    <row r="30" spans="1:30" ht="14.65" customHeight="1">
      <c r="A30" s="858" t="s">
        <v>178</v>
      </c>
      <c r="B30" s="858" t="s">
        <v>179</v>
      </c>
      <c r="C30" s="858" t="s">
        <v>180</v>
      </c>
      <c r="E30" s="858" t="s">
        <v>601</v>
      </c>
      <c r="K30" s="311"/>
      <c r="L30" s="364"/>
      <c r="M30" s="365"/>
      <c r="N30" s="366"/>
      <c r="O30" s="366"/>
      <c r="P30" s="366"/>
      <c r="Q30" s="366"/>
      <c r="R30" s="366"/>
      <c r="S30" s="366"/>
      <c r="T30" s="366"/>
      <c r="U30" s="366"/>
      <c r="V30" s="367"/>
      <c r="W30" s="366"/>
      <c r="X30" s="368"/>
      <c r="AA30" s="583" t="str">
        <f t="shared" si="0"/>
        <v/>
      </c>
      <c r="AD30" s="539">
        <v>14</v>
      </c>
    </row>
    <row r="31" spans="1:30" ht="14.65" customHeight="1">
      <c r="A31" s="858" t="s">
        <v>178</v>
      </c>
      <c r="B31" s="858" t="s">
        <v>179</v>
      </c>
      <c r="E31" s="858" t="s">
        <v>2365</v>
      </c>
      <c r="K31" s="280"/>
      <c r="L31" s="364"/>
      <c r="M31" s="369"/>
      <c r="N31" s="366"/>
      <c r="O31" s="366"/>
      <c r="P31" s="366"/>
      <c r="Q31" s="366"/>
      <c r="R31" s="366"/>
      <c r="S31" s="366"/>
      <c r="T31" s="366"/>
      <c r="U31" s="366"/>
      <c r="V31" s="367"/>
      <c r="W31" s="366"/>
      <c r="X31" s="368"/>
      <c r="AA31" s="583" t="str">
        <f t="shared" si="0"/>
        <v/>
      </c>
      <c r="AD31" s="539">
        <v>14</v>
      </c>
    </row>
    <row r="32" spans="1:30" ht="14.65" customHeight="1">
      <c r="A32" s="858" t="s">
        <v>2366</v>
      </c>
      <c r="E32" s="858" t="s">
        <v>109</v>
      </c>
      <c r="K32" s="311"/>
      <c r="L32" s="364"/>
      <c r="M32" s="370"/>
      <c r="N32" s="366"/>
      <c r="O32" s="366"/>
      <c r="P32" s="366"/>
      <c r="Q32" s="366"/>
      <c r="R32" s="366"/>
      <c r="S32" s="366"/>
      <c r="T32" s="366"/>
      <c r="U32" s="366"/>
      <c r="V32" s="367"/>
      <c r="W32" s="366"/>
      <c r="X32" s="368"/>
      <c r="AA32" s="583" t="str">
        <f t="shared" si="0"/>
        <v/>
      </c>
      <c r="AD32" s="539">
        <v>14</v>
      </c>
    </row>
    <row r="33" spans="1:30" ht="11.45" customHeight="1">
      <c r="E33" s="858" t="s">
        <v>456</v>
      </c>
      <c r="L33" s="371"/>
      <c r="M33" s="372"/>
      <c r="N33" s="366"/>
      <c r="O33" s="366"/>
      <c r="P33" s="366"/>
      <c r="Q33" s="366"/>
      <c r="R33" s="366"/>
      <c r="S33" s="366"/>
      <c r="T33" s="366"/>
      <c r="U33" s="366"/>
      <c r="V33" s="367"/>
      <c r="W33" s="366"/>
      <c r="X33" s="368"/>
      <c r="AD33" s="41">
        <v>11</v>
      </c>
    </row>
    <row r="34" spans="1:30" ht="11.45" customHeight="1">
      <c r="AD34" s="539">
        <v>11</v>
      </c>
    </row>
    <row r="35" spans="1:30" ht="28.5" customHeight="1">
      <c r="L35" s="745" t="s">
        <v>820</v>
      </c>
      <c r="M35" s="1299" t="s">
        <v>2367</v>
      </c>
      <c r="N35" s="1038"/>
      <c r="O35" s="1038"/>
      <c r="P35" s="1038"/>
      <c r="Q35" s="1038"/>
      <c r="R35" s="1038"/>
      <c r="S35" s="1038"/>
      <c r="T35" s="1038"/>
      <c r="U35" s="1038"/>
      <c r="V35" s="1038"/>
      <c r="W35" s="1038"/>
      <c r="X35" s="1038"/>
      <c r="AD35" s="539">
        <v>27</v>
      </c>
    </row>
    <row r="36" spans="1:30" ht="109.15" customHeight="1">
      <c r="M36" s="1299" t="s">
        <v>2368</v>
      </c>
      <c r="N36" s="1038"/>
      <c r="O36" s="1038"/>
      <c r="P36" s="1038"/>
      <c r="Q36" s="1038"/>
      <c r="R36" s="1038"/>
      <c r="S36" s="1038"/>
      <c r="T36" s="1038"/>
      <c r="U36" s="1038"/>
      <c r="V36" s="1038"/>
      <c r="W36" s="1038"/>
      <c r="X36" s="1038"/>
      <c r="AD36" s="539">
        <v>104</v>
      </c>
    </row>
    <row r="37" spans="1:30" ht="14.65" customHeight="1">
      <c r="AD37" s="539">
        <v>14</v>
      </c>
    </row>
    <row r="38" spans="1:30" ht="14.65" customHeight="1">
      <c r="AD38" s="539">
        <v>14</v>
      </c>
    </row>
    <row r="39" spans="1:30" ht="14.65" customHeight="1">
      <c r="AD39" s="539">
        <v>14</v>
      </c>
    </row>
    <row r="40" spans="1:30" ht="14.65" customHeight="1">
      <c r="AD40" s="539">
        <v>14</v>
      </c>
    </row>
    <row r="41" spans="1:30" ht="22.5" hidden="1" customHeight="1">
      <c r="A41" s="556" t="s">
        <v>81</v>
      </c>
      <c r="B41" s="556">
        <v>0</v>
      </c>
      <c r="C41" s="556">
        <v>0</v>
      </c>
      <c r="D41" s="556">
        <v>0</v>
      </c>
      <c r="E41" s="556">
        <v>0</v>
      </c>
      <c r="F41" s="12">
        <v>0</v>
      </c>
      <c r="G41" s="12">
        <v>0</v>
      </c>
      <c r="H41" s="12">
        <v>0</v>
      </c>
      <c r="I41" s="301">
        <v>3</v>
      </c>
      <c r="J41" s="822">
        <v>3</v>
      </c>
      <c r="K41" s="822">
        <v>3</v>
      </c>
      <c r="L41" s="554">
        <v>12</v>
      </c>
      <c r="M41" s="539">
        <v>31</v>
      </c>
      <c r="N41" s="539">
        <v>1</v>
      </c>
      <c r="O41" s="539">
        <v>24</v>
      </c>
      <c r="P41" s="539">
        <v>24</v>
      </c>
      <c r="Q41" s="539">
        <v>24</v>
      </c>
      <c r="R41" s="539">
        <v>24</v>
      </c>
      <c r="S41" s="539">
        <v>11</v>
      </c>
      <c r="T41" s="539">
        <v>3</v>
      </c>
      <c r="U41" s="539">
        <v>11</v>
      </c>
      <c r="V41" s="539">
        <v>8</v>
      </c>
      <c r="W41" s="539">
        <v>4</v>
      </c>
      <c r="X41" s="539">
        <v>115</v>
      </c>
      <c r="Y41" s="578">
        <v>10</v>
      </c>
      <c r="Z41" s="578">
        <v>10</v>
      </c>
      <c r="AA41" s="578">
        <v>10</v>
      </c>
      <c r="AB41" s="578">
        <v>10</v>
      </c>
      <c r="AC41" s="578">
        <v>10</v>
      </c>
      <c r="AD41" s="539">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2" width="15" style="1030" hidden="1" customWidth="1"/>
    <col min="3" max="3" width="3" style="1030" customWidth="1"/>
    <col min="4" max="4" width="6" style="1030" customWidth="1"/>
    <col min="5" max="5" width="52" style="1030" customWidth="1"/>
    <col min="6" max="6" width="48" style="1030" customWidth="1"/>
    <col min="7" max="7" width="121" style="1030" customWidth="1"/>
    <col min="8" max="8" width="8" style="1030" customWidth="1"/>
    <col min="9" max="9" width="64" style="1030" customWidth="1"/>
    <col min="10" max="10" width="9.140625" style="1030" hidden="1"/>
  </cols>
  <sheetData>
    <row r="1" spans="1:10" ht="11.25" hidden="1" customHeight="1">
      <c r="A1" s="625" t="s">
        <v>307</v>
      </c>
      <c r="J1" s="626" t="s">
        <v>14</v>
      </c>
    </row>
    <row r="2" spans="1:10" ht="11.25" hidden="1" customHeight="1">
      <c r="J2" s="626">
        <v>0</v>
      </c>
    </row>
    <row r="3" spans="1:10" ht="11.45" customHeight="1">
      <c r="A3" s="625"/>
      <c r="B3" s="627"/>
      <c r="D3" s="628"/>
      <c r="J3" s="629">
        <v>11</v>
      </c>
    </row>
    <row r="4" spans="1:10" ht="27.4" customHeight="1">
      <c r="D4" s="1119" t="str">
        <f>ORG_INFO_NAME_FORM</f>
        <v>Форма 1. Информация об организации, осуществляющей водоотведение (общая информация)</v>
      </c>
      <c r="E4" s="1120"/>
      <c r="F4" s="1121"/>
      <c r="J4" s="626">
        <v>26</v>
      </c>
    </row>
    <row r="5" spans="1:10" ht="18" customHeight="1">
      <c r="D5" s="1148" t="str">
        <f>IF(org=0,"Не определено",org)</f>
        <v>АО "НИЖЕГОРОДСКИЙ ВОДОКАНАЛ"</v>
      </c>
      <c r="E5" s="1148"/>
      <c r="F5" s="1148"/>
      <c r="J5" s="626">
        <v>17</v>
      </c>
    </row>
    <row r="6" spans="1:10" ht="11.45" customHeight="1">
      <c r="A6" s="625"/>
      <c r="B6" s="627"/>
      <c r="F6" s="630"/>
      <c r="J6" s="629">
        <v>11</v>
      </c>
    </row>
    <row r="7" spans="1:10" ht="11.25" hidden="1" customHeight="1">
      <c r="A7" s="557"/>
      <c r="B7" s="631"/>
      <c r="C7" s="557"/>
      <c r="D7" s="552"/>
      <c r="E7" s="1153"/>
      <c r="F7" s="1153"/>
      <c r="J7" s="626">
        <v>0</v>
      </c>
    </row>
    <row r="8" spans="1:10" ht="11.45" customHeight="1">
      <c r="A8" s="557"/>
      <c r="B8" s="631"/>
      <c r="C8" s="557"/>
      <c r="D8" s="1150" t="s">
        <v>308</v>
      </c>
      <c r="E8" s="1151"/>
      <c r="F8" s="1151"/>
      <c r="G8" s="1154" t="s">
        <v>309</v>
      </c>
      <c r="J8" s="626">
        <v>11</v>
      </c>
    </row>
    <row r="9" spans="1:10" ht="11.45" customHeight="1">
      <c r="A9" s="557"/>
      <c r="B9" s="631"/>
      <c r="C9" s="557"/>
      <c r="D9" s="92" t="s">
        <v>87</v>
      </c>
      <c r="E9" s="632" t="s">
        <v>310</v>
      </c>
      <c r="F9" s="632" t="s">
        <v>311</v>
      </c>
      <c r="G9" s="1155"/>
      <c r="J9" s="626">
        <v>11</v>
      </c>
    </row>
    <row r="10" spans="1:10" ht="12" hidden="1" customHeight="1">
      <c r="A10" s="557"/>
      <c r="B10" s="631"/>
      <c r="C10" s="557"/>
      <c r="D10" s="634"/>
      <c r="E10" s="634"/>
      <c r="F10" s="634"/>
      <c r="G10" s="634"/>
      <c r="J10" s="626">
        <v>0</v>
      </c>
    </row>
    <row r="11" spans="1:10" ht="22.5" hidden="1" customHeight="1">
      <c r="A11" s="557"/>
      <c r="B11" s="631"/>
      <c r="C11" s="557"/>
      <c r="D11" s="93" t="s">
        <v>114</v>
      </c>
      <c r="E11" s="635" t="s">
        <v>312</v>
      </c>
      <c r="F11" s="636" t="str">
        <f>IF(region_name="","",region_name)</f>
        <v>Нижегородская область</v>
      </c>
      <c r="G11" s="635" t="s">
        <v>313</v>
      </c>
      <c r="H11" s="637"/>
      <c r="J11" s="626">
        <v>0</v>
      </c>
    </row>
    <row r="12" spans="1:10" ht="22.5" hidden="1" customHeight="1">
      <c r="A12" s="557"/>
      <c r="B12" s="631"/>
      <c r="C12" s="557"/>
      <c r="D12" s="94" t="s">
        <v>114</v>
      </c>
      <c r="E12" s="63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603" t="s">
        <v>314</v>
      </c>
      <c r="G12" s="639"/>
      <c r="H12" s="637"/>
      <c r="J12" s="626">
        <v>0</v>
      </c>
    </row>
    <row r="13" spans="1:10" ht="23.25" customHeight="1">
      <c r="A13" s="557"/>
      <c r="B13" s="631"/>
      <c r="C13" s="557"/>
      <c r="D13" s="94" t="s">
        <v>114</v>
      </c>
      <c r="E13" s="640" t="str">
        <f>"Наименование юридического лица"&amp;IF(TEMPLATE_SPHERE="TKO"," (индивидуального предпринимателя)","")</f>
        <v>Наименование юридического лица</v>
      </c>
      <c r="F13" s="95"/>
      <c r="G13" s="63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637"/>
      <c r="J13" s="626">
        <v>22</v>
      </c>
    </row>
    <row r="14" spans="1:10" ht="22.5" hidden="1" customHeight="1">
      <c r="A14" s="557"/>
      <c r="B14" s="631"/>
      <c r="C14" s="557"/>
      <c r="D14" s="93" t="s">
        <v>315</v>
      </c>
      <c r="E14" s="641" t="s">
        <v>316</v>
      </c>
      <c r="F14" s="636" t="str">
        <f>IF(inn="","",inn)</f>
        <v>5257086827</v>
      </c>
      <c r="G14" s="635" t="s">
        <v>317</v>
      </c>
      <c r="H14" s="637"/>
      <c r="J14" s="626">
        <v>0</v>
      </c>
    </row>
    <row r="15" spans="1:10" ht="22.5" hidden="1" customHeight="1">
      <c r="A15" s="557"/>
      <c r="B15" s="631"/>
      <c r="C15" s="557"/>
      <c r="D15" s="93" t="s">
        <v>318</v>
      </c>
      <c r="E15" s="641" t="s">
        <v>319</v>
      </c>
      <c r="F15" s="636" t="str">
        <f>IF(kpp="","",kpp)</f>
        <v>525701001</v>
      </c>
      <c r="G15" s="635" t="s">
        <v>320</v>
      </c>
      <c r="H15" s="637"/>
      <c r="J15" s="626">
        <v>0</v>
      </c>
    </row>
    <row r="16" spans="1:10" ht="39" customHeight="1">
      <c r="A16" s="557"/>
      <c r="B16" s="631"/>
      <c r="C16" s="557"/>
      <c r="D16" s="94" t="s">
        <v>102</v>
      </c>
      <c r="E16" s="64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5"/>
      <c r="G16" s="63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637"/>
      <c r="J16" s="626">
        <v>37</v>
      </c>
    </row>
    <row r="17" spans="1:10" ht="23.25" customHeight="1">
      <c r="A17" s="557"/>
      <c r="B17" s="631"/>
      <c r="C17" s="557"/>
      <c r="D17" s="94" t="s">
        <v>89</v>
      </c>
      <c r="E17" s="640" t="str">
        <f>"Дата присвоения ОГРН"&amp;IF(TEMPLATE_SPHERE="TKO",""," (ОГРНИП)")</f>
        <v>Дата присвоения ОГРН (ОГРНИП)</v>
      </c>
      <c r="F17" s="8" t="s">
        <v>22</v>
      </c>
      <c r="G17" s="638" t="str">
        <f>"Дата присвоения ОГРН"&amp;IF(TEMPLATE_SPHERE="TKO",""," (ОГРНИП)")&amp;" указывается в виде «ДД.ММ.ГГГГ»."</f>
        <v>Дата присвоения ОГРН (ОГРНИП) указывается в виде «ДД.ММ.ГГГГ».</v>
      </c>
      <c r="H17" s="637"/>
      <c r="J17" s="626">
        <v>22</v>
      </c>
    </row>
    <row r="18" spans="1:10" ht="71.25" customHeight="1">
      <c r="A18" s="557"/>
      <c r="B18" s="631"/>
      <c r="C18" s="557"/>
      <c r="D18" s="94" t="s">
        <v>90</v>
      </c>
      <c r="E18" s="64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5"/>
      <c r="G18" s="639"/>
      <c r="H18" s="637"/>
      <c r="J18" s="626">
        <v>68</v>
      </c>
    </row>
    <row r="19" spans="1:10" ht="22.5" hidden="1" customHeight="1">
      <c r="A19" s="1149" t="s">
        <v>321</v>
      </c>
      <c r="B19" s="631"/>
      <c r="C19" s="1159"/>
      <c r="D19" s="94" t="str">
        <f>A19</f>
        <v>5.1</v>
      </c>
      <c r="E19" s="640" t="s">
        <v>322</v>
      </c>
      <c r="F19" s="603" t="s">
        <v>314</v>
      </c>
      <c r="G19" s="638" t="s">
        <v>323</v>
      </c>
      <c r="H19" s="637"/>
      <c r="J19" s="626">
        <v>0</v>
      </c>
    </row>
    <row r="20" spans="1:10" ht="24" hidden="1" customHeight="1">
      <c r="A20" s="1149"/>
      <c r="B20" s="631"/>
      <c r="C20" s="1159"/>
      <c r="D20" s="643" t="str">
        <f>D19&amp;".1"</f>
        <v>5.1.1</v>
      </c>
      <c r="E20" s="644" t="s">
        <v>324</v>
      </c>
      <c r="F20" s="97" t="s">
        <v>22</v>
      </c>
      <c r="G20" s="639"/>
      <c r="H20" s="637"/>
      <c r="J20" s="626">
        <v>0</v>
      </c>
    </row>
    <row r="21" spans="1:10" ht="22.5" hidden="1" customHeight="1">
      <c r="A21" s="1149"/>
      <c r="B21" s="631"/>
      <c r="C21" s="1159"/>
      <c r="D21" s="643" t="str">
        <f>D19&amp;".2"</f>
        <v>5.1.2</v>
      </c>
      <c r="E21" s="644" t="s">
        <v>325</v>
      </c>
      <c r="F21" s="15" t="s">
        <v>22</v>
      </c>
      <c r="G21" s="638" t="s">
        <v>326</v>
      </c>
      <c r="H21" s="637"/>
      <c r="J21" s="626">
        <v>0</v>
      </c>
    </row>
    <row r="22" spans="1:10" ht="22.5" hidden="1" customHeight="1">
      <c r="A22" s="1149"/>
      <c r="B22" s="631"/>
      <c r="C22" s="1159"/>
      <c r="D22" s="643" t="str">
        <f>D19&amp;".3"</f>
        <v>5.1.3</v>
      </c>
      <c r="E22" s="644" t="s">
        <v>327</v>
      </c>
      <c r="F22" s="97" t="s">
        <v>22</v>
      </c>
      <c r="G22" s="639"/>
      <c r="H22" s="637"/>
      <c r="J22" s="626">
        <v>0</v>
      </c>
    </row>
    <row r="23" spans="1:10" ht="22.5" hidden="1" customHeight="1">
      <c r="A23" s="1149"/>
      <c r="B23" s="631"/>
      <c r="C23" s="1159"/>
      <c r="D23" s="643" t="str">
        <f>D19&amp;".4"</f>
        <v>5.1.4</v>
      </c>
      <c r="E23" s="644" t="s">
        <v>328</v>
      </c>
      <c r="F23" s="97" t="s">
        <v>22</v>
      </c>
      <c r="G23" s="638" t="s">
        <v>329</v>
      </c>
      <c r="H23" s="637"/>
      <c r="J23" s="626">
        <v>0</v>
      </c>
    </row>
    <row r="24" spans="1:10" ht="22.5" hidden="1" customHeight="1">
      <c r="A24" s="98"/>
      <c r="B24" s="631"/>
      <c r="C24" s="645"/>
      <c r="D24" s="646"/>
      <c r="E24" s="44" t="s">
        <v>330</v>
      </c>
      <c r="F24" s="647"/>
      <c r="G24" s="648"/>
      <c r="H24" s="637"/>
      <c r="J24" s="626">
        <v>0</v>
      </c>
    </row>
    <row r="25" spans="1:10" ht="24.75" hidden="1" customHeight="1">
      <c r="A25" s="557"/>
      <c r="B25" s="631"/>
      <c r="C25" s="631"/>
      <c r="D25" s="99" t="s">
        <v>89</v>
      </c>
      <c r="E25" s="649" t="s">
        <v>331</v>
      </c>
      <c r="F25" s="585" t="s">
        <v>314</v>
      </c>
      <c r="G25" s="649"/>
      <c r="J25" s="627">
        <v>0</v>
      </c>
    </row>
    <row r="26" spans="1:10" ht="11.25" hidden="1" customHeight="1">
      <c r="A26" s="557"/>
      <c r="B26" s="631"/>
      <c r="C26" s="631"/>
      <c r="D26" s="99" t="s">
        <v>332</v>
      </c>
      <c r="E26" s="650" t="s">
        <v>333</v>
      </c>
      <c r="F26" s="585" t="s">
        <v>314</v>
      </c>
      <c r="G26" s="649"/>
      <c r="J26" s="627">
        <v>0</v>
      </c>
    </row>
    <row r="27" spans="1:10" ht="11.25" hidden="1" customHeight="1">
      <c r="A27" s="557"/>
      <c r="B27" s="631"/>
      <c r="C27" s="631"/>
      <c r="D27" s="99" t="s">
        <v>334</v>
      </c>
      <c r="E27" s="651" t="s">
        <v>335</v>
      </c>
      <c r="F27" s="100"/>
      <c r="G27" s="64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627">
        <v>0</v>
      </c>
    </row>
    <row r="28" spans="1:10" ht="11.25" hidden="1" customHeight="1">
      <c r="A28" s="557"/>
      <c r="B28" s="631"/>
      <c r="C28" s="631"/>
      <c r="D28" s="99" t="s">
        <v>336</v>
      </c>
      <c r="E28" s="651" t="s">
        <v>337</v>
      </c>
      <c r="F28" s="100"/>
      <c r="G28" s="64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627">
        <v>0</v>
      </c>
    </row>
    <row r="29" spans="1:10" ht="11.25" hidden="1" customHeight="1">
      <c r="A29" s="557"/>
      <c r="B29" s="631"/>
      <c r="C29" s="631"/>
      <c r="D29" s="99" t="s">
        <v>338</v>
      </c>
      <c r="E29" s="651" t="s">
        <v>339</v>
      </c>
      <c r="F29" s="100"/>
      <c r="G29" s="64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627">
        <v>0</v>
      </c>
    </row>
    <row r="30" spans="1:10" ht="11.25" hidden="1" customHeight="1">
      <c r="A30" s="557"/>
      <c r="B30" s="631"/>
      <c r="C30" s="631"/>
      <c r="D30" s="99" t="s">
        <v>340</v>
      </c>
      <c r="E30" s="650" t="s">
        <v>341</v>
      </c>
      <c r="F30" s="100"/>
      <c r="G30" s="649"/>
      <c r="J30" s="627">
        <v>0</v>
      </c>
    </row>
    <row r="31" spans="1:10" ht="11.25" hidden="1" customHeight="1">
      <c r="A31" s="557"/>
      <c r="B31" s="631"/>
      <c r="C31" s="631"/>
      <c r="D31" s="99" t="s">
        <v>342</v>
      </c>
      <c r="E31" s="650" t="s">
        <v>343</v>
      </c>
      <c r="F31" s="100"/>
      <c r="G31" s="649"/>
      <c r="J31" s="627">
        <v>0</v>
      </c>
    </row>
    <row r="32" spans="1:10" ht="11.25" hidden="1" customHeight="1">
      <c r="A32" s="557"/>
      <c r="B32" s="631"/>
      <c r="C32" s="631"/>
      <c r="D32" s="99" t="s">
        <v>344</v>
      </c>
      <c r="E32" s="650" t="s">
        <v>345</v>
      </c>
      <c r="F32" s="100"/>
      <c r="G32" s="649"/>
      <c r="J32" s="627">
        <v>0</v>
      </c>
    </row>
    <row r="33" spans="1:10" ht="24" customHeight="1">
      <c r="A33" s="557" t="str">
        <f>IF(TEMPLATE_SPHERE="HEAT","6","5")</f>
        <v>5</v>
      </c>
      <c r="B33" s="631"/>
      <c r="C33" s="557"/>
      <c r="D33" s="643" t="str">
        <f>A33</f>
        <v>5</v>
      </c>
      <c r="E33" s="65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603" t="s">
        <v>314</v>
      </c>
      <c r="G33" s="639"/>
      <c r="H33" s="637"/>
      <c r="J33" s="626">
        <v>23</v>
      </c>
    </row>
    <row r="34" spans="1:10" ht="23.25" customHeight="1">
      <c r="A34" s="557"/>
      <c r="B34" s="631"/>
      <c r="C34" s="557"/>
      <c r="D34" s="643" t="str">
        <f>D33&amp;".1"</f>
        <v>5.1</v>
      </c>
      <c r="E34" s="640" t="str">
        <f>"фамилия"&amp;IF(TEMPLATE_SPHERE&lt;&gt;"HEAT"," руководителя","")</f>
        <v>фамилия руководителя</v>
      </c>
      <c r="F34" s="95"/>
      <c r="G34" s="63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637"/>
      <c r="J34" s="626">
        <v>22</v>
      </c>
    </row>
    <row r="35" spans="1:10" ht="23.25" customHeight="1">
      <c r="A35" s="557"/>
      <c r="B35" s="631"/>
      <c r="C35" s="557"/>
      <c r="D35" s="643" t="str">
        <f>D33&amp;".2"</f>
        <v>5.2</v>
      </c>
      <c r="E35" s="640" t="str">
        <f>"имя"&amp;IF(TEMPLATE_SPHERE&lt;&gt;"HEAT"," руководителя","")</f>
        <v>имя руководителя</v>
      </c>
      <c r="F35" s="95"/>
      <c r="G35" s="63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637"/>
      <c r="J35" s="626">
        <v>22</v>
      </c>
    </row>
    <row r="36" spans="1:10" ht="24" customHeight="1">
      <c r="A36" s="557"/>
      <c r="B36" s="631"/>
      <c r="C36" s="557"/>
      <c r="D36" s="643" t="str">
        <f>D33&amp;".3"</f>
        <v>5.3</v>
      </c>
      <c r="E36" s="640" t="str">
        <f>"отчество"&amp;IF(TEMPLATE_SPHERE&lt;&gt;"HEAT"," руководителя","")</f>
        <v>отчество руководителя</v>
      </c>
      <c r="F36" s="101"/>
      <c r="G36" s="63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637"/>
      <c r="J36" s="626">
        <v>23</v>
      </c>
    </row>
    <row r="37" spans="1:10" ht="35.65" customHeight="1">
      <c r="A37" s="557"/>
      <c r="B37" s="631"/>
      <c r="C37" s="557"/>
      <c r="D37" s="643">
        <f>D33+1</f>
        <v>6</v>
      </c>
      <c r="E37" s="65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95"/>
      <c r="G37" s="638" t="s">
        <v>346</v>
      </c>
      <c r="H37" s="637"/>
      <c r="J37" s="626">
        <v>34</v>
      </c>
    </row>
    <row r="38" spans="1:10" ht="35.65" customHeight="1">
      <c r="A38" s="557"/>
      <c r="B38" s="631"/>
      <c r="C38" s="557"/>
      <c r="D38" s="643">
        <f>D37+1</f>
        <v>7</v>
      </c>
      <c r="E38" s="65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95"/>
      <c r="G38" s="638" t="s">
        <v>346</v>
      </c>
      <c r="H38" s="637"/>
      <c r="J38" s="626">
        <v>34</v>
      </c>
    </row>
    <row r="39" spans="1:10" ht="23.25" customHeight="1">
      <c r="A39" s="557"/>
      <c r="B39" s="631"/>
      <c r="C39" s="557"/>
      <c r="D39" s="643">
        <f>D38+1</f>
        <v>8</v>
      </c>
      <c r="E39" s="65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603" t="s">
        <v>314</v>
      </c>
      <c r="G39" s="115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637"/>
      <c r="J39" s="626">
        <v>22</v>
      </c>
    </row>
    <row r="40" spans="1:10" ht="22.5" hidden="1" customHeight="1">
      <c r="A40" s="557"/>
      <c r="B40" s="631"/>
      <c r="C40" s="557"/>
      <c r="D40" s="643" t="str">
        <f>D39&amp;".0"</f>
        <v>8.0</v>
      </c>
      <c r="E40" s="102"/>
      <c r="F40" s="97"/>
      <c r="G40" s="1157"/>
      <c r="H40" s="637"/>
      <c r="J40" s="626">
        <v>0</v>
      </c>
    </row>
    <row r="41" spans="1:10" ht="23.25" customHeight="1">
      <c r="A41" s="557"/>
      <c r="B41" s="557"/>
      <c r="C41" s="654"/>
      <c r="D41" s="643" t="str">
        <f>D39&amp;".1"</f>
        <v>8.1</v>
      </c>
      <c r="E41" s="103"/>
      <c r="F41" s="104"/>
      <c r="G41" s="1157"/>
      <c r="H41" s="637"/>
      <c r="J41" s="626">
        <v>22</v>
      </c>
    </row>
    <row r="42" spans="1:10" ht="15.75" customHeight="1">
      <c r="A42" s="557"/>
      <c r="B42" s="631"/>
      <c r="C42" s="557"/>
      <c r="D42" s="646"/>
      <c r="E42" s="44" t="s">
        <v>347</v>
      </c>
      <c r="F42" s="648"/>
      <c r="G42" s="1158"/>
      <c r="H42" s="655"/>
      <c r="J42" s="626">
        <v>15</v>
      </c>
    </row>
    <row r="43" spans="1:10" ht="27.4" customHeight="1">
      <c r="A43" s="557"/>
      <c r="B43" s="631"/>
      <c r="C43" s="557"/>
      <c r="D43" s="643">
        <f>D39+1</f>
        <v>9</v>
      </c>
      <c r="E43" s="65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05"/>
      <c r="G43" s="63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637"/>
      <c r="J43" s="626">
        <v>26</v>
      </c>
    </row>
    <row r="44" spans="1:10" ht="23.25" customHeight="1">
      <c r="A44" s="557"/>
      <c r="B44" s="631"/>
      <c r="C44" s="557"/>
      <c r="D44" s="643">
        <f>D43+1</f>
        <v>10</v>
      </c>
      <c r="E44" s="65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106"/>
      <c r="G44" s="639" t="s">
        <v>348</v>
      </c>
      <c r="H44" s="637"/>
      <c r="J44" s="626">
        <v>22</v>
      </c>
    </row>
    <row r="45" spans="1:10" ht="23.25" customHeight="1">
      <c r="A45" s="557"/>
      <c r="B45" s="631"/>
      <c r="C45" s="557"/>
      <c r="D45" s="643">
        <f>D44+1</f>
        <v>11</v>
      </c>
      <c r="E45" s="652" t="s">
        <v>349</v>
      </c>
      <c r="F45" s="603" t="s">
        <v>314</v>
      </c>
      <c r="G45" s="653" t="str">
        <f>IF(TEMPLATE_SPHERE="TKO","Указывается режим работы организации.","")</f>
        <v/>
      </c>
      <c r="H45" s="637"/>
      <c r="J45" s="626">
        <v>22</v>
      </c>
    </row>
    <row r="46" spans="1:10" ht="24" customHeight="1">
      <c r="A46" s="557"/>
      <c r="B46" s="631"/>
      <c r="C46" s="557"/>
      <c r="D46" s="643" t="str">
        <f>D45&amp;".1"</f>
        <v>11.1</v>
      </c>
      <c r="E46" s="640" t="str">
        <f>"режим работы регулируемой организации"&amp;IF(TEMPLATE_SPHERE="HEAT",", ЕТО, ТО","")</f>
        <v>режим работы регулируемой организации</v>
      </c>
      <c r="F46" s="107"/>
      <c r="G46" s="653" t="s">
        <v>350</v>
      </c>
      <c r="H46" s="637"/>
      <c r="J46" s="626">
        <v>23</v>
      </c>
    </row>
    <row r="47" spans="1:10" ht="24" customHeight="1">
      <c r="A47" s="1149"/>
      <c r="B47" s="631"/>
      <c r="C47" s="645"/>
      <c r="D47" s="643" t="str">
        <f>D45&amp;".2"</f>
        <v>11.2</v>
      </c>
      <c r="E47" s="640" t="s">
        <v>351</v>
      </c>
      <c r="F47" s="107"/>
      <c r="G47" s="653" t="s">
        <v>352</v>
      </c>
      <c r="H47" s="637"/>
      <c r="J47" s="626">
        <v>23</v>
      </c>
    </row>
    <row r="48" spans="1:10" ht="24" customHeight="1">
      <c r="A48" s="1149"/>
      <c r="B48" s="631"/>
      <c r="C48" s="645"/>
      <c r="D48" s="643" t="str">
        <f>D45&amp;".3"</f>
        <v>11.3</v>
      </c>
      <c r="E48" s="640" t="s">
        <v>353</v>
      </c>
      <c r="F48" s="107"/>
      <c r="G48" s="653" t="s">
        <v>354</v>
      </c>
      <c r="H48" s="637"/>
      <c r="J48" s="626">
        <v>23</v>
      </c>
    </row>
    <row r="49" spans="1:10" ht="24" customHeight="1">
      <c r="A49" s="1149"/>
      <c r="B49" s="631"/>
      <c r="C49" s="645"/>
      <c r="D49" s="643" t="str">
        <f>IF(TEMPLATE_SPHERE="TKO",D45&amp;".0",D45&amp;".4")</f>
        <v>11.4</v>
      </c>
      <c r="E49" s="656" t="s">
        <v>355</v>
      </c>
      <c r="F49" s="108"/>
      <c r="G49" s="657" t="s">
        <v>356</v>
      </c>
      <c r="H49" s="637"/>
      <c r="J49" s="626">
        <v>23</v>
      </c>
    </row>
    <row r="50" spans="1:10" ht="24" customHeight="1">
      <c r="A50" s="557"/>
      <c r="B50" s="631"/>
      <c r="C50" s="557"/>
      <c r="D50" s="646"/>
      <c r="E50" s="44" t="s">
        <v>357</v>
      </c>
      <c r="F50" s="647"/>
      <c r="G50" s="657" t="s">
        <v>358</v>
      </c>
      <c r="H50" s="655"/>
      <c r="J50" s="626">
        <v>23</v>
      </c>
    </row>
    <row r="51" spans="1:10" ht="24" customHeight="1">
      <c r="A51" s="96"/>
      <c r="B51" s="631"/>
      <c r="C51" s="645"/>
      <c r="D51" s="643">
        <f>D45+1</f>
        <v>12</v>
      </c>
      <c r="E51" s="658" t="s">
        <v>359</v>
      </c>
      <c r="F51" s="107"/>
      <c r="G51" s="65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637"/>
      <c r="J51" s="626">
        <v>23</v>
      </c>
    </row>
    <row r="52" spans="1:10" ht="11.45" customHeight="1">
      <c r="A52" s="557"/>
      <c r="B52" s="631"/>
      <c r="C52" s="557"/>
      <c r="J52" s="626">
        <v>11</v>
      </c>
    </row>
    <row r="53" spans="1:10" ht="31.5" customHeight="1">
      <c r="C53" s="1038"/>
      <c r="D53" s="115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038"/>
      <c r="F53" s="1038"/>
      <c r="G53" s="1038"/>
      <c r="J53" s="660">
        <v>30</v>
      </c>
    </row>
    <row r="54" spans="1:10" ht="42" customHeight="1">
      <c r="A54" s="557"/>
      <c r="B54" s="631"/>
      <c r="C54" s="1038"/>
      <c r="D54" s="115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038"/>
      <c r="F54" s="1038"/>
      <c r="G54" s="1038"/>
      <c r="J54" s="660">
        <v>40</v>
      </c>
    </row>
    <row r="55" spans="1:10" ht="11.45" customHeight="1">
      <c r="D55" s="661"/>
      <c r="E55" s="662"/>
      <c r="F55" s="662"/>
      <c r="G55" s="662"/>
      <c r="J55" s="626">
        <v>11</v>
      </c>
    </row>
    <row r="56" spans="1:10" ht="28.5" customHeight="1">
      <c r="D56" s="663"/>
      <c r="E56" s="661"/>
      <c r="F56" s="664"/>
      <c r="G56" s="664"/>
      <c r="J56" s="626">
        <v>27</v>
      </c>
    </row>
    <row r="57" spans="1:10" ht="11.45" customHeight="1">
      <c r="D57" s="661"/>
      <c r="E57" s="661"/>
      <c r="F57" s="662"/>
      <c r="G57" s="662"/>
      <c r="J57" s="626">
        <v>11</v>
      </c>
    </row>
    <row r="58" spans="1:10" ht="40.9" customHeight="1">
      <c r="D58" s="665"/>
      <c r="E58" s="666"/>
      <c r="F58" s="666"/>
      <c r="G58" s="666"/>
      <c r="J58" s="626">
        <v>39</v>
      </c>
    </row>
    <row r="59" spans="1:10" ht="28.5" customHeight="1">
      <c r="D59" s="665"/>
      <c r="E59" s="666"/>
      <c r="F59" s="666"/>
      <c r="G59" s="666"/>
      <c r="J59" s="626">
        <v>27</v>
      </c>
    </row>
    <row r="60" spans="1:10" ht="11.25" hidden="1" customHeight="1">
      <c r="A60" s="625" t="s">
        <v>81</v>
      </c>
      <c r="B60" s="627">
        <v>0</v>
      </c>
      <c r="C60" s="626">
        <v>3</v>
      </c>
      <c r="D60" s="667">
        <v>6</v>
      </c>
      <c r="E60" s="626">
        <v>52</v>
      </c>
      <c r="F60" s="626">
        <v>48</v>
      </c>
      <c r="G60" s="626">
        <v>121</v>
      </c>
      <c r="H60" s="626">
        <v>8</v>
      </c>
      <c r="I60" s="626">
        <v>64</v>
      </c>
      <c r="J60" s="626">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1030" customWidth="1"/>
    <col min="2" max="2" width="8.7109375" style="1030" customWidth="1"/>
    <col min="3" max="3" width="18.140625" style="1030" customWidth="1"/>
    <col min="4" max="4" width="12.5703125" style="1030" customWidth="1"/>
  </cols>
  <sheetData>
    <row r="1" spans="1:5" ht="11.25" customHeight="1">
      <c r="A1" s="71" t="s">
        <v>2369</v>
      </c>
      <c r="B1" s="171" t="s">
        <v>2370</v>
      </c>
      <c r="C1" s="1473" t="s">
        <v>2371</v>
      </c>
      <c r="D1" s="1474"/>
      <c r="E1" s="71" t="s">
        <v>2372</v>
      </c>
    </row>
    <row r="2" spans="1:5" ht="11.25" customHeight="1">
      <c r="A2" s="510"/>
      <c r="B2" s="509" t="s">
        <v>27</v>
      </c>
      <c r="C2" s="71"/>
      <c r="D2" s="171"/>
      <c r="E2" s="71"/>
    </row>
    <row r="3" spans="1:5" ht="11.25" customHeight="1">
      <c r="A3" s="511"/>
      <c r="B3" s="512" t="s">
        <v>33</v>
      </c>
      <c r="C3" s="71"/>
      <c r="D3" s="171"/>
      <c r="E3" s="71"/>
    </row>
    <row r="4" spans="1:5" ht="11.25" customHeight="1">
      <c r="A4" s="513"/>
      <c r="B4" s="512" t="s">
        <v>1811</v>
      </c>
      <c r="C4" s="71"/>
      <c r="D4" s="171"/>
      <c r="E4" s="71"/>
    </row>
    <row r="5" spans="1:5" ht="11.25" customHeight="1">
      <c r="A5" s="514"/>
      <c r="B5" s="512" t="s">
        <v>1806</v>
      </c>
      <c r="C5" s="515" t="s">
        <v>2136</v>
      </c>
      <c r="D5" s="516" t="s">
        <v>2373</v>
      </c>
      <c r="E5" s="71"/>
    </row>
    <row r="6" spans="1:5" ht="11.25" customHeight="1">
      <c r="A6" s="517"/>
      <c r="B6" s="512" t="s">
        <v>1815</v>
      </c>
      <c r="C6" s="71"/>
      <c r="D6" s="171"/>
      <c r="E6" s="71"/>
    </row>
    <row r="7" spans="1:5" ht="11.25" customHeight="1">
      <c r="A7" s="518"/>
      <c r="B7" s="512" t="s">
        <v>1822</v>
      </c>
      <c r="C7" s="71"/>
      <c r="D7" s="171"/>
      <c r="E7" s="71"/>
    </row>
    <row r="8" spans="1:5" ht="11.25" customHeight="1">
      <c r="A8" s="515"/>
      <c r="B8" s="512" t="s">
        <v>1817</v>
      </c>
      <c r="C8" s="71"/>
      <c r="D8" s="171"/>
      <c r="E8" s="71"/>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35"/>
  <sheetViews>
    <sheetView showGridLines="0" workbookViewId="0"/>
  </sheetViews>
  <sheetFormatPr defaultColWidth="9.140625" defaultRowHeight="11.25" customHeight="1"/>
  <cols>
    <col min="3" max="3" width="20.7109375" style="1030" customWidth="1"/>
    <col min="4" max="4" width="25.140625" style="1030" customWidth="1"/>
  </cols>
  <sheetData>
    <row r="1" spans="1:9" ht="11.25" customHeight="1">
      <c r="A1" s="41" t="s">
        <v>2374</v>
      </c>
      <c r="B1" s="41" t="s">
        <v>2375</v>
      </c>
      <c r="C1" s="41" t="s">
        <v>2376</v>
      </c>
      <c r="D1" s="41" t="s">
        <v>2377</v>
      </c>
      <c r="E1" s="41" t="s">
        <v>2378</v>
      </c>
      <c r="F1" s="41" t="s">
        <v>2379</v>
      </c>
      <c r="G1" s="41" t="s">
        <v>2380</v>
      </c>
      <c r="H1" s="41" t="s">
        <v>2381</v>
      </c>
      <c r="I1" s="41" t="s">
        <v>2382</v>
      </c>
    </row>
    <row r="2" spans="1:9" ht="11.25" customHeight="1">
      <c r="A2" t="s">
        <v>2383</v>
      </c>
      <c r="B2" t="s">
        <v>16</v>
      </c>
      <c r="C2" s="1030" t="s">
        <v>2384</v>
      </c>
      <c r="D2" s="1030" t="s">
        <v>2385</v>
      </c>
      <c r="E2" t="s">
        <v>2386</v>
      </c>
      <c r="F2" t="s">
        <v>2387</v>
      </c>
      <c r="G2" t="s">
        <v>22</v>
      </c>
      <c r="H2" t="s">
        <v>22</v>
      </c>
      <c r="I2" t="s">
        <v>824</v>
      </c>
    </row>
    <row r="3" spans="1:9" ht="11.25" customHeight="1">
      <c r="A3" t="s">
        <v>2383</v>
      </c>
      <c r="B3" t="s">
        <v>16</v>
      </c>
      <c r="C3" t="s">
        <v>2388</v>
      </c>
      <c r="D3" t="s">
        <v>2389</v>
      </c>
      <c r="E3" t="s">
        <v>2390</v>
      </c>
      <c r="F3" t="s">
        <v>2391</v>
      </c>
      <c r="G3" t="s">
        <v>2392</v>
      </c>
      <c r="H3" t="s">
        <v>22</v>
      </c>
      <c r="I3" t="s">
        <v>824</v>
      </c>
    </row>
    <row r="4" spans="1:9" ht="11.25" customHeight="1">
      <c r="A4" t="s">
        <v>2383</v>
      </c>
      <c r="B4" t="s">
        <v>16</v>
      </c>
      <c r="C4" t="s">
        <v>2393</v>
      </c>
      <c r="D4" t="s">
        <v>2394</v>
      </c>
      <c r="E4" t="s">
        <v>2395</v>
      </c>
      <c r="F4" t="s">
        <v>50</v>
      </c>
      <c r="G4" t="s">
        <v>22</v>
      </c>
      <c r="H4" t="s">
        <v>22</v>
      </c>
      <c r="I4" t="s">
        <v>824</v>
      </c>
    </row>
    <row r="5" spans="1:9" ht="11.25" customHeight="1">
      <c r="A5" t="s">
        <v>2383</v>
      </c>
      <c r="B5" t="s">
        <v>16</v>
      </c>
      <c r="C5" s="1030" t="s">
        <v>2396</v>
      </c>
      <c r="D5" s="1030" t="s">
        <v>2397</v>
      </c>
      <c r="E5" t="s">
        <v>2398</v>
      </c>
      <c r="F5" t="s">
        <v>2399</v>
      </c>
      <c r="G5" t="s">
        <v>2400</v>
      </c>
      <c r="H5" t="s">
        <v>22</v>
      </c>
      <c r="I5" t="s">
        <v>824</v>
      </c>
    </row>
    <row r="6" spans="1:9" ht="11.25" customHeight="1">
      <c r="A6" t="s">
        <v>2383</v>
      </c>
      <c r="B6" t="s">
        <v>16</v>
      </c>
      <c r="C6" s="1030" t="s">
        <v>2401</v>
      </c>
      <c r="D6" s="1030" t="s">
        <v>2402</v>
      </c>
      <c r="E6" t="s">
        <v>2403</v>
      </c>
      <c r="F6" t="s">
        <v>2404</v>
      </c>
      <c r="G6" t="s">
        <v>22</v>
      </c>
      <c r="H6" t="s">
        <v>22</v>
      </c>
      <c r="I6" t="s">
        <v>824</v>
      </c>
    </row>
    <row r="7" spans="1:9" ht="11.25" customHeight="1">
      <c r="A7" t="s">
        <v>2383</v>
      </c>
      <c r="B7" t="s">
        <v>16</v>
      </c>
      <c r="C7" s="1030" t="s">
        <v>2405</v>
      </c>
      <c r="D7" s="1030" t="s">
        <v>2406</v>
      </c>
      <c r="E7" t="s">
        <v>2407</v>
      </c>
      <c r="F7" t="s">
        <v>50</v>
      </c>
      <c r="G7" t="s">
        <v>22</v>
      </c>
      <c r="H7" t="s">
        <v>22</v>
      </c>
      <c r="I7" t="s">
        <v>824</v>
      </c>
    </row>
    <row r="8" spans="1:9" ht="11.25" customHeight="1">
      <c r="A8" t="s">
        <v>2383</v>
      </c>
      <c r="B8" t="s">
        <v>16</v>
      </c>
      <c r="C8" s="1030" t="s">
        <v>2408</v>
      </c>
      <c r="D8" s="1030" t="s">
        <v>2409</v>
      </c>
      <c r="E8" t="s">
        <v>2410</v>
      </c>
      <c r="F8" t="s">
        <v>2404</v>
      </c>
      <c r="G8" t="s">
        <v>22</v>
      </c>
      <c r="H8" t="s">
        <v>22</v>
      </c>
      <c r="I8" t="s">
        <v>824</v>
      </c>
    </row>
    <row r="9" spans="1:9" ht="11.25" customHeight="1">
      <c r="A9" t="s">
        <v>2383</v>
      </c>
      <c r="B9" t="s">
        <v>16</v>
      </c>
      <c r="C9" s="1030" t="s">
        <v>2411</v>
      </c>
      <c r="D9" s="1030" t="s">
        <v>2412</v>
      </c>
      <c r="E9" t="s">
        <v>2413</v>
      </c>
      <c r="F9" t="s">
        <v>2414</v>
      </c>
      <c r="G9" t="s">
        <v>22</v>
      </c>
      <c r="H9" t="s">
        <v>22</v>
      </c>
      <c r="I9" t="s">
        <v>824</v>
      </c>
    </row>
    <row r="10" spans="1:9" ht="11.25" customHeight="1">
      <c r="A10" t="s">
        <v>2383</v>
      </c>
      <c r="B10" t="s">
        <v>16</v>
      </c>
      <c r="C10" s="1030" t="s">
        <v>2415</v>
      </c>
      <c r="D10" s="1030" t="s">
        <v>2416</v>
      </c>
      <c r="E10" t="s">
        <v>2417</v>
      </c>
      <c r="F10" t="s">
        <v>2418</v>
      </c>
      <c r="G10" t="s">
        <v>22</v>
      </c>
      <c r="H10" t="s">
        <v>22</v>
      </c>
      <c r="I10" t="s">
        <v>824</v>
      </c>
    </row>
    <row r="11" spans="1:9" ht="11.25" customHeight="1">
      <c r="A11" t="s">
        <v>2383</v>
      </c>
      <c r="B11" t="s">
        <v>16</v>
      </c>
      <c r="C11" s="1030" t="s">
        <v>2419</v>
      </c>
      <c r="D11" s="1030" t="s">
        <v>2420</v>
      </c>
      <c r="E11" t="s">
        <v>2421</v>
      </c>
      <c r="F11" t="s">
        <v>2391</v>
      </c>
      <c r="G11" t="s">
        <v>22</v>
      </c>
      <c r="H11" t="s">
        <v>22</v>
      </c>
      <c r="I11" t="s">
        <v>824</v>
      </c>
    </row>
    <row r="12" spans="1:9" ht="11.25" customHeight="1">
      <c r="A12" t="s">
        <v>2383</v>
      </c>
      <c r="B12" t="s">
        <v>16</v>
      </c>
      <c r="C12" s="1030" t="s">
        <v>2422</v>
      </c>
      <c r="D12" s="1030" t="s">
        <v>2423</v>
      </c>
      <c r="E12" t="s">
        <v>2424</v>
      </c>
      <c r="F12" t="s">
        <v>2425</v>
      </c>
      <c r="G12" t="s">
        <v>22</v>
      </c>
      <c r="H12" t="s">
        <v>22</v>
      </c>
      <c r="I12" t="s">
        <v>824</v>
      </c>
    </row>
    <row r="13" spans="1:9" ht="11.25" customHeight="1">
      <c r="A13" t="s">
        <v>2383</v>
      </c>
      <c r="B13" t="s">
        <v>16</v>
      </c>
      <c r="C13" s="1030" t="s">
        <v>2426</v>
      </c>
      <c r="D13" s="1030" t="s">
        <v>2427</v>
      </c>
      <c r="E13" t="s">
        <v>2428</v>
      </c>
      <c r="F13" t="s">
        <v>2418</v>
      </c>
      <c r="G13" t="s">
        <v>22</v>
      </c>
      <c r="H13" t="s">
        <v>22</v>
      </c>
      <c r="I13" t="s">
        <v>824</v>
      </c>
    </row>
    <row r="14" spans="1:9" ht="11.25" customHeight="1">
      <c r="A14" t="s">
        <v>2383</v>
      </c>
      <c r="B14" t="s">
        <v>16</v>
      </c>
      <c r="C14" s="1030" t="s">
        <v>2429</v>
      </c>
      <c r="D14" s="1030" t="s">
        <v>2430</v>
      </c>
      <c r="E14" t="s">
        <v>2431</v>
      </c>
      <c r="F14" t="s">
        <v>2432</v>
      </c>
      <c r="G14" t="s">
        <v>22</v>
      </c>
      <c r="H14" t="s">
        <v>22</v>
      </c>
      <c r="I14" t="s">
        <v>824</v>
      </c>
    </row>
    <row r="15" spans="1:9" ht="11.25" customHeight="1">
      <c r="A15" t="s">
        <v>2383</v>
      </c>
      <c r="B15" t="s">
        <v>16</v>
      </c>
      <c r="C15" s="1030" t="s">
        <v>2433</v>
      </c>
      <c r="D15" s="1030" t="s">
        <v>2434</v>
      </c>
      <c r="E15" t="s">
        <v>2435</v>
      </c>
      <c r="F15" t="s">
        <v>2436</v>
      </c>
      <c r="G15" t="s">
        <v>22</v>
      </c>
      <c r="H15" t="s">
        <v>22</v>
      </c>
      <c r="I15" t="s">
        <v>824</v>
      </c>
    </row>
    <row r="16" spans="1:9" ht="11.25" customHeight="1">
      <c r="A16" t="s">
        <v>2383</v>
      </c>
      <c r="B16" t="s">
        <v>16</v>
      </c>
      <c r="C16" s="1030" t="s">
        <v>2437</v>
      </c>
      <c r="D16" s="1030" t="s">
        <v>2438</v>
      </c>
      <c r="E16" t="s">
        <v>2439</v>
      </c>
      <c r="F16" t="s">
        <v>2440</v>
      </c>
      <c r="G16" t="s">
        <v>22</v>
      </c>
      <c r="H16" t="s">
        <v>22</v>
      </c>
      <c r="I16" t="s">
        <v>824</v>
      </c>
    </row>
    <row r="17" spans="1:9" ht="11.25" customHeight="1">
      <c r="A17" t="s">
        <v>2383</v>
      </c>
      <c r="B17" t="s">
        <v>16</v>
      </c>
      <c r="C17" s="1030" t="s">
        <v>2441</v>
      </c>
      <c r="D17" s="1030" t="s">
        <v>2442</v>
      </c>
      <c r="E17" t="s">
        <v>2443</v>
      </c>
      <c r="F17" t="s">
        <v>2418</v>
      </c>
      <c r="G17" t="s">
        <v>22</v>
      </c>
      <c r="H17" t="s">
        <v>22</v>
      </c>
      <c r="I17" t="s">
        <v>824</v>
      </c>
    </row>
    <row r="18" spans="1:9" ht="11.25" customHeight="1">
      <c r="A18" t="s">
        <v>2383</v>
      </c>
      <c r="B18" t="s">
        <v>16</v>
      </c>
      <c r="C18" s="1030" t="s">
        <v>2444</v>
      </c>
      <c r="D18" s="1030" t="s">
        <v>2445</v>
      </c>
      <c r="E18" t="s">
        <v>2446</v>
      </c>
      <c r="F18" t="s">
        <v>2447</v>
      </c>
      <c r="G18" t="s">
        <v>22</v>
      </c>
      <c r="H18" t="s">
        <v>22</v>
      </c>
      <c r="I18" t="s">
        <v>824</v>
      </c>
    </row>
    <row r="19" spans="1:9" ht="11.25" customHeight="1">
      <c r="A19" t="s">
        <v>2383</v>
      </c>
      <c r="B19" t="s">
        <v>16</v>
      </c>
      <c r="C19" s="1030" t="s">
        <v>2448</v>
      </c>
      <c r="D19" s="1030" t="s">
        <v>2449</v>
      </c>
      <c r="E19" t="s">
        <v>2450</v>
      </c>
      <c r="F19" t="s">
        <v>2451</v>
      </c>
      <c r="G19" t="s">
        <v>22</v>
      </c>
      <c r="H19" t="s">
        <v>22</v>
      </c>
      <c r="I19" t="s">
        <v>824</v>
      </c>
    </row>
    <row r="20" spans="1:9" ht="11.25" customHeight="1">
      <c r="A20" t="s">
        <v>2383</v>
      </c>
      <c r="B20" t="s">
        <v>16</v>
      </c>
      <c r="C20" s="1030" t="s">
        <v>2452</v>
      </c>
      <c r="D20" s="1030" t="s">
        <v>2453</v>
      </c>
      <c r="E20" t="s">
        <v>2454</v>
      </c>
      <c r="F20" t="s">
        <v>2447</v>
      </c>
      <c r="G20" t="s">
        <v>22</v>
      </c>
      <c r="H20" t="s">
        <v>22</v>
      </c>
      <c r="I20" t="s">
        <v>824</v>
      </c>
    </row>
    <row r="21" spans="1:9" ht="11.25" customHeight="1">
      <c r="A21" t="s">
        <v>2383</v>
      </c>
      <c r="B21" t="s">
        <v>16</v>
      </c>
      <c r="C21" s="1030" t="s">
        <v>2455</v>
      </c>
      <c r="D21" s="1030" t="s">
        <v>2456</v>
      </c>
      <c r="E21" t="s">
        <v>2457</v>
      </c>
      <c r="F21" t="s">
        <v>2414</v>
      </c>
      <c r="G21" t="s">
        <v>22</v>
      </c>
      <c r="H21" t="s">
        <v>22</v>
      </c>
      <c r="I21" t="s">
        <v>824</v>
      </c>
    </row>
    <row r="22" spans="1:9" ht="11.25" customHeight="1">
      <c r="A22" t="s">
        <v>2383</v>
      </c>
      <c r="B22" t="s">
        <v>16</v>
      </c>
      <c r="C22" s="1030" t="s">
        <v>2458</v>
      </c>
      <c r="D22" s="1030" t="s">
        <v>2459</v>
      </c>
      <c r="E22" t="s">
        <v>2460</v>
      </c>
      <c r="F22" t="s">
        <v>2461</v>
      </c>
      <c r="G22" t="s">
        <v>22</v>
      </c>
      <c r="H22" t="s">
        <v>22</v>
      </c>
      <c r="I22" t="s">
        <v>824</v>
      </c>
    </row>
    <row r="23" spans="1:9" ht="11.25" customHeight="1">
      <c r="A23" t="s">
        <v>2383</v>
      </c>
      <c r="B23" t="s">
        <v>16</v>
      </c>
      <c r="C23" s="1030" t="s">
        <v>2462</v>
      </c>
      <c r="D23" s="1030" t="s">
        <v>2463</v>
      </c>
      <c r="E23" t="s">
        <v>2464</v>
      </c>
      <c r="F23" t="s">
        <v>50</v>
      </c>
      <c r="G23" t="s">
        <v>2465</v>
      </c>
      <c r="H23" t="s">
        <v>22</v>
      </c>
      <c r="I23" t="s">
        <v>824</v>
      </c>
    </row>
    <row r="24" spans="1:9" ht="11.25" customHeight="1">
      <c r="A24" t="s">
        <v>2383</v>
      </c>
      <c r="B24" t="s">
        <v>16</v>
      </c>
      <c r="C24" s="1030" t="s">
        <v>2466</v>
      </c>
      <c r="D24" s="1030" t="s">
        <v>2467</v>
      </c>
      <c r="E24" t="s">
        <v>2468</v>
      </c>
      <c r="F24" t="s">
        <v>2447</v>
      </c>
      <c r="G24" t="s">
        <v>22</v>
      </c>
      <c r="H24" t="s">
        <v>22</v>
      </c>
      <c r="I24" t="s">
        <v>824</v>
      </c>
    </row>
    <row r="25" spans="1:9" ht="11.25" customHeight="1">
      <c r="A25" t="s">
        <v>2383</v>
      </c>
      <c r="B25" t="s">
        <v>16</v>
      </c>
      <c r="C25" s="1030" t="s">
        <v>2469</v>
      </c>
      <c r="D25" s="1030" t="s">
        <v>2470</v>
      </c>
      <c r="E25" t="s">
        <v>2471</v>
      </c>
      <c r="F25" t="s">
        <v>2404</v>
      </c>
      <c r="G25" t="s">
        <v>22</v>
      </c>
      <c r="H25" t="s">
        <v>22</v>
      </c>
      <c r="I25" t="s">
        <v>824</v>
      </c>
    </row>
    <row r="26" spans="1:9" ht="11.25" customHeight="1">
      <c r="A26" t="s">
        <v>2383</v>
      </c>
      <c r="B26" t="s">
        <v>16</v>
      </c>
      <c r="C26" s="1030" t="s">
        <v>2472</v>
      </c>
      <c r="D26" s="1030" t="s">
        <v>2473</v>
      </c>
      <c r="E26" t="s">
        <v>2474</v>
      </c>
      <c r="F26" t="s">
        <v>2404</v>
      </c>
      <c r="G26" t="s">
        <v>2475</v>
      </c>
      <c r="H26" t="s">
        <v>22</v>
      </c>
      <c r="I26" t="s">
        <v>824</v>
      </c>
    </row>
    <row r="27" spans="1:9" ht="11.25" customHeight="1">
      <c r="A27" t="s">
        <v>2383</v>
      </c>
      <c r="B27" t="s">
        <v>16</v>
      </c>
      <c r="C27" s="1030" t="s">
        <v>2476</v>
      </c>
      <c r="D27" s="1030" t="s">
        <v>2477</v>
      </c>
      <c r="E27" t="s">
        <v>2478</v>
      </c>
      <c r="F27" t="s">
        <v>2414</v>
      </c>
      <c r="G27" t="s">
        <v>22</v>
      </c>
      <c r="H27" t="s">
        <v>22</v>
      </c>
      <c r="I27" t="s">
        <v>824</v>
      </c>
    </row>
    <row r="28" spans="1:9" ht="11.25" customHeight="1">
      <c r="A28" t="s">
        <v>2383</v>
      </c>
      <c r="B28" t="s">
        <v>16</v>
      </c>
      <c r="C28" s="1030" t="s">
        <v>2479</v>
      </c>
      <c r="D28" s="1030" t="s">
        <v>2480</v>
      </c>
      <c r="E28" t="s">
        <v>2481</v>
      </c>
      <c r="F28" t="s">
        <v>2482</v>
      </c>
      <c r="G28" t="s">
        <v>2483</v>
      </c>
      <c r="H28" t="s">
        <v>22</v>
      </c>
      <c r="I28" t="s">
        <v>824</v>
      </c>
    </row>
    <row r="29" spans="1:9" ht="11.25" customHeight="1">
      <c r="A29" t="s">
        <v>2383</v>
      </c>
      <c r="B29" t="s">
        <v>16</v>
      </c>
      <c r="C29" s="1030" t="s">
        <v>2484</v>
      </c>
      <c r="D29" s="1030" t="s">
        <v>2485</v>
      </c>
      <c r="E29" t="s">
        <v>2486</v>
      </c>
      <c r="F29" t="s">
        <v>2482</v>
      </c>
      <c r="G29" t="s">
        <v>22</v>
      </c>
      <c r="H29" t="s">
        <v>22</v>
      </c>
      <c r="I29" t="s">
        <v>824</v>
      </c>
    </row>
    <row r="30" spans="1:9" ht="11.25" customHeight="1">
      <c r="A30" t="s">
        <v>2383</v>
      </c>
      <c r="B30" t="s">
        <v>16</v>
      </c>
      <c r="C30" s="1030" t="s">
        <v>2487</v>
      </c>
      <c r="D30" s="1030" t="s">
        <v>2488</v>
      </c>
      <c r="E30" t="s">
        <v>2489</v>
      </c>
      <c r="F30" t="s">
        <v>50</v>
      </c>
      <c r="G30" t="s">
        <v>22</v>
      </c>
      <c r="H30" t="s">
        <v>22</v>
      </c>
      <c r="I30" t="s">
        <v>824</v>
      </c>
    </row>
    <row r="31" spans="1:9" ht="11.25" customHeight="1">
      <c r="A31" t="s">
        <v>2383</v>
      </c>
      <c r="B31" t="s">
        <v>16</v>
      </c>
      <c r="C31" s="1030" t="s">
        <v>2490</v>
      </c>
      <c r="D31" s="1030" t="s">
        <v>2491</v>
      </c>
      <c r="E31" t="s">
        <v>2492</v>
      </c>
      <c r="F31" t="s">
        <v>2493</v>
      </c>
      <c r="G31" t="s">
        <v>22</v>
      </c>
      <c r="H31" t="s">
        <v>22</v>
      </c>
      <c r="I31" t="s">
        <v>824</v>
      </c>
    </row>
    <row r="32" spans="1:9" ht="11.25" customHeight="1">
      <c r="A32" t="s">
        <v>2383</v>
      </c>
      <c r="B32" t="s">
        <v>16</v>
      </c>
      <c r="C32" s="1030" t="s">
        <v>2494</v>
      </c>
      <c r="D32" s="1030" t="s">
        <v>2495</v>
      </c>
      <c r="E32" t="s">
        <v>2496</v>
      </c>
      <c r="F32" t="s">
        <v>2425</v>
      </c>
      <c r="G32" t="s">
        <v>22</v>
      </c>
      <c r="H32" t="s">
        <v>22</v>
      </c>
      <c r="I32" t="s">
        <v>824</v>
      </c>
    </row>
    <row r="33" spans="1:9" ht="11.25" customHeight="1">
      <c r="A33" t="s">
        <v>2383</v>
      </c>
      <c r="B33" t="s">
        <v>16</v>
      </c>
      <c r="C33" s="1030" t="s">
        <v>2497</v>
      </c>
      <c r="D33" s="1030" t="s">
        <v>2498</v>
      </c>
      <c r="E33" t="s">
        <v>2499</v>
      </c>
      <c r="F33" t="s">
        <v>2451</v>
      </c>
      <c r="G33" t="s">
        <v>22</v>
      </c>
      <c r="H33" t="s">
        <v>22</v>
      </c>
      <c r="I33" t="s">
        <v>824</v>
      </c>
    </row>
    <row r="34" spans="1:9" ht="11.25" customHeight="1">
      <c r="A34" t="s">
        <v>2383</v>
      </c>
      <c r="B34" t="s">
        <v>16</v>
      </c>
      <c r="C34" s="1030" t="s">
        <v>2500</v>
      </c>
      <c r="D34" s="1030" t="s">
        <v>2501</v>
      </c>
      <c r="E34" t="s">
        <v>2502</v>
      </c>
      <c r="F34" t="s">
        <v>50</v>
      </c>
      <c r="G34" t="s">
        <v>22</v>
      </c>
      <c r="H34" t="s">
        <v>22</v>
      </c>
      <c r="I34" t="s">
        <v>824</v>
      </c>
    </row>
    <row r="35" spans="1:9" ht="11.25" customHeight="1">
      <c r="A35" t="s">
        <v>2383</v>
      </c>
      <c r="B35" t="s">
        <v>16</v>
      </c>
      <c r="C35" s="1030" t="s">
        <v>2503</v>
      </c>
      <c r="D35" s="1030" t="s">
        <v>2504</v>
      </c>
      <c r="E35" t="s">
        <v>2505</v>
      </c>
      <c r="F35" t="s">
        <v>2506</v>
      </c>
      <c r="G35" t="s">
        <v>22</v>
      </c>
      <c r="H35" t="s">
        <v>22</v>
      </c>
      <c r="I35" t="s">
        <v>824</v>
      </c>
    </row>
    <row r="36" spans="1:9" ht="11.25" customHeight="1">
      <c r="A36" t="s">
        <v>2383</v>
      </c>
      <c r="B36" t="s">
        <v>16</v>
      </c>
      <c r="C36" s="1030" t="s">
        <v>2507</v>
      </c>
      <c r="D36" s="1030" t="s">
        <v>2508</v>
      </c>
      <c r="E36" t="s">
        <v>2509</v>
      </c>
      <c r="F36" t="s">
        <v>2510</v>
      </c>
      <c r="G36" t="s">
        <v>22</v>
      </c>
      <c r="H36" t="s">
        <v>22</v>
      </c>
      <c r="I36" t="s">
        <v>824</v>
      </c>
    </row>
    <row r="37" spans="1:9" ht="11.25" customHeight="1">
      <c r="A37" t="s">
        <v>2383</v>
      </c>
      <c r="B37" t="s">
        <v>16</v>
      </c>
      <c r="C37" s="1030" t="s">
        <v>2511</v>
      </c>
      <c r="D37" s="1030" t="s">
        <v>2512</v>
      </c>
      <c r="E37" t="s">
        <v>2513</v>
      </c>
      <c r="F37" t="s">
        <v>50</v>
      </c>
      <c r="G37" t="s">
        <v>22</v>
      </c>
      <c r="H37" t="s">
        <v>22</v>
      </c>
      <c r="I37" t="s">
        <v>824</v>
      </c>
    </row>
    <row r="38" spans="1:9" ht="11.25" customHeight="1">
      <c r="A38" t="s">
        <v>2383</v>
      </c>
      <c r="B38" t="s">
        <v>16</v>
      </c>
      <c r="C38" s="1030" t="s">
        <v>2514</v>
      </c>
      <c r="D38" s="1030" t="s">
        <v>2515</v>
      </c>
      <c r="E38" t="s">
        <v>2516</v>
      </c>
      <c r="F38" t="s">
        <v>2425</v>
      </c>
      <c r="G38" t="s">
        <v>22</v>
      </c>
      <c r="H38" t="s">
        <v>22</v>
      </c>
      <c r="I38" t="s">
        <v>824</v>
      </c>
    </row>
    <row r="39" spans="1:9" ht="11.25" customHeight="1">
      <c r="A39" t="s">
        <v>2383</v>
      </c>
      <c r="B39" t="s">
        <v>16</v>
      </c>
      <c r="C39" s="1030" t="s">
        <v>2517</v>
      </c>
      <c r="D39" s="1030" t="s">
        <v>2518</v>
      </c>
      <c r="E39" t="s">
        <v>2519</v>
      </c>
      <c r="F39" t="s">
        <v>2520</v>
      </c>
      <c r="G39" t="s">
        <v>2521</v>
      </c>
      <c r="H39" t="s">
        <v>22</v>
      </c>
      <c r="I39" t="s">
        <v>824</v>
      </c>
    </row>
    <row r="40" spans="1:9" ht="11.25" customHeight="1">
      <c r="A40" t="s">
        <v>2383</v>
      </c>
      <c r="B40" t="s">
        <v>16</v>
      </c>
      <c r="C40" s="1030" t="s">
        <v>2522</v>
      </c>
      <c r="D40" s="1030" t="s">
        <v>2523</v>
      </c>
      <c r="E40" t="s">
        <v>2524</v>
      </c>
      <c r="F40" t="s">
        <v>2391</v>
      </c>
      <c r="G40" t="s">
        <v>22</v>
      </c>
      <c r="H40" t="s">
        <v>22</v>
      </c>
      <c r="I40" t="s">
        <v>824</v>
      </c>
    </row>
    <row r="41" spans="1:9" ht="11.25" customHeight="1">
      <c r="A41" t="s">
        <v>2383</v>
      </c>
      <c r="B41" t="s">
        <v>16</v>
      </c>
      <c r="C41" s="1030" t="s">
        <v>2525</v>
      </c>
      <c r="D41" s="1030" t="s">
        <v>2526</v>
      </c>
      <c r="E41" t="s">
        <v>2524</v>
      </c>
      <c r="F41" t="s">
        <v>2527</v>
      </c>
      <c r="G41" t="s">
        <v>22</v>
      </c>
      <c r="H41" t="s">
        <v>22</v>
      </c>
      <c r="I41" t="s">
        <v>824</v>
      </c>
    </row>
    <row r="42" spans="1:9" ht="11.25" customHeight="1">
      <c r="A42" t="s">
        <v>2383</v>
      </c>
      <c r="B42" t="s">
        <v>16</v>
      </c>
      <c r="C42" s="1030" t="s">
        <v>2528</v>
      </c>
      <c r="D42" s="1030" t="s">
        <v>2529</v>
      </c>
      <c r="E42" t="s">
        <v>2524</v>
      </c>
      <c r="F42" t="s">
        <v>2530</v>
      </c>
      <c r="G42" t="s">
        <v>22</v>
      </c>
      <c r="H42" t="s">
        <v>22</v>
      </c>
      <c r="I42" t="s">
        <v>824</v>
      </c>
    </row>
    <row r="43" spans="1:9" ht="11.25" customHeight="1">
      <c r="A43" t="s">
        <v>2383</v>
      </c>
      <c r="B43" t="s">
        <v>16</v>
      </c>
      <c r="C43" s="1030" t="s">
        <v>2531</v>
      </c>
      <c r="D43" s="1030" t="s">
        <v>2532</v>
      </c>
      <c r="E43" t="s">
        <v>2524</v>
      </c>
      <c r="F43" t="s">
        <v>2533</v>
      </c>
      <c r="G43" t="s">
        <v>22</v>
      </c>
      <c r="H43" t="s">
        <v>22</v>
      </c>
      <c r="I43" t="s">
        <v>824</v>
      </c>
    </row>
    <row r="44" spans="1:9" ht="11.25" customHeight="1">
      <c r="A44" t="s">
        <v>2383</v>
      </c>
      <c r="B44" t="s">
        <v>16</v>
      </c>
      <c r="C44" s="1030" t="s">
        <v>2534</v>
      </c>
      <c r="D44" s="1030" t="s">
        <v>2535</v>
      </c>
      <c r="E44" t="s">
        <v>2524</v>
      </c>
      <c r="F44" t="s">
        <v>2536</v>
      </c>
      <c r="G44" t="s">
        <v>22</v>
      </c>
      <c r="H44" t="s">
        <v>22</v>
      </c>
      <c r="I44" t="s">
        <v>824</v>
      </c>
    </row>
    <row r="45" spans="1:9" ht="11.25" customHeight="1">
      <c r="A45" t="s">
        <v>2383</v>
      </c>
      <c r="B45" t="s">
        <v>16</v>
      </c>
      <c r="C45" s="1030" t="s">
        <v>2537</v>
      </c>
      <c r="D45" s="1030" t="s">
        <v>2538</v>
      </c>
      <c r="E45" t="s">
        <v>2524</v>
      </c>
      <c r="F45" t="s">
        <v>2539</v>
      </c>
      <c r="G45" t="s">
        <v>22</v>
      </c>
      <c r="H45" t="s">
        <v>22</v>
      </c>
      <c r="I45" t="s">
        <v>824</v>
      </c>
    </row>
    <row r="46" spans="1:9" ht="11.25" customHeight="1">
      <c r="A46" t="s">
        <v>2383</v>
      </c>
      <c r="B46" t="s">
        <v>16</v>
      </c>
      <c r="C46" s="1030" t="s">
        <v>2540</v>
      </c>
      <c r="D46" s="1030" t="s">
        <v>2541</v>
      </c>
      <c r="E46" t="s">
        <v>2524</v>
      </c>
      <c r="F46" t="s">
        <v>2542</v>
      </c>
      <c r="G46" t="s">
        <v>22</v>
      </c>
      <c r="H46" t="s">
        <v>22</v>
      </c>
      <c r="I46" t="s">
        <v>824</v>
      </c>
    </row>
    <row r="47" spans="1:9" ht="11.25" customHeight="1">
      <c r="A47" t="s">
        <v>2383</v>
      </c>
      <c r="B47" t="s">
        <v>16</v>
      </c>
      <c r="C47" s="1030" t="s">
        <v>2543</v>
      </c>
      <c r="D47" s="1030" t="s">
        <v>2544</v>
      </c>
      <c r="E47" t="s">
        <v>2524</v>
      </c>
      <c r="F47" t="s">
        <v>2545</v>
      </c>
      <c r="G47" t="s">
        <v>22</v>
      </c>
      <c r="H47" t="s">
        <v>22</v>
      </c>
      <c r="I47" t="s">
        <v>824</v>
      </c>
    </row>
    <row r="48" spans="1:9" ht="11.25" customHeight="1">
      <c r="A48" t="s">
        <v>2383</v>
      </c>
      <c r="B48" t="s">
        <v>16</v>
      </c>
      <c r="C48" s="1030" t="s">
        <v>2546</v>
      </c>
      <c r="D48" s="1030" t="s">
        <v>2547</v>
      </c>
      <c r="E48" t="s">
        <v>2548</v>
      </c>
      <c r="F48" t="s">
        <v>2549</v>
      </c>
      <c r="G48" t="s">
        <v>22</v>
      </c>
      <c r="H48" t="s">
        <v>22</v>
      </c>
      <c r="I48" t="s">
        <v>824</v>
      </c>
    </row>
    <row r="49" spans="1:9" ht="11.25" customHeight="1">
      <c r="A49" t="s">
        <v>2383</v>
      </c>
      <c r="B49" t="s">
        <v>16</v>
      </c>
      <c r="C49" s="1030" t="s">
        <v>2550</v>
      </c>
      <c r="D49" s="1030" t="s">
        <v>2551</v>
      </c>
      <c r="E49" t="s">
        <v>2552</v>
      </c>
      <c r="F49" t="s">
        <v>2391</v>
      </c>
      <c r="G49" t="s">
        <v>22</v>
      </c>
      <c r="H49" t="s">
        <v>22</v>
      </c>
      <c r="I49" t="s">
        <v>824</v>
      </c>
    </row>
    <row r="50" spans="1:9" ht="11.25" customHeight="1">
      <c r="A50" t="s">
        <v>2383</v>
      </c>
      <c r="B50" t="s">
        <v>16</v>
      </c>
      <c r="C50" s="1030" t="s">
        <v>2553</v>
      </c>
      <c r="D50" s="1030" t="s">
        <v>2554</v>
      </c>
      <c r="E50" t="s">
        <v>2555</v>
      </c>
      <c r="F50" t="s">
        <v>50</v>
      </c>
      <c r="G50" t="s">
        <v>22</v>
      </c>
      <c r="H50" t="s">
        <v>22</v>
      </c>
      <c r="I50" t="s">
        <v>824</v>
      </c>
    </row>
    <row r="51" spans="1:9" ht="11.25" customHeight="1">
      <c r="A51" t="s">
        <v>2383</v>
      </c>
      <c r="B51" t="s">
        <v>16</v>
      </c>
      <c r="C51" s="1030" t="s">
        <v>2556</v>
      </c>
      <c r="D51" s="1030" t="s">
        <v>2557</v>
      </c>
      <c r="E51" t="s">
        <v>2558</v>
      </c>
      <c r="F51" t="s">
        <v>2399</v>
      </c>
      <c r="G51" t="s">
        <v>22</v>
      </c>
      <c r="H51" t="s">
        <v>22</v>
      </c>
      <c r="I51" t="s">
        <v>824</v>
      </c>
    </row>
    <row r="52" spans="1:9" ht="11.25" customHeight="1">
      <c r="A52" t="s">
        <v>2383</v>
      </c>
      <c r="B52" t="s">
        <v>16</v>
      </c>
      <c r="C52" s="1030" t="s">
        <v>2559</v>
      </c>
      <c r="D52" s="1030" t="s">
        <v>2560</v>
      </c>
      <c r="E52" t="s">
        <v>2561</v>
      </c>
      <c r="F52" t="s">
        <v>2562</v>
      </c>
      <c r="G52" t="s">
        <v>22</v>
      </c>
      <c r="H52" t="s">
        <v>22</v>
      </c>
      <c r="I52" t="s">
        <v>824</v>
      </c>
    </row>
    <row r="53" spans="1:9" ht="11.25" customHeight="1">
      <c r="A53" t="s">
        <v>2383</v>
      </c>
      <c r="B53" t="s">
        <v>16</v>
      </c>
      <c r="C53" s="1030" t="s">
        <v>2563</v>
      </c>
      <c r="D53" s="1030" t="s">
        <v>2564</v>
      </c>
      <c r="E53" t="s">
        <v>2565</v>
      </c>
      <c r="F53" t="s">
        <v>2566</v>
      </c>
      <c r="G53" t="s">
        <v>22</v>
      </c>
      <c r="H53" t="s">
        <v>22</v>
      </c>
      <c r="I53" t="s">
        <v>824</v>
      </c>
    </row>
    <row r="54" spans="1:9" ht="11.25" customHeight="1">
      <c r="A54" t="s">
        <v>2383</v>
      </c>
      <c r="B54" t="s">
        <v>16</v>
      </c>
      <c r="C54" s="1030" t="s">
        <v>2567</v>
      </c>
      <c r="D54" s="1030" t="s">
        <v>2568</v>
      </c>
      <c r="E54" t="s">
        <v>2569</v>
      </c>
      <c r="F54" t="s">
        <v>2570</v>
      </c>
      <c r="G54" t="s">
        <v>22</v>
      </c>
      <c r="H54" t="s">
        <v>22</v>
      </c>
      <c r="I54" t="s">
        <v>824</v>
      </c>
    </row>
    <row r="55" spans="1:9" ht="11.25" customHeight="1">
      <c r="A55" t="s">
        <v>2383</v>
      </c>
      <c r="B55" t="s">
        <v>16</v>
      </c>
      <c r="C55" s="1030" t="s">
        <v>2571</v>
      </c>
      <c r="D55" s="1030" t="s">
        <v>2572</v>
      </c>
      <c r="E55" t="s">
        <v>2573</v>
      </c>
      <c r="F55" t="s">
        <v>2574</v>
      </c>
      <c r="G55" t="s">
        <v>22</v>
      </c>
      <c r="H55" t="s">
        <v>22</v>
      </c>
      <c r="I55" t="s">
        <v>824</v>
      </c>
    </row>
    <row r="56" spans="1:9" ht="11.25" customHeight="1">
      <c r="A56" t="s">
        <v>2383</v>
      </c>
      <c r="B56" t="s">
        <v>16</v>
      </c>
      <c r="C56" s="1030" t="s">
        <v>2575</v>
      </c>
      <c r="D56" s="1030" t="s">
        <v>2576</v>
      </c>
      <c r="E56" t="s">
        <v>2577</v>
      </c>
      <c r="F56" t="s">
        <v>2399</v>
      </c>
      <c r="G56" t="s">
        <v>22</v>
      </c>
      <c r="H56" t="s">
        <v>22</v>
      </c>
      <c r="I56" t="s">
        <v>824</v>
      </c>
    </row>
    <row r="57" spans="1:9" ht="11.25" customHeight="1">
      <c r="A57" t="s">
        <v>2383</v>
      </c>
      <c r="B57" t="s">
        <v>16</v>
      </c>
      <c r="C57" s="1030" t="s">
        <v>2578</v>
      </c>
      <c r="D57" s="1030" t="s">
        <v>2579</v>
      </c>
      <c r="E57" t="s">
        <v>2580</v>
      </c>
      <c r="F57" t="s">
        <v>2574</v>
      </c>
      <c r="G57" t="s">
        <v>22</v>
      </c>
      <c r="H57" t="s">
        <v>22</v>
      </c>
      <c r="I57" t="s">
        <v>824</v>
      </c>
    </row>
    <row r="58" spans="1:9" ht="11.25" customHeight="1">
      <c r="A58" t="s">
        <v>2383</v>
      </c>
      <c r="B58" t="s">
        <v>16</v>
      </c>
      <c r="C58" s="1030" t="s">
        <v>2581</v>
      </c>
      <c r="D58" s="1030" t="s">
        <v>2582</v>
      </c>
      <c r="E58" t="s">
        <v>2583</v>
      </c>
      <c r="F58" t="s">
        <v>2584</v>
      </c>
      <c r="G58" t="s">
        <v>22</v>
      </c>
      <c r="H58" t="s">
        <v>22</v>
      </c>
      <c r="I58" t="s">
        <v>824</v>
      </c>
    </row>
    <row r="59" spans="1:9" ht="11.25" customHeight="1">
      <c r="A59" t="s">
        <v>2383</v>
      </c>
      <c r="B59" t="s">
        <v>16</v>
      </c>
      <c r="C59" s="1030" t="s">
        <v>2585</v>
      </c>
      <c r="D59" s="1030" t="s">
        <v>2586</v>
      </c>
      <c r="E59" t="s">
        <v>2587</v>
      </c>
      <c r="F59" t="s">
        <v>2461</v>
      </c>
      <c r="G59" t="s">
        <v>2588</v>
      </c>
      <c r="H59" t="s">
        <v>22</v>
      </c>
      <c r="I59" t="s">
        <v>824</v>
      </c>
    </row>
    <row r="60" spans="1:9" ht="11.25" customHeight="1">
      <c r="A60" t="s">
        <v>2383</v>
      </c>
      <c r="B60" t="s">
        <v>16</v>
      </c>
      <c r="C60" s="1030" t="s">
        <v>2589</v>
      </c>
      <c r="D60" s="1030" t="s">
        <v>2590</v>
      </c>
      <c r="E60" t="s">
        <v>2591</v>
      </c>
      <c r="F60" t="s">
        <v>50</v>
      </c>
      <c r="G60" t="s">
        <v>22</v>
      </c>
      <c r="H60" t="s">
        <v>22</v>
      </c>
      <c r="I60" t="s">
        <v>824</v>
      </c>
    </row>
    <row r="61" spans="1:9" ht="11.25" customHeight="1">
      <c r="A61" t="s">
        <v>2383</v>
      </c>
      <c r="B61" t="s">
        <v>16</v>
      </c>
      <c r="C61" s="1030" t="s">
        <v>2592</v>
      </c>
      <c r="D61" s="1030" t="s">
        <v>2593</v>
      </c>
      <c r="E61" t="s">
        <v>2594</v>
      </c>
      <c r="F61" t="s">
        <v>2595</v>
      </c>
      <c r="G61" t="s">
        <v>2596</v>
      </c>
      <c r="H61" t="s">
        <v>22</v>
      </c>
      <c r="I61" t="s">
        <v>824</v>
      </c>
    </row>
    <row r="62" spans="1:9" ht="11.25" customHeight="1">
      <c r="A62" t="s">
        <v>2383</v>
      </c>
      <c r="B62" t="s">
        <v>16</v>
      </c>
      <c r="C62" s="1030" t="s">
        <v>2597</v>
      </c>
      <c r="D62" s="1030" t="s">
        <v>2598</v>
      </c>
      <c r="E62" t="s">
        <v>2599</v>
      </c>
      <c r="F62" t="s">
        <v>2425</v>
      </c>
      <c r="G62" t="s">
        <v>2600</v>
      </c>
      <c r="H62" t="s">
        <v>22</v>
      </c>
      <c r="I62" t="s">
        <v>824</v>
      </c>
    </row>
    <row r="63" spans="1:9" ht="11.25" customHeight="1">
      <c r="A63" t="s">
        <v>2383</v>
      </c>
      <c r="B63" t="s">
        <v>16</v>
      </c>
      <c r="C63" s="1030" t="s">
        <v>2601</v>
      </c>
      <c r="D63" s="1030" t="s">
        <v>2602</v>
      </c>
      <c r="E63" t="s">
        <v>2603</v>
      </c>
      <c r="F63" t="s">
        <v>2584</v>
      </c>
      <c r="G63" t="s">
        <v>22</v>
      </c>
      <c r="H63" t="s">
        <v>22</v>
      </c>
      <c r="I63" t="s">
        <v>824</v>
      </c>
    </row>
    <row r="64" spans="1:9" ht="11.25" customHeight="1">
      <c r="A64" t="s">
        <v>2383</v>
      </c>
      <c r="B64" t="s">
        <v>16</v>
      </c>
      <c r="C64" s="1030" t="s">
        <v>2604</v>
      </c>
      <c r="D64" s="1030" t="s">
        <v>2605</v>
      </c>
      <c r="E64" t="s">
        <v>2606</v>
      </c>
      <c r="F64" t="s">
        <v>2404</v>
      </c>
      <c r="G64" t="s">
        <v>2607</v>
      </c>
      <c r="H64" t="s">
        <v>22</v>
      </c>
      <c r="I64" t="s">
        <v>824</v>
      </c>
    </row>
    <row r="65" spans="1:9" ht="11.25" customHeight="1">
      <c r="A65" t="s">
        <v>2383</v>
      </c>
      <c r="B65" t="s">
        <v>16</v>
      </c>
      <c r="C65" s="1030" t="s">
        <v>2608</v>
      </c>
      <c r="D65" s="1030" t="s">
        <v>2609</v>
      </c>
      <c r="E65" t="s">
        <v>2610</v>
      </c>
      <c r="F65" t="s">
        <v>2611</v>
      </c>
      <c r="G65" t="s">
        <v>2612</v>
      </c>
      <c r="H65" t="s">
        <v>22</v>
      </c>
      <c r="I65" t="s">
        <v>824</v>
      </c>
    </row>
    <row r="66" spans="1:9" ht="11.25" customHeight="1">
      <c r="A66" t="s">
        <v>2383</v>
      </c>
      <c r="B66" t="s">
        <v>16</v>
      </c>
      <c r="C66" s="1030" t="s">
        <v>2613</v>
      </c>
      <c r="D66" s="1030" t="s">
        <v>2614</v>
      </c>
      <c r="E66" t="s">
        <v>2615</v>
      </c>
      <c r="F66" t="s">
        <v>2611</v>
      </c>
      <c r="G66" t="s">
        <v>22</v>
      </c>
      <c r="H66" t="s">
        <v>22</v>
      </c>
      <c r="I66" t="s">
        <v>824</v>
      </c>
    </row>
    <row r="67" spans="1:9" ht="11.25" customHeight="1">
      <c r="A67" t="s">
        <v>2383</v>
      </c>
      <c r="B67" t="s">
        <v>16</v>
      </c>
      <c r="C67" s="1030" t="s">
        <v>2616</v>
      </c>
      <c r="D67" s="1030" t="s">
        <v>2617</v>
      </c>
      <c r="E67" t="s">
        <v>2618</v>
      </c>
      <c r="F67" t="s">
        <v>2611</v>
      </c>
      <c r="G67" t="s">
        <v>22</v>
      </c>
      <c r="H67" t="s">
        <v>22</v>
      </c>
      <c r="I67" t="s">
        <v>824</v>
      </c>
    </row>
    <row r="68" spans="1:9" ht="11.25" customHeight="1">
      <c r="A68" t="s">
        <v>2383</v>
      </c>
      <c r="B68" t="s">
        <v>16</v>
      </c>
      <c r="C68" s="1030" t="s">
        <v>2619</v>
      </c>
      <c r="D68" s="1030" t="s">
        <v>2620</v>
      </c>
      <c r="E68" t="s">
        <v>2524</v>
      </c>
      <c r="F68" t="s">
        <v>2621</v>
      </c>
      <c r="G68" t="s">
        <v>22</v>
      </c>
      <c r="H68" t="s">
        <v>22</v>
      </c>
      <c r="I68" t="s">
        <v>824</v>
      </c>
    </row>
    <row r="69" spans="1:9" ht="11.25" customHeight="1">
      <c r="A69" t="s">
        <v>2383</v>
      </c>
      <c r="B69" t="s">
        <v>16</v>
      </c>
      <c r="C69" s="1030" t="s">
        <v>2622</v>
      </c>
      <c r="D69" s="1030" t="s">
        <v>2623</v>
      </c>
      <c r="E69" t="s">
        <v>2624</v>
      </c>
      <c r="F69" t="s">
        <v>2625</v>
      </c>
      <c r="G69" t="s">
        <v>22</v>
      </c>
      <c r="H69" t="s">
        <v>22</v>
      </c>
      <c r="I69" t="s">
        <v>824</v>
      </c>
    </row>
    <row r="70" spans="1:9" ht="11.25" customHeight="1">
      <c r="A70" t="s">
        <v>2383</v>
      </c>
      <c r="B70" t="s">
        <v>16</v>
      </c>
      <c r="C70" s="1030" t="s">
        <v>2626</v>
      </c>
      <c r="D70" s="1030" t="s">
        <v>2627</v>
      </c>
      <c r="E70" t="s">
        <v>2628</v>
      </c>
      <c r="F70" t="s">
        <v>2629</v>
      </c>
      <c r="G70" t="s">
        <v>2630</v>
      </c>
      <c r="H70" t="s">
        <v>22</v>
      </c>
      <c r="I70" t="s">
        <v>824</v>
      </c>
    </row>
    <row r="71" spans="1:9" ht="11.25" customHeight="1">
      <c r="A71" t="s">
        <v>2383</v>
      </c>
      <c r="B71" t="s">
        <v>16</v>
      </c>
      <c r="C71" s="1030" t="s">
        <v>2631</v>
      </c>
      <c r="D71" s="1030" t="s">
        <v>2632</v>
      </c>
      <c r="E71" t="s">
        <v>2633</v>
      </c>
      <c r="F71" t="s">
        <v>2634</v>
      </c>
      <c r="G71" t="s">
        <v>22</v>
      </c>
      <c r="H71" t="s">
        <v>22</v>
      </c>
      <c r="I71" t="s">
        <v>824</v>
      </c>
    </row>
    <row r="72" spans="1:9" ht="11.25" customHeight="1">
      <c r="A72" t="s">
        <v>2383</v>
      </c>
      <c r="B72" t="s">
        <v>16</v>
      </c>
      <c r="C72" s="1030" t="s">
        <v>2635</v>
      </c>
      <c r="D72" s="1030" t="s">
        <v>2636</v>
      </c>
      <c r="E72" t="s">
        <v>2637</v>
      </c>
      <c r="F72" t="s">
        <v>2638</v>
      </c>
      <c r="G72" t="s">
        <v>22</v>
      </c>
      <c r="H72" t="s">
        <v>22</v>
      </c>
      <c r="I72" t="s">
        <v>824</v>
      </c>
    </row>
    <row r="73" spans="1:9" ht="11.25" customHeight="1">
      <c r="A73" t="s">
        <v>2383</v>
      </c>
      <c r="B73" t="s">
        <v>16</v>
      </c>
      <c r="C73" s="1030" t="s">
        <v>2639</v>
      </c>
      <c r="D73" s="1030" t="s">
        <v>2640</v>
      </c>
      <c r="E73" t="s">
        <v>2641</v>
      </c>
      <c r="F73" t="s">
        <v>2482</v>
      </c>
      <c r="G73" t="s">
        <v>22</v>
      </c>
      <c r="H73" t="s">
        <v>22</v>
      </c>
      <c r="I73" t="s">
        <v>824</v>
      </c>
    </row>
    <row r="74" spans="1:9" ht="11.25" customHeight="1">
      <c r="A74" t="s">
        <v>2383</v>
      </c>
      <c r="B74" t="s">
        <v>16</v>
      </c>
      <c r="C74" s="1030" t="s">
        <v>2642</v>
      </c>
      <c r="D74" s="1030" t="s">
        <v>2643</v>
      </c>
      <c r="E74" t="s">
        <v>2644</v>
      </c>
      <c r="F74" t="s">
        <v>2645</v>
      </c>
      <c r="G74" t="s">
        <v>22</v>
      </c>
      <c r="H74" t="s">
        <v>22</v>
      </c>
      <c r="I74" t="s">
        <v>824</v>
      </c>
    </row>
    <row r="75" spans="1:9" ht="11.25" customHeight="1">
      <c r="A75" t="s">
        <v>2383</v>
      </c>
      <c r="B75" t="s">
        <v>16</v>
      </c>
      <c r="C75" s="1030" t="s">
        <v>2646</v>
      </c>
      <c r="D75" s="1030" t="s">
        <v>2647</v>
      </c>
      <c r="E75" t="s">
        <v>2648</v>
      </c>
      <c r="F75" t="s">
        <v>2649</v>
      </c>
      <c r="G75" t="s">
        <v>22</v>
      </c>
      <c r="H75" t="s">
        <v>22</v>
      </c>
      <c r="I75" t="s">
        <v>824</v>
      </c>
    </row>
    <row r="76" spans="1:9" ht="11.25" customHeight="1">
      <c r="A76" t="s">
        <v>2383</v>
      </c>
      <c r="B76" t="s">
        <v>16</v>
      </c>
      <c r="C76" s="1030" t="s">
        <v>2650</v>
      </c>
      <c r="D76" s="1030" t="s">
        <v>2651</v>
      </c>
      <c r="E76" t="s">
        <v>2652</v>
      </c>
      <c r="F76" t="s">
        <v>2653</v>
      </c>
      <c r="G76" t="s">
        <v>22</v>
      </c>
      <c r="H76" t="s">
        <v>22</v>
      </c>
      <c r="I76" t="s">
        <v>824</v>
      </c>
    </row>
    <row r="77" spans="1:9" ht="11.25" customHeight="1">
      <c r="A77" t="s">
        <v>2383</v>
      </c>
      <c r="B77" t="s">
        <v>16</v>
      </c>
      <c r="C77" s="1030" t="s">
        <v>2654</v>
      </c>
      <c r="D77" s="1030" t="s">
        <v>2655</v>
      </c>
      <c r="E77" t="s">
        <v>2656</v>
      </c>
      <c r="F77" t="s">
        <v>2657</v>
      </c>
      <c r="G77" t="s">
        <v>22</v>
      </c>
      <c r="H77" t="s">
        <v>22</v>
      </c>
      <c r="I77" t="s">
        <v>824</v>
      </c>
    </row>
    <row r="78" spans="1:9" ht="11.25" customHeight="1">
      <c r="A78" t="s">
        <v>2383</v>
      </c>
      <c r="B78" t="s">
        <v>16</v>
      </c>
      <c r="C78" s="1030" t="s">
        <v>2658</v>
      </c>
      <c r="D78" s="1030" t="s">
        <v>2659</v>
      </c>
      <c r="E78" t="s">
        <v>2660</v>
      </c>
      <c r="F78" t="s">
        <v>2661</v>
      </c>
      <c r="G78" t="s">
        <v>22</v>
      </c>
      <c r="H78" t="s">
        <v>22</v>
      </c>
      <c r="I78" t="s">
        <v>824</v>
      </c>
    </row>
    <row r="79" spans="1:9" ht="11.25" customHeight="1">
      <c r="A79" t="s">
        <v>2383</v>
      </c>
      <c r="B79" t="s">
        <v>16</v>
      </c>
      <c r="C79" s="1030" t="s">
        <v>2662</v>
      </c>
      <c r="D79" s="1030" t="s">
        <v>2663</v>
      </c>
      <c r="E79" t="s">
        <v>2664</v>
      </c>
      <c r="F79" t="s">
        <v>2665</v>
      </c>
      <c r="G79" t="s">
        <v>22</v>
      </c>
      <c r="H79" t="s">
        <v>22</v>
      </c>
      <c r="I79" t="s">
        <v>824</v>
      </c>
    </row>
    <row r="80" spans="1:9" ht="11.25" customHeight="1">
      <c r="A80" t="s">
        <v>2383</v>
      </c>
      <c r="B80" t="s">
        <v>16</v>
      </c>
      <c r="C80" s="1030" t="s">
        <v>2666</v>
      </c>
      <c r="D80" s="1030" t="s">
        <v>2667</v>
      </c>
      <c r="E80" t="s">
        <v>2668</v>
      </c>
      <c r="F80" t="s">
        <v>2447</v>
      </c>
      <c r="G80" t="s">
        <v>22</v>
      </c>
      <c r="H80" t="s">
        <v>22</v>
      </c>
      <c r="I80" t="s">
        <v>824</v>
      </c>
    </row>
    <row r="81" spans="1:9" ht="11.25" customHeight="1">
      <c r="A81" t="s">
        <v>2383</v>
      </c>
      <c r="B81" t="s">
        <v>16</v>
      </c>
      <c r="C81" s="1030" t="s">
        <v>2669</v>
      </c>
      <c r="D81" s="1030" t="s">
        <v>2670</v>
      </c>
      <c r="E81" t="s">
        <v>2671</v>
      </c>
      <c r="F81" t="s">
        <v>2672</v>
      </c>
      <c r="G81" t="s">
        <v>22</v>
      </c>
      <c r="H81" t="s">
        <v>22</v>
      </c>
      <c r="I81" t="s">
        <v>824</v>
      </c>
    </row>
    <row r="82" spans="1:9" ht="11.25" customHeight="1">
      <c r="A82" t="s">
        <v>2383</v>
      </c>
      <c r="B82" t="s">
        <v>16</v>
      </c>
      <c r="C82" s="1030" t="s">
        <v>2673</v>
      </c>
      <c r="D82" s="1030" t="s">
        <v>2674</v>
      </c>
      <c r="E82" t="s">
        <v>2675</v>
      </c>
      <c r="F82" t="s">
        <v>2425</v>
      </c>
      <c r="G82" t="s">
        <v>22</v>
      </c>
      <c r="H82" t="s">
        <v>22</v>
      </c>
      <c r="I82" t="s">
        <v>824</v>
      </c>
    </row>
    <row r="83" spans="1:9" ht="11.25" customHeight="1">
      <c r="A83" t="s">
        <v>2383</v>
      </c>
      <c r="B83" t="s">
        <v>16</v>
      </c>
      <c r="C83" s="1030" t="s">
        <v>2676</v>
      </c>
      <c r="D83" s="1030" t="s">
        <v>2677</v>
      </c>
      <c r="E83" t="s">
        <v>2678</v>
      </c>
      <c r="F83" t="s">
        <v>2414</v>
      </c>
      <c r="G83" t="s">
        <v>22</v>
      </c>
      <c r="H83" t="s">
        <v>22</v>
      </c>
      <c r="I83" t="s">
        <v>824</v>
      </c>
    </row>
    <row r="84" spans="1:9" ht="11.25" customHeight="1">
      <c r="A84" t="s">
        <v>2383</v>
      </c>
      <c r="B84" t="s">
        <v>16</v>
      </c>
      <c r="C84" s="1030" t="s">
        <v>2679</v>
      </c>
      <c r="D84" s="1030" t="s">
        <v>2680</v>
      </c>
      <c r="E84" t="s">
        <v>2681</v>
      </c>
      <c r="F84" t="s">
        <v>2440</v>
      </c>
      <c r="G84" t="s">
        <v>22</v>
      </c>
      <c r="H84" t="s">
        <v>22</v>
      </c>
      <c r="I84" t="s">
        <v>824</v>
      </c>
    </row>
    <row r="85" spans="1:9" ht="11.25" customHeight="1">
      <c r="A85" t="s">
        <v>2383</v>
      </c>
      <c r="B85" t="s">
        <v>16</v>
      </c>
      <c r="C85" s="1030" t="s">
        <v>2682</v>
      </c>
      <c r="D85" s="1030" t="s">
        <v>2683</v>
      </c>
      <c r="E85" t="s">
        <v>2684</v>
      </c>
      <c r="F85" t="s">
        <v>2451</v>
      </c>
      <c r="G85" t="s">
        <v>22</v>
      </c>
      <c r="H85" t="s">
        <v>22</v>
      </c>
      <c r="I85" t="s">
        <v>824</v>
      </c>
    </row>
    <row r="86" spans="1:9" ht="11.25" customHeight="1">
      <c r="A86" t="s">
        <v>2383</v>
      </c>
      <c r="B86" t="s">
        <v>16</v>
      </c>
      <c r="C86" s="1030" t="s">
        <v>2685</v>
      </c>
      <c r="D86" s="1030" t="s">
        <v>2686</v>
      </c>
      <c r="E86" t="s">
        <v>2687</v>
      </c>
      <c r="F86" t="s">
        <v>2688</v>
      </c>
      <c r="G86" t="s">
        <v>22</v>
      </c>
      <c r="H86" t="s">
        <v>22</v>
      </c>
      <c r="I86" t="s">
        <v>824</v>
      </c>
    </row>
    <row r="87" spans="1:9" ht="11.25" customHeight="1">
      <c r="A87" t="s">
        <v>2383</v>
      </c>
      <c r="B87" t="s">
        <v>16</v>
      </c>
      <c r="C87" s="1030" t="s">
        <v>2689</v>
      </c>
      <c r="D87" s="1030" t="s">
        <v>2690</v>
      </c>
      <c r="E87" t="s">
        <v>2691</v>
      </c>
      <c r="F87" t="s">
        <v>2520</v>
      </c>
      <c r="G87" t="s">
        <v>22</v>
      </c>
      <c r="H87" t="s">
        <v>22</v>
      </c>
      <c r="I87" t="s">
        <v>824</v>
      </c>
    </row>
    <row r="88" spans="1:9" ht="11.25" customHeight="1">
      <c r="A88" t="s">
        <v>2383</v>
      </c>
      <c r="B88" t="s">
        <v>16</v>
      </c>
      <c r="C88" s="1030" t="s">
        <v>2692</v>
      </c>
      <c r="D88" s="1030" t="s">
        <v>2693</v>
      </c>
      <c r="E88" t="s">
        <v>2694</v>
      </c>
      <c r="F88" t="s">
        <v>2391</v>
      </c>
      <c r="G88" t="s">
        <v>22</v>
      </c>
      <c r="H88" t="s">
        <v>22</v>
      </c>
      <c r="I88" t="s">
        <v>824</v>
      </c>
    </row>
    <row r="89" spans="1:9" ht="11.25" customHeight="1">
      <c r="A89" t="s">
        <v>2383</v>
      </c>
      <c r="B89" t="s">
        <v>16</v>
      </c>
      <c r="C89" s="1030" t="s">
        <v>2695</v>
      </c>
      <c r="D89" s="1030" t="s">
        <v>2696</v>
      </c>
      <c r="E89" t="s">
        <v>2697</v>
      </c>
      <c r="F89" t="s">
        <v>2698</v>
      </c>
      <c r="G89" t="s">
        <v>22</v>
      </c>
      <c r="H89" t="s">
        <v>22</v>
      </c>
      <c r="I89" t="s">
        <v>824</v>
      </c>
    </row>
    <row r="90" spans="1:9" ht="11.25" customHeight="1">
      <c r="A90" t="s">
        <v>2383</v>
      </c>
      <c r="B90" t="s">
        <v>16</v>
      </c>
      <c r="C90" s="1030" t="s">
        <v>2699</v>
      </c>
      <c r="D90" s="1030" t="s">
        <v>2700</v>
      </c>
      <c r="E90" t="s">
        <v>2701</v>
      </c>
      <c r="F90" t="s">
        <v>2702</v>
      </c>
      <c r="G90" t="s">
        <v>22</v>
      </c>
      <c r="H90" t="s">
        <v>22</v>
      </c>
      <c r="I90" t="s">
        <v>824</v>
      </c>
    </row>
    <row r="91" spans="1:9" ht="11.25" customHeight="1">
      <c r="A91" t="s">
        <v>2383</v>
      </c>
      <c r="B91" t="s">
        <v>16</v>
      </c>
      <c r="C91" s="1030" t="s">
        <v>2703</v>
      </c>
      <c r="D91" s="1030" t="s">
        <v>2704</v>
      </c>
      <c r="E91" t="s">
        <v>2705</v>
      </c>
      <c r="F91" t="s">
        <v>2629</v>
      </c>
      <c r="G91" t="s">
        <v>22</v>
      </c>
      <c r="H91" t="s">
        <v>22</v>
      </c>
      <c r="I91" t="s">
        <v>824</v>
      </c>
    </row>
    <row r="92" spans="1:9" ht="11.25" customHeight="1">
      <c r="A92" t="s">
        <v>2383</v>
      </c>
      <c r="B92" t="s">
        <v>16</v>
      </c>
      <c r="C92" s="1030" t="s">
        <v>2706</v>
      </c>
      <c r="D92" s="1030" t="s">
        <v>2707</v>
      </c>
      <c r="E92" t="s">
        <v>2708</v>
      </c>
      <c r="F92" t="s">
        <v>2629</v>
      </c>
      <c r="G92" t="s">
        <v>22</v>
      </c>
      <c r="H92" t="s">
        <v>22</v>
      </c>
      <c r="I92" t="s">
        <v>824</v>
      </c>
    </row>
    <row r="93" spans="1:9" ht="11.25" customHeight="1">
      <c r="A93" t="s">
        <v>2383</v>
      </c>
      <c r="B93" t="s">
        <v>16</v>
      </c>
      <c r="C93" s="1030" t="s">
        <v>2709</v>
      </c>
      <c r="D93" s="1030" t="s">
        <v>2710</v>
      </c>
      <c r="E93" t="s">
        <v>2711</v>
      </c>
      <c r="F93" t="s">
        <v>2391</v>
      </c>
      <c r="G93" t="s">
        <v>22</v>
      </c>
      <c r="H93" t="s">
        <v>22</v>
      </c>
      <c r="I93" t="s">
        <v>824</v>
      </c>
    </row>
    <row r="94" spans="1:9" ht="11.25" customHeight="1">
      <c r="A94" t="s">
        <v>2383</v>
      </c>
      <c r="B94" t="s">
        <v>16</v>
      </c>
      <c r="C94" s="1030" t="s">
        <v>2712</v>
      </c>
      <c r="D94" s="1030" t="s">
        <v>2713</v>
      </c>
      <c r="E94" t="s">
        <v>2714</v>
      </c>
      <c r="F94" t="s">
        <v>2672</v>
      </c>
      <c r="G94" t="s">
        <v>22</v>
      </c>
      <c r="H94" t="s">
        <v>22</v>
      </c>
      <c r="I94" t="s">
        <v>824</v>
      </c>
    </row>
    <row r="95" spans="1:9" ht="11.25" customHeight="1">
      <c r="A95" t="s">
        <v>2383</v>
      </c>
      <c r="B95" t="s">
        <v>16</v>
      </c>
      <c r="C95" s="1030" t="s">
        <v>2715</v>
      </c>
      <c r="D95" s="1030" t="s">
        <v>2716</v>
      </c>
      <c r="E95" t="s">
        <v>2717</v>
      </c>
      <c r="F95" t="s">
        <v>2520</v>
      </c>
      <c r="G95" t="s">
        <v>22</v>
      </c>
      <c r="H95" t="s">
        <v>22</v>
      </c>
      <c r="I95" t="s">
        <v>824</v>
      </c>
    </row>
    <row r="96" spans="1:9" ht="11.25" customHeight="1">
      <c r="A96" t="s">
        <v>2383</v>
      </c>
      <c r="B96" t="s">
        <v>16</v>
      </c>
      <c r="C96" s="1030" t="s">
        <v>2718</v>
      </c>
      <c r="D96" s="1030" t="s">
        <v>2719</v>
      </c>
      <c r="E96" t="s">
        <v>2720</v>
      </c>
      <c r="F96" t="s">
        <v>2520</v>
      </c>
      <c r="G96" t="s">
        <v>22</v>
      </c>
      <c r="H96" t="s">
        <v>22</v>
      </c>
      <c r="I96" t="s">
        <v>824</v>
      </c>
    </row>
    <row r="97" spans="1:9" ht="11.25" customHeight="1">
      <c r="A97" t="s">
        <v>2383</v>
      </c>
      <c r="B97" t="s">
        <v>16</v>
      </c>
      <c r="C97" s="1030" t="s">
        <v>2721</v>
      </c>
      <c r="D97" s="1030" t="s">
        <v>2722</v>
      </c>
      <c r="E97" t="s">
        <v>2723</v>
      </c>
      <c r="F97" t="s">
        <v>2482</v>
      </c>
      <c r="G97" t="s">
        <v>22</v>
      </c>
      <c r="H97" t="s">
        <v>22</v>
      </c>
      <c r="I97" t="s">
        <v>824</v>
      </c>
    </row>
    <row r="98" spans="1:9" ht="11.25" customHeight="1">
      <c r="A98" t="s">
        <v>2383</v>
      </c>
      <c r="B98" t="s">
        <v>16</v>
      </c>
      <c r="C98" s="1030" t="s">
        <v>2724</v>
      </c>
      <c r="D98" s="1030" t="s">
        <v>2725</v>
      </c>
      <c r="E98" t="s">
        <v>2726</v>
      </c>
      <c r="F98" t="s">
        <v>2611</v>
      </c>
      <c r="G98" t="s">
        <v>22</v>
      </c>
      <c r="H98" t="s">
        <v>22</v>
      </c>
      <c r="I98" t="s">
        <v>824</v>
      </c>
    </row>
    <row r="99" spans="1:9" ht="11.25" customHeight="1">
      <c r="A99" t="s">
        <v>2383</v>
      </c>
      <c r="B99" t="s">
        <v>16</v>
      </c>
      <c r="C99" s="1030" t="s">
        <v>2727</v>
      </c>
      <c r="D99" s="1030" t="s">
        <v>2728</v>
      </c>
      <c r="E99" t="s">
        <v>2729</v>
      </c>
      <c r="F99" t="s">
        <v>2688</v>
      </c>
      <c r="G99" t="s">
        <v>22</v>
      </c>
      <c r="H99" t="s">
        <v>22</v>
      </c>
      <c r="I99" t="s">
        <v>824</v>
      </c>
    </row>
    <row r="100" spans="1:9" ht="11.25" customHeight="1">
      <c r="A100" t="s">
        <v>2383</v>
      </c>
      <c r="B100" t="s">
        <v>16</v>
      </c>
      <c r="C100" s="1030" t="s">
        <v>2730</v>
      </c>
      <c r="D100" s="1030" t="s">
        <v>2731</v>
      </c>
      <c r="E100" t="s">
        <v>2732</v>
      </c>
      <c r="F100" t="s">
        <v>2672</v>
      </c>
      <c r="G100" t="s">
        <v>22</v>
      </c>
      <c r="H100" t="s">
        <v>22</v>
      </c>
      <c r="I100" t="s">
        <v>824</v>
      </c>
    </row>
    <row r="101" spans="1:9" ht="11.25" customHeight="1">
      <c r="A101" t="s">
        <v>2383</v>
      </c>
      <c r="B101" t="s">
        <v>16</v>
      </c>
      <c r="C101" s="1030" t="s">
        <v>2733</v>
      </c>
      <c r="D101" s="1030" t="s">
        <v>2734</v>
      </c>
      <c r="E101" t="s">
        <v>2735</v>
      </c>
      <c r="F101" t="s">
        <v>583</v>
      </c>
      <c r="G101" t="s">
        <v>22</v>
      </c>
      <c r="H101" t="s">
        <v>22</v>
      </c>
      <c r="I101" t="s">
        <v>824</v>
      </c>
    </row>
    <row r="102" spans="1:9" ht="11.25" customHeight="1">
      <c r="A102" t="s">
        <v>2383</v>
      </c>
      <c r="B102" t="s">
        <v>16</v>
      </c>
      <c r="C102" s="1030" t="s">
        <v>2736</v>
      </c>
      <c r="D102" s="1030" t="s">
        <v>2737</v>
      </c>
      <c r="E102" t="s">
        <v>2738</v>
      </c>
      <c r="F102" t="s">
        <v>583</v>
      </c>
      <c r="G102" t="s">
        <v>22</v>
      </c>
      <c r="H102" t="s">
        <v>22</v>
      </c>
      <c r="I102" t="s">
        <v>824</v>
      </c>
    </row>
    <row r="103" spans="1:9" ht="11.25" customHeight="1">
      <c r="A103" t="s">
        <v>2383</v>
      </c>
      <c r="B103" t="s">
        <v>16</v>
      </c>
      <c r="C103" s="1030" t="s">
        <v>2739</v>
      </c>
      <c r="D103" s="1030" t="s">
        <v>2740</v>
      </c>
      <c r="E103" t="s">
        <v>2741</v>
      </c>
      <c r="F103" t="s">
        <v>583</v>
      </c>
      <c r="G103" t="s">
        <v>22</v>
      </c>
      <c r="H103" t="s">
        <v>22</v>
      </c>
      <c r="I103" t="s">
        <v>824</v>
      </c>
    </row>
    <row r="104" spans="1:9" ht="11.25" customHeight="1">
      <c r="A104" t="s">
        <v>2383</v>
      </c>
      <c r="B104" t="s">
        <v>16</v>
      </c>
      <c r="C104" s="1030" t="s">
        <v>2742</v>
      </c>
      <c r="D104" s="1030" t="s">
        <v>2743</v>
      </c>
      <c r="E104" t="s">
        <v>2744</v>
      </c>
      <c r="F104" t="s">
        <v>583</v>
      </c>
      <c r="G104" t="s">
        <v>22</v>
      </c>
      <c r="H104" t="s">
        <v>22</v>
      </c>
      <c r="I104" t="s">
        <v>824</v>
      </c>
    </row>
    <row r="105" spans="1:9" ht="11.25" customHeight="1">
      <c r="A105" t="s">
        <v>2383</v>
      </c>
      <c r="B105" t="s">
        <v>16</v>
      </c>
      <c r="C105" s="1030" t="s">
        <v>2745</v>
      </c>
      <c r="D105" s="1030" t="s">
        <v>2746</v>
      </c>
      <c r="E105" t="s">
        <v>2747</v>
      </c>
      <c r="F105" t="s">
        <v>583</v>
      </c>
      <c r="G105" t="s">
        <v>22</v>
      </c>
      <c r="H105" t="s">
        <v>22</v>
      </c>
      <c r="I105" t="s">
        <v>824</v>
      </c>
    </row>
    <row r="106" spans="1:9" ht="11.25" customHeight="1">
      <c r="A106" t="s">
        <v>2383</v>
      </c>
      <c r="B106" t="s">
        <v>16</v>
      </c>
      <c r="C106" s="1030" t="s">
        <v>2748</v>
      </c>
      <c r="D106" s="1030" t="s">
        <v>2749</v>
      </c>
      <c r="E106" t="s">
        <v>2750</v>
      </c>
      <c r="F106" t="s">
        <v>2751</v>
      </c>
      <c r="G106" t="s">
        <v>22</v>
      </c>
      <c r="H106" t="s">
        <v>22</v>
      </c>
      <c r="I106" t="s">
        <v>824</v>
      </c>
    </row>
    <row r="107" spans="1:9" ht="11.25" customHeight="1">
      <c r="A107" t="s">
        <v>2383</v>
      </c>
      <c r="B107" t="s">
        <v>16</v>
      </c>
      <c r="C107" s="1030" t="s">
        <v>2752</v>
      </c>
      <c r="D107" s="1030" t="s">
        <v>2753</v>
      </c>
      <c r="E107" t="s">
        <v>2633</v>
      </c>
      <c r="F107" t="s">
        <v>2754</v>
      </c>
      <c r="G107" t="s">
        <v>22</v>
      </c>
      <c r="H107" t="s">
        <v>22</v>
      </c>
      <c r="I107" t="s">
        <v>824</v>
      </c>
    </row>
    <row r="108" spans="1:9" ht="11.25" customHeight="1">
      <c r="A108" t="s">
        <v>2383</v>
      </c>
      <c r="B108" t="s">
        <v>16</v>
      </c>
      <c r="C108" s="1030" t="s">
        <v>2755</v>
      </c>
      <c r="D108" s="1030" t="s">
        <v>2756</v>
      </c>
      <c r="E108" t="s">
        <v>2757</v>
      </c>
      <c r="F108" t="s">
        <v>2584</v>
      </c>
      <c r="G108" t="s">
        <v>22</v>
      </c>
      <c r="H108" t="s">
        <v>22</v>
      </c>
      <c r="I108" t="s">
        <v>824</v>
      </c>
    </row>
    <row r="109" spans="1:9" ht="11.25" customHeight="1">
      <c r="A109" t="s">
        <v>2383</v>
      </c>
      <c r="B109" t="s">
        <v>16</v>
      </c>
      <c r="C109" s="1030" t="s">
        <v>2758</v>
      </c>
      <c r="D109" s="1030" t="s">
        <v>2759</v>
      </c>
      <c r="E109" t="s">
        <v>2760</v>
      </c>
      <c r="F109" t="s">
        <v>2761</v>
      </c>
      <c r="G109" t="s">
        <v>22</v>
      </c>
      <c r="H109" t="s">
        <v>22</v>
      </c>
      <c r="I109" t="s">
        <v>824</v>
      </c>
    </row>
    <row r="110" spans="1:9" ht="11.25" customHeight="1">
      <c r="A110" t="s">
        <v>2383</v>
      </c>
      <c r="B110" t="s">
        <v>16</v>
      </c>
      <c r="C110" s="1030" t="s">
        <v>2762</v>
      </c>
      <c r="D110" s="1030" t="s">
        <v>2763</v>
      </c>
      <c r="E110" t="s">
        <v>2764</v>
      </c>
      <c r="F110" t="s">
        <v>2765</v>
      </c>
      <c r="G110" t="s">
        <v>22</v>
      </c>
      <c r="H110" t="s">
        <v>22</v>
      </c>
      <c r="I110" t="s">
        <v>824</v>
      </c>
    </row>
    <row r="111" spans="1:9" ht="11.25" customHeight="1">
      <c r="A111" t="s">
        <v>2383</v>
      </c>
      <c r="B111" t="s">
        <v>16</v>
      </c>
      <c r="C111" s="1030" t="s">
        <v>2766</v>
      </c>
      <c r="D111" s="1030" t="s">
        <v>2767</v>
      </c>
      <c r="E111" t="s">
        <v>2768</v>
      </c>
      <c r="F111" t="s">
        <v>2769</v>
      </c>
      <c r="G111" t="s">
        <v>2770</v>
      </c>
      <c r="H111" t="s">
        <v>22</v>
      </c>
      <c r="I111" t="s">
        <v>824</v>
      </c>
    </row>
    <row r="112" spans="1:9" ht="11.25" customHeight="1">
      <c r="A112" t="s">
        <v>2383</v>
      </c>
      <c r="B112" t="s">
        <v>16</v>
      </c>
      <c r="C112" s="1030" t="s">
        <v>2771</v>
      </c>
      <c r="D112" s="1030" t="s">
        <v>2772</v>
      </c>
      <c r="E112" t="s">
        <v>2773</v>
      </c>
      <c r="F112" t="s">
        <v>2765</v>
      </c>
      <c r="G112" t="s">
        <v>22</v>
      </c>
      <c r="H112" t="s">
        <v>22</v>
      </c>
      <c r="I112" t="s">
        <v>824</v>
      </c>
    </row>
    <row r="113" spans="1:9" ht="11.25" customHeight="1">
      <c r="A113" t="s">
        <v>2383</v>
      </c>
      <c r="B113" t="s">
        <v>16</v>
      </c>
      <c r="C113" s="1030" t="s">
        <v>2774</v>
      </c>
      <c r="D113" s="1030" t="s">
        <v>2775</v>
      </c>
      <c r="E113" t="s">
        <v>2776</v>
      </c>
      <c r="F113" t="s">
        <v>2777</v>
      </c>
      <c r="G113" t="s">
        <v>22</v>
      </c>
      <c r="H113" t="s">
        <v>22</v>
      </c>
      <c r="I113" t="s">
        <v>824</v>
      </c>
    </row>
    <row r="114" spans="1:9" ht="11.25" customHeight="1">
      <c r="A114" t="s">
        <v>2383</v>
      </c>
      <c r="B114" t="s">
        <v>16</v>
      </c>
      <c r="C114" s="1030" t="s">
        <v>2778</v>
      </c>
      <c r="D114" s="1030" t="s">
        <v>2779</v>
      </c>
      <c r="E114" t="s">
        <v>2780</v>
      </c>
      <c r="F114" t="s">
        <v>2761</v>
      </c>
      <c r="G114" t="s">
        <v>22</v>
      </c>
      <c r="H114" t="s">
        <v>22</v>
      </c>
      <c r="I114" t="s">
        <v>824</v>
      </c>
    </row>
    <row r="115" spans="1:9" ht="11.25" customHeight="1">
      <c r="A115" t="s">
        <v>2383</v>
      </c>
      <c r="B115" t="s">
        <v>16</v>
      </c>
      <c r="C115" s="1030" t="s">
        <v>2781</v>
      </c>
      <c r="D115" s="1030" t="s">
        <v>2782</v>
      </c>
      <c r="E115" t="s">
        <v>2783</v>
      </c>
      <c r="F115" t="s">
        <v>2784</v>
      </c>
      <c r="G115" t="s">
        <v>22</v>
      </c>
      <c r="H115" t="s">
        <v>22</v>
      </c>
      <c r="I115" t="s">
        <v>824</v>
      </c>
    </row>
    <row r="116" spans="1:9" ht="11.25" customHeight="1">
      <c r="A116" t="s">
        <v>2383</v>
      </c>
      <c r="B116" t="s">
        <v>16</v>
      </c>
      <c r="C116" s="1030" t="s">
        <v>2785</v>
      </c>
      <c r="D116" s="1030" t="s">
        <v>2786</v>
      </c>
      <c r="E116" t="s">
        <v>2787</v>
      </c>
      <c r="F116" t="s">
        <v>2584</v>
      </c>
      <c r="G116" t="s">
        <v>22</v>
      </c>
      <c r="H116" t="s">
        <v>22</v>
      </c>
      <c r="I116" t="s">
        <v>824</v>
      </c>
    </row>
    <row r="117" spans="1:9" ht="11.25" customHeight="1">
      <c r="A117" t="s">
        <v>2383</v>
      </c>
      <c r="B117" t="s">
        <v>16</v>
      </c>
      <c r="C117" s="1030" t="s">
        <v>2788</v>
      </c>
      <c r="D117" s="1030" t="s">
        <v>2789</v>
      </c>
      <c r="E117" t="s">
        <v>2790</v>
      </c>
      <c r="F117" t="s">
        <v>2510</v>
      </c>
      <c r="G117" t="s">
        <v>22</v>
      </c>
      <c r="H117" t="s">
        <v>22</v>
      </c>
      <c r="I117" t="s">
        <v>824</v>
      </c>
    </row>
    <row r="118" spans="1:9" ht="11.25" customHeight="1">
      <c r="A118" t="s">
        <v>2383</v>
      </c>
      <c r="B118" t="s">
        <v>16</v>
      </c>
      <c r="C118" s="1030" t="s">
        <v>2791</v>
      </c>
      <c r="D118" s="1030" t="s">
        <v>2792</v>
      </c>
      <c r="E118" t="s">
        <v>2793</v>
      </c>
      <c r="F118" t="s">
        <v>2584</v>
      </c>
      <c r="G118" t="s">
        <v>22</v>
      </c>
      <c r="H118" t="s">
        <v>22</v>
      </c>
      <c r="I118" t="s">
        <v>824</v>
      </c>
    </row>
    <row r="119" spans="1:9" ht="11.25" customHeight="1">
      <c r="A119" t="s">
        <v>2383</v>
      </c>
      <c r="B119" t="s">
        <v>16</v>
      </c>
      <c r="C119" s="1030" t="s">
        <v>2794</v>
      </c>
      <c r="D119" s="1030" t="s">
        <v>2795</v>
      </c>
      <c r="E119" t="s">
        <v>2796</v>
      </c>
      <c r="F119" t="s">
        <v>2797</v>
      </c>
      <c r="G119" t="s">
        <v>22</v>
      </c>
      <c r="H119" t="s">
        <v>22</v>
      </c>
      <c r="I119" t="s">
        <v>824</v>
      </c>
    </row>
    <row r="120" spans="1:9" ht="11.25" customHeight="1">
      <c r="A120" t="s">
        <v>2383</v>
      </c>
      <c r="B120" t="s">
        <v>16</v>
      </c>
      <c r="C120" s="1030" t="s">
        <v>2798</v>
      </c>
      <c r="D120" s="1030" t="s">
        <v>2799</v>
      </c>
      <c r="E120" t="s">
        <v>2800</v>
      </c>
      <c r="F120" t="s">
        <v>2414</v>
      </c>
      <c r="G120" t="s">
        <v>22</v>
      </c>
      <c r="H120" t="s">
        <v>22</v>
      </c>
      <c r="I120" t="s">
        <v>824</v>
      </c>
    </row>
    <row r="121" spans="1:9" ht="11.25" customHeight="1">
      <c r="A121" t="s">
        <v>2383</v>
      </c>
      <c r="B121" t="s">
        <v>16</v>
      </c>
      <c r="C121" s="1030" t="s">
        <v>2801</v>
      </c>
      <c r="D121" s="1030" t="s">
        <v>2802</v>
      </c>
      <c r="E121" t="s">
        <v>2803</v>
      </c>
      <c r="F121" t="s">
        <v>2595</v>
      </c>
      <c r="G121" t="s">
        <v>22</v>
      </c>
      <c r="H121" t="s">
        <v>22</v>
      </c>
      <c r="I121" t="s">
        <v>824</v>
      </c>
    </row>
    <row r="122" spans="1:9" ht="11.25" customHeight="1">
      <c r="A122" t="s">
        <v>2383</v>
      </c>
      <c r="B122" t="s">
        <v>16</v>
      </c>
      <c r="C122" s="1030" t="s">
        <v>2804</v>
      </c>
      <c r="D122" s="1030" t="s">
        <v>2805</v>
      </c>
      <c r="E122" t="s">
        <v>2806</v>
      </c>
      <c r="F122" t="s">
        <v>2797</v>
      </c>
      <c r="G122" t="s">
        <v>22</v>
      </c>
      <c r="H122" t="s">
        <v>22</v>
      </c>
      <c r="I122" t="s">
        <v>824</v>
      </c>
    </row>
    <row r="123" spans="1:9" ht="11.25" customHeight="1">
      <c r="A123" t="s">
        <v>2383</v>
      </c>
      <c r="B123" t="s">
        <v>16</v>
      </c>
      <c r="C123" s="1030" t="s">
        <v>2807</v>
      </c>
      <c r="D123" s="1030" t="s">
        <v>2808</v>
      </c>
      <c r="E123" t="s">
        <v>2809</v>
      </c>
      <c r="F123" t="s">
        <v>2810</v>
      </c>
      <c r="G123" t="s">
        <v>22</v>
      </c>
      <c r="H123" t="s">
        <v>22</v>
      </c>
      <c r="I123" t="s">
        <v>824</v>
      </c>
    </row>
    <row r="124" spans="1:9" ht="11.25" customHeight="1">
      <c r="A124" t="s">
        <v>2383</v>
      </c>
      <c r="B124" t="s">
        <v>16</v>
      </c>
      <c r="C124" s="1030" t="s">
        <v>2811</v>
      </c>
      <c r="D124" s="1030" t="s">
        <v>2812</v>
      </c>
      <c r="E124" t="s">
        <v>2813</v>
      </c>
      <c r="F124" t="s">
        <v>2447</v>
      </c>
      <c r="G124" t="s">
        <v>22</v>
      </c>
      <c r="H124" t="s">
        <v>22</v>
      </c>
      <c r="I124" t="s">
        <v>824</v>
      </c>
    </row>
    <row r="125" spans="1:9" ht="11.25" customHeight="1">
      <c r="A125" t="s">
        <v>2383</v>
      </c>
      <c r="B125" t="s">
        <v>16</v>
      </c>
      <c r="C125" s="1030" t="s">
        <v>2814</v>
      </c>
      <c r="D125" s="1030" t="s">
        <v>2815</v>
      </c>
      <c r="E125" t="s">
        <v>2816</v>
      </c>
      <c r="F125" t="s">
        <v>2817</v>
      </c>
      <c r="G125" t="s">
        <v>2818</v>
      </c>
      <c r="H125" t="s">
        <v>22</v>
      </c>
      <c r="I125" t="s">
        <v>824</v>
      </c>
    </row>
    <row r="126" spans="1:9" ht="11.25" customHeight="1">
      <c r="A126" t="s">
        <v>2383</v>
      </c>
      <c r="B126" t="s">
        <v>16</v>
      </c>
      <c r="C126" s="1030" t="s">
        <v>2819</v>
      </c>
      <c r="D126" s="1030" t="s">
        <v>2820</v>
      </c>
      <c r="E126" t="s">
        <v>2821</v>
      </c>
      <c r="F126" t="s">
        <v>2387</v>
      </c>
      <c r="G126" t="s">
        <v>22</v>
      </c>
      <c r="H126" t="s">
        <v>22</v>
      </c>
      <c r="I126" t="s">
        <v>824</v>
      </c>
    </row>
    <row r="127" spans="1:9" ht="11.25" customHeight="1">
      <c r="A127" t="s">
        <v>2383</v>
      </c>
      <c r="B127" t="s">
        <v>16</v>
      </c>
      <c r="C127" s="1030" t="s">
        <v>2822</v>
      </c>
      <c r="D127" s="1030" t="s">
        <v>2823</v>
      </c>
      <c r="E127" t="s">
        <v>2824</v>
      </c>
      <c r="F127" t="s">
        <v>2482</v>
      </c>
      <c r="G127" t="s">
        <v>22</v>
      </c>
      <c r="H127" t="s">
        <v>22</v>
      </c>
      <c r="I127" t="s">
        <v>824</v>
      </c>
    </row>
    <row r="128" spans="1:9" ht="11.25" customHeight="1">
      <c r="A128" t="s">
        <v>2383</v>
      </c>
      <c r="B128" t="s">
        <v>16</v>
      </c>
      <c r="C128" s="1030" t="s">
        <v>2825</v>
      </c>
      <c r="D128" s="1030" t="s">
        <v>2826</v>
      </c>
      <c r="E128" t="s">
        <v>2827</v>
      </c>
      <c r="F128" t="s">
        <v>2828</v>
      </c>
      <c r="G128" t="s">
        <v>22</v>
      </c>
      <c r="H128" t="s">
        <v>22</v>
      </c>
      <c r="I128" t="s">
        <v>824</v>
      </c>
    </row>
    <row r="129" spans="1:9" ht="11.25" customHeight="1">
      <c r="A129" t="s">
        <v>2383</v>
      </c>
      <c r="B129" t="s">
        <v>16</v>
      </c>
      <c r="C129" s="1030" t="s">
        <v>2829</v>
      </c>
      <c r="D129" s="1030" t="s">
        <v>2830</v>
      </c>
      <c r="E129" t="s">
        <v>2831</v>
      </c>
      <c r="F129" t="s">
        <v>2432</v>
      </c>
      <c r="G129" t="s">
        <v>22</v>
      </c>
      <c r="H129" t="s">
        <v>22</v>
      </c>
      <c r="I129" t="s">
        <v>824</v>
      </c>
    </row>
    <row r="130" spans="1:9" ht="11.25" customHeight="1">
      <c r="A130" t="s">
        <v>2383</v>
      </c>
      <c r="B130" t="s">
        <v>16</v>
      </c>
      <c r="C130" s="1030" t="s">
        <v>2832</v>
      </c>
      <c r="D130" s="1030" t="s">
        <v>2833</v>
      </c>
      <c r="E130" t="s">
        <v>2834</v>
      </c>
      <c r="F130" t="s">
        <v>2835</v>
      </c>
      <c r="G130" t="s">
        <v>22</v>
      </c>
      <c r="H130" t="s">
        <v>22</v>
      </c>
      <c r="I130" t="s">
        <v>824</v>
      </c>
    </row>
    <row r="131" spans="1:9" ht="11.25" customHeight="1">
      <c r="A131" t="s">
        <v>2383</v>
      </c>
      <c r="B131" t="s">
        <v>16</v>
      </c>
      <c r="C131" s="1030" t="s">
        <v>2836</v>
      </c>
      <c r="D131" s="1030" t="s">
        <v>2837</v>
      </c>
      <c r="E131" t="s">
        <v>2838</v>
      </c>
      <c r="F131" t="s">
        <v>2839</v>
      </c>
      <c r="G131" t="s">
        <v>22</v>
      </c>
      <c r="H131" t="s">
        <v>22</v>
      </c>
      <c r="I131" t="s">
        <v>824</v>
      </c>
    </row>
    <row r="132" spans="1:9" ht="11.25" customHeight="1">
      <c r="A132" t="s">
        <v>2383</v>
      </c>
      <c r="B132" t="s">
        <v>16</v>
      </c>
      <c r="C132" s="1030" t="s">
        <v>2840</v>
      </c>
      <c r="D132" s="1030" t="s">
        <v>2841</v>
      </c>
      <c r="E132" t="s">
        <v>2842</v>
      </c>
      <c r="F132" t="s">
        <v>2843</v>
      </c>
      <c r="G132" t="s">
        <v>22</v>
      </c>
      <c r="H132" t="s">
        <v>22</v>
      </c>
      <c r="I132" t="s">
        <v>824</v>
      </c>
    </row>
    <row r="133" spans="1:9" ht="11.25" customHeight="1">
      <c r="A133" t="s">
        <v>2383</v>
      </c>
      <c r="B133" t="s">
        <v>16</v>
      </c>
      <c r="C133" s="1030" t="s">
        <v>2844</v>
      </c>
      <c r="D133" s="1030" t="s">
        <v>2845</v>
      </c>
      <c r="E133" t="s">
        <v>2846</v>
      </c>
      <c r="F133" t="s">
        <v>2657</v>
      </c>
      <c r="G133" t="s">
        <v>22</v>
      </c>
      <c r="H133" t="s">
        <v>22</v>
      </c>
      <c r="I133" t="s">
        <v>824</v>
      </c>
    </row>
    <row r="134" spans="1:9" ht="11.25" customHeight="1">
      <c r="A134" t="s">
        <v>2383</v>
      </c>
      <c r="B134" t="s">
        <v>16</v>
      </c>
      <c r="C134" s="1030" t="s">
        <v>2847</v>
      </c>
      <c r="D134" s="1030" t="s">
        <v>2848</v>
      </c>
      <c r="E134" t="s">
        <v>2849</v>
      </c>
      <c r="F134" t="s">
        <v>2451</v>
      </c>
      <c r="G134" t="s">
        <v>22</v>
      </c>
      <c r="H134" t="s">
        <v>22</v>
      </c>
      <c r="I134" t="s">
        <v>824</v>
      </c>
    </row>
    <row r="135" spans="1:9" ht="11.25" customHeight="1">
      <c r="A135" t="s">
        <v>2383</v>
      </c>
      <c r="B135" t="s">
        <v>16</v>
      </c>
      <c r="C135" s="1030" t="s">
        <v>2850</v>
      </c>
      <c r="D135" s="1030" t="s">
        <v>2851</v>
      </c>
      <c r="E135" t="s">
        <v>2852</v>
      </c>
      <c r="F135" t="s">
        <v>2661</v>
      </c>
      <c r="G135" t="s">
        <v>22</v>
      </c>
      <c r="H135" t="s">
        <v>22</v>
      </c>
      <c r="I135" t="s">
        <v>824</v>
      </c>
    </row>
    <row r="136" spans="1:9" ht="11.25" customHeight="1">
      <c r="A136" t="s">
        <v>2383</v>
      </c>
      <c r="B136" t="s">
        <v>16</v>
      </c>
      <c r="C136" s="1030" t="s">
        <v>2853</v>
      </c>
      <c r="D136" s="1030" t="s">
        <v>2854</v>
      </c>
      <c r="E136" t="s">
        <v>2855</v>
      </c>
      <c r="F136" t="s">
        <v>2447</v>
      </c>
      <c r="G136" t="s">
        <v>22</v>
      </c>
      <c r="H136" t="s">
        <v>22</v>
      </c>
      <c r="I136" t="s">
        <v>824</v>
      </c>
    </row>
    <row r="137" spans="1:9" ht="11.25" customHeight="1">
      <c r="A137" t="s">
        <v>2383</v>
      </c>
      <c r="B137" t="s">
        <v>16</v>
      </c>
      <c r="C137" s="1030" t="s">
        <v>2856</v>
      </c>
      <c r="D137" s="1030" t="s">
        <v>2857</v>
      </c>
      <c r="E137" t="s">
        <v>2858</v>
      </c>
      <c r="F137" t="s">
        <v>2835</v>
      </c>
      <c r="G137" t="s">
        <v>22</v>
      </c>
      <c r="H137" t="s">
        <v>22</v>
      </c>
      <c r="I137" t="s">
        <v>824</v>
      </c>
    </row>
    <row r="138" spans="1:9" ht="11.25" customHeight="1">
      <c r="A138" t="s">
        <v>2383</v>
      </c>
      <c r="B138" t="s">
        <v>16</v>
      </c>
      <c r="C138" s="1030" t="s">
        <v>2859</v>
      </c>
      <c r="D138" s="1030" t="s">
        <v>2860</v>
      </c>
      <c r="E138" t="s">
        <v>2861</v>
      </c>
      <c r="F138" t="s">
        <v>2665</v>
      </c>
      <c r="G138" t="s">
        <v>22</v>
      </c>
      <c r="H138" t="s">
        <v>22</v>
      </c>
      <c r="I138" t="s">
        <v>824</v>
      </c>
    </row>
    <row r="139" spans="1:9" ht="11.25" customHeight="1">
      <c r="A139" t="s">
        <v>2383</v>
      </c>
      <c r="B139" t="s">
        <v>16</v>
      </c>
      <c r="C139" s="1030" t="s">
        <v>2862</v>
      </c>
      <c r="D139" s="1030" t="s">
        <v>2863</v>
      </c>
      <c r="E139" t="s">
        <v>2864</v>
      </c>
      <c r="F139" t="s">
        <v>2817</v>
      </c>
      <c r="G139" t="s">
        <v>22</v>
      </c>
      <c r="H139" t="s">
        <v>22</v>
      </c>
      <c r="I139" t="s">
        <v>824</v>
      </c>
    </row>
    <row r="140" spans="1:9" ht="11.25" customHeight="1">
      <c r="A140" t="s">
        <v>2383</v>
      </c>
      <c r="B140" t="s">
        <v>16</v>
      </c>
      <c r="C140" s="1030" t="s">
        <v>2865</v>
      </c>
      <c r="D140" s="1030" t="s">
        <v>2866</v>
      </c>
      <c r="E140" t="s">
        <v>2867</v>
      </c>
      <c r="F140" t="s">
        <v>2817</v>
      </c>
      <c r="G140" t="s">
        <v>22</v>
      </c>
      <c r="H140" t="s">
        <v>22</v>
      </c>
      <c r="I140" t="s">
        <v>824</v>
      </c>
    </row>
    <row r="141" spans="1:9" ht="11.25" customHeight="1">
      <c r="A141" t="s">
        <v>2383</v>
      </c>
      <c r="B141" t="s">
        <v>16</v>
      </c>
      <c r="C141" s="1030" t="s">
        <v>2868</v>
      </c>
      <c r="D141" s="1030" t="s">
        <v>2869</v>
      </c>
      <c r="E141" t="s">
        <v>2870</v>
      </c>
      <c r="F141" t="s">
        <v>2817</v>
      </c>
      <c r="G141" t="s">
        <v>22</v>
      </c>
      <c r="H141" t="s">
        <v>22</v>
      </c>
      <c r="I141" t="s">
        <v>824</v>
      </c>
    </row>
    <row r="142" spans="1:9" ht="11.25" customHeight="1">
      <c r="A142" t="s">
        <v>2383</v>
      </c>
      <c r="B142" t="s">
        <v>16</v>
      </c>
      <c r="C142" s="1030" t="s">
        <v>2871</v>
      </c>
      <c r="D142" s="1030" t="s">
        <v>2872</v>
      </c>
      <c r="E142" t="s">
        <v>2873</v>
      </c>
      <c r="F142" t="s">
        <v>2817</v>
      </c>
      <c r="G142" t="s">
        <v>22</v>
      </c>
      <c r="H142" t="s">
        <v>22</v>
      </c>
      <c r="I142" t="s">
        <v>824</v>
      </c>
    </row>
    <row r="143" spans="1:9" ht="11.25" customHeight="1">
      <c r="A143" t="s">
        <v>2383</v>
      </c>
      <c r="B143" t="s">
        <v>16</v>
      </c>
      <c r="C143" s="1030" t="s">
        <v>2874</v>
      </c>
      <c r="D143" s="1030" t="s">
        <v>2875</v>
      </c>
      <c r="E143" t="s">
        <v>2876</v>
      </c>
      <c r="F143" t="s">
        <v>2817</v>
      </c>
      <c r="G143" t="s">
        <v>22</v>
      </c>
      <c r="H143" t="s">
        <v>22</v>
      </c>
      <c r="I143" t="s">
        <v>824</v>
      </c>
    </row>
    <row r="144" spans="1:9" ht="11.25" customHeight="1">
      <c r="A144" t="s">
        <v>2383</v>
      </c>
      <c r="B144" t="s">
        <v>16</v>
      </c>
      <c r="C144" s="1030" t="s">
        <v>2877</v>
      </c>
      <c r="D144" s="1030" t="s">
        <v>2878</v>
      </c>
      <c r="E144" t="s">
        <v>2879</v>
      </c>
      <c r="F144" t="s">
        <v>2817</v>
      </c>
      <c r="G144" t="s">
        <v>22</v>
      </c>
      <c r="H144" t="s">
        <v>22</v>
      </c>
      <c r="I144" t="s">
        <v>824</v>
      </c>
    </row>
    <row r="145" spans="1:9" ht="11.25" customHeight="1">
      <c r="A145" t="s">
        <v>2383</v>
      </c>
      <c r="B145" t="s">
        <v>16</v>
      </c>
      <c r="C145" s="1030" t="s">
        <v>2880</v>
      </c>
      <c r="D145" s="1030" t="s">
        <v>2881</v>
      </c>
      <c r="E145" t="s">
        <v>2882</v>
      </c>
      <c r="F145" t="s">
        <v>2482</v>
      </c>
      <c r="G145" t="s">
        <v>22</v>
      </c>
      <c r="H145" t="s">
        <v>22</v>
      </c>
      <c r="I145" t="s">
        <v>824</v>
      </c>
    </row>
    <row r="146" spans="1:9" ht="11.25" customHeight="1">
      <c r="A146" t="s">
        <v>2383</v>
      </c>
      <c r="B146" t="s">
        <v>16</v>
      </c>
      <c r="C146" s="1030" t="s">
        <v>2883</v>
      </c>
      <c r="D146" s="1030" t="s">
        <v>2884</v>
      </c>
      <c r="E146" t="s">
        <v>2885</v>
      </c>
      <c r="F146" t="s">
        <v>2817</v>
      </c>
      <c r="G146" t="s">
        <v>22</v>
      </c>
      <c r="H146" t="s">
        <v>22</v>
      </c>
      <c r="I146" t="s">
        <v>824</v>
      </c>
    </row>
    <row r="147" spans="1:9" ht="11.25" customHeight="1">
      <c r="A147" t="s">
        <v>2383</v>
      </c>
      <c r="B147" t="s">
        <v>16</v>
      </c>
      <c r="C147" s="1030" t="s">
        <v>2886</v>
      </c>
      <c r="D147" s="1030" t="s">
        <v>2887</v>
      </c>
      <c r="E147" t="s">
        <v>2888</v>
      </c>
      <c r="F147" t="s">
        <v>2889</v>
      </c>
      <c r="G147" t="s">
        <v>22</v>
      </c>
      <c r="H147" t="s">
        <v>22</v>
      </c>
      <c r="I147" t="s">
        <v>824</v>
      </c>
    </row>
    <row r="148" spans="1:9" ht="11.25" customHeight="1">
      <c r="A148" t="s">
        <v>2383</v>
      </c>
      <c r="B148" t="s">
        <v>16</v>
      </c>
      <c r="C148" s="1030" t="s">
        <v>2890</v>
      </c>
      <c r="D148" s="1030" t="s">
        <v>2891</v>
      </c>
      <c r="E148" t="s">
        <v>2892</v>
      </c>
      <c r="F148" t="s">
        <v>2817</v>
      </c>
      <c r="G148" t="s">
        <v>22</v>
      </c>
      <c r="H148" t="s">
        <v>22</v>
      </c>
      <c r="I148" t="s">
        <v>824</v>
      </c>
    </row>
    <row r="149" spans="1:9" ht="11.25" customHeight="1">
      <c r="A149" t="s">
        <v>2383</v>
      </c>
      <c r="B149" t="s">
        <v>16</v>
      </c>
      <c r="C149" s="1030" t="s">
        <v>2893</v>
      </c>
      <c r="D149" s="1030" t="s">
        <v>2894</v>
      </c>
      <c r="E149" t="s">
        <v>2895</v>
      </c>
      <c r="F149" t="s">
        <v>2896</v>
      </c>
      <c r="G149" t="s">
        <v>22</v>
      </c>
      <c r="H149" t="s">
        <v>22</v>
      </c>
      <c r="I149" t="s">
        <v>824</v>
      </c>
    </row>
    <row r="150" spans="1:9" ht="11.25" customHeight="1">
      <c r="A150" t="s">
        <v>2383</v>
      </c>
      <c r="B150" t="s">
        <v>16</v>
      </c>
      <c r="C150" s="1030" t="s">
        <v>2897</v>
      </c>
      <c r="D150" s="1030" t="s">
        <v>2898</v>
      </c>
      <c r="E150" t="s">
        <v>2899</v>
      </c>
      <c r="F150" t="s">
        <v>2638</v>
      </c>
      <c r="G150" t="s">
        <v>22</v>
      </c>
      <c r="H150" t="s">
        <v>22</v>
      </c>
      <c r="I150" t="s">
        <v>824</v>
      </c>
    </row>
    <row r="151" spans="1:9" ht="11.25" customHeight="1">
      <c r="A151" t="s">
        <v>2383</v>
      </c>
      <c r="B151" t="s">
        <v>16</v>
      </c>
      <c r="C151" s="1030" t="s">
        <v>2900</v>
      </c>
      <c r="D151" s="1030" t="s">
        <v>2901</v>
      </c>
      <c r="E151" t="s">
        <v>2902</v>
      </c>
      <c r="F151" t="s">
        <v>2661</v>
      </c>
      <c r="G151" t="s">
        <v>22</v>
      </c>
      <c r="H151" t="s">
        <v>22</v>
      </c>
      <c r="I151" t="s">
        <v>824</v>
      </c>
    </row>
    <row r="152" spans="1:9" ht="11.25" customHeight="1">
      <c r="A152" t="s">
        <v>2383</v>
      </c>
      <c r="B152" t="s">
        <v>16</v>
      </c>
      <c r="C152" s="1030" t="s">
        <v>2903</v>
      </c>
      <c r="D152" s="1030" t="s">
        <v>2904</v>
      </c>
      <c r="E152" t="s">
        <v>2905</v>
      </c>
      <c r="F152" t="s">
        <v>2432</v>
      </c>
      <c r="G152" t="s">
        <v>22</v>
      </c>
      <c r="H152" t="s">
        <v>22</v>
      </c>
      <c r="I152" t="s">
        <v>824</v>
      </c>
    </row>
    <row r="153" spans="1:9" ht="11.25" customHeight="1">
      <c r="A153" t="s">
        <v>2383</v>
      </c>
      <c r="B153" t="s">
        <v>16</v>
      </c>
      <c r="C153" s="1030" t="s">
        <v>2906</v>
      </c>
      <c r="D153" s="1030" t="s">
        <v>2907</v>
      </c>
      <c r="E153" t="s">
        <v>2908</v>
      </c>
      <c r="F153" t="s">
        <v>2909</v>
      </c>
      <c r="G153" t="s">
        <v>22</v>
      </c>
      <c r="H153" t="s">
        <v>22</v>
      </c>
      <c r="I153" t="s">
        <v>824</v>
      </c>
    </row>
    <row r="154" spans="1:9" ht="11.25" customHeight="1">
      <c r="A154" t="s">
        <v>2383</v>
      </c>
      <c r="B154" t="s">
        <v>16</v>
      </c>
      <c r="C154" s="1030" t="s">
        <v>2910</v>
      </c>
      <c r="D154" s="1030" t="s">
        <v>2911</v>
      </c>
      <c r="E154" t="s">
        <v>2912</v>
      </c>
      <c r="F154" t="s">
        <v>2665</v>
      </c>
      <c r="G154" t="s">
        <v>22</v>
      </c>
      <c r="H154" t="s">
        <v>22</v>
      </c>
      <c r="I154" t="s">
        <v>824</v>
      </c>
    </row>
    <row r="155" spans="1:9" ht="11.25" customHeight="1">
      <c r="A155" t="s">
        <v>2383</v>
      </c>
      <c r="B155" t="s">
        <v>16</v>
      </c>
      <c r="C155" s="1030" t="s">
        <v>2913</v>
      </c>
      <c r="D155" s="1030" t="s">
        <v>2914</v>
      </c>
      <c r="E155" t="s">
        <v>2915</v>
      </c>
      <c r="F155" t="s">
        <v>2404</v>
      </c>
      <c r="G155" t="s">
        <v>22</v>
      </c>
      <c r="H155" t="s">
        <v>22</v>
      </c>
      <c r="I155" t="s">
        <v>824</v>
      </c>
    </row>
    <row r="156" spans="1:9" ht="11.25" customHeight="1">
      <c r="A156" t="s">
        <v>2383</v>
      </c>
      <c r="B156" t="s">
        <v>16</v>
      </c>
      <c r="C156" s="1030" t="s">
        <v>2916</v>
      </c>
      <c r="D156" s="1030" t="s">
        <v>2917</v>
      </c>
      <c r="E156" t="s">
        <v>2918</v>
      </c>
      <c r="F156" t="s">
        <v>2661</v>
      </c>
      <c r="G156" t="s">
        <v>22</v>
      </c>
      <c r="H156" t="s">
        <v>22</v>
      </c>
      <c r="I156" t="s">
        <v>824</v>
      </c>
    </row>
    <row r="157" spans="1:9" ht="11.25" customHeight="1">
      <c r="A157" t="s">
        <v>2383</v>
      </c>
      <c r="B157" t="s">
        <v>16</v>
      </c>
      <c r="C157" s="1030" t="s">
        <v>2919</v>
      </c>
      <c r="D157" s="1030" t="s">
        <v>2920</v>
      </c>
      <c r="E157" t="s">
        <v>2921</v>
      </c>
      <c r="F157" t="s">
        <v>2482</v>
      </c>
      <c r="G157" t="s">
        <v>22</v>
      </c>
      <c r="H157" t="s">
        <v>22</v>
      </c>
      <c r="I157" t="s">
        <v>824</v>
      </c>
    </row>
    <row r="158" spans="1:9" ht="11.25" customHeight="1">
      <c r="A158" t="s">
        <v>2383</v>
      </c>
      <c r="B158" t="s">
        <v>16</v>
      </c>
      <c r="C158" s="1030" t="s">
        <v>2922</v>
      </c>
      <c r="D158" s="1030" t="s">
        <v>2923</v>
      </c>
      <c r="E158" t="s">
        <v>2924</v>
      </c>
      <c r="F158" t="s">
        <v>2432</v>
      </c>
      <c r="G158" t="s">
        <v>22</v>
      </c>
      <c r="H158" t="s">
        <v>22</v>
      </c>
      <c r="I158" t="s">
        <v>824</v>
      </c>
    </row>
    <row r="159" spans="1:9" ht="11.25" customHeight="1">
      <c r="A159" t="s">
        <v>2383</v>
      </c>
      <c r="B159" t="s">
        <v>16</v>
      </c>
      <c r="C159" s="1030" t="s">
        <v>2925</v>
      </c>
      <c r="D159" s="1030" t="s">
        <v>2926</v>
      </c>
      <c r="E159" t="s">
        <v>2927</v>
      </c>
      <c r="F159" t="s">
        <v>2432</v>
      </c>
      <c r="G159" t="s">
        <v>22</v>
      </c>
      <c r="H159" t="s">
        <v>22</v>
      </c>
      <c r="I159" t="s">
        <v>824</v>
      </c>
    </row>
    <row r="160" spans="1:9" ht="11.25" customHeight="1">
      <c r="A160" t="s">
        <v>2383</v>
      </c>
      <c r="B160" t="s">
        <v>16</v>
      </c>
      <c r="C160" s="1030" t="s">
        <v>2928</v>
      </c>
      <c r="D160" s="1030" t="s">
        <v>2929</v>
      </c>
      <c r="E160" t="s">
        <v>2930</v>
      </c>
      <c r="F160" t="s">
        <v>2909</v>
      </c>
      <c r="G160" t="s">
        <v>22</v>
      </c>
      <c r="H160" t="s">
        <v>22</v>
      </c>
      <c r="I160" t="s">
        <v>824</v>
      </c>
    </row>
    <row r="161" spans="1:9" ht="11.25" customHeight="1">
      <c r="A161" t="s">
        <v>2383</v>
      </c>
      <c r="B161" t="s">
        <v>16</v>
      </c>
      <c r="C161" s="1030" t="s">
        <v>2931</v>
      </c>
      <c r="D161" s="1030" t="s">
        <v>2932</v>
      </c>
      <c r="E161" t="s">
        <v>2933</v>
      </c>
      <c r="F161" t="s">
        <v>2665</v>
      </c>
      <c r="G161" t="s">
        <v>22</v>
      </c>
      <c r="H161" t="s">
        <v>22</v>
      </c>
      <c r="I161" t="s">
        <v>824</v>
      </c>
    </row>
    <row r="162" spans="1:9" ht="11.25" customHeight="1">
      <c r="A162" t="s">
        <v>2383</v>
      </c>
      <c r="B162" t="s">
        <v>16</v>
      </c>
      <c r="C162" s="1030" t="s">
        <v>2934</v>
      </c>
      <c r="D162" s="1030" t="s">
        <v>2935</v>
      </c>
      <c r="E162" t="s">
        <v>2936</v>
      </c>
      <c r="F162" t="s">
        <v>2657</v>
      </c>
      <c r="G162" t="s">
        <v>22</v>
      </c>
      <c r="H162" t="s">
        <v>22</v>
      </c>
      <c r="I162" t="s">
        <v>824</v>
      </c>
    </row>
    <row r="163" spans="1:9" ht="11.25" customHeight="1">
      <c r="A163" t="s">
        <v>2383</v>
      </c>
      <c r="B163" t="s">
        <v>16</v>
      </c>
      <c r="C163" s="1030" t="s">
        <v>2937</v>
      </c>
      <c r="D163" s="1030" t="s">
        <v>2938</v>
      </c>
      <c r="E163" t="s">
        <v>2939</v>
      </c>
      <c r="F163" t="s">
        <v>2653</v>
      </c>
      <c r="G163" t="s">
        <v>22</v>
      </c>
      <c r="H163" t="s">
        <v>22</v>
      </c>
      <c r="I163" t="s">
        <v>824</v>
      </c>
    </row>
    <row r="164" spans="1:9" ht="11.25" customHeight="1">
      <c r="A164" t="s">
        <v>2383</v>
      </c>
      <c r="B164" t="s">
        <v>16</v>
      </c>
      <c r="C164" s="1030" t="s">
        <v>2940</v>
      </c>
      <c r="D164" s="1030" t="s">
        <v>2941</v>
      </c>
      <c r="E164" t="s">
        <v>2942</v>
      </c>
      <c r="F164" t="s">
        <v>2817</v>
      </c>
      <c r="G164" t="s">
        <v>22</v>
      </c>
      <c r="H164" t="s">
        <v>22</v>
      </c>
      <c r="I164" t="s">
        <v>824</v>
      </c>
    </row>
    <row r="165" spans="1:9" ht="11.25" customHeight="1">
      <c r="A165" t="s">
        <v>2383</v>
      </c>
      <c r="B165" t="s">
        <v>16</v>
      </c>
      <c r="C165" s="1030" t="s">
        <v>2943</v>
      </c>
      <c r="D165" s="1030" t="s">
        <v>2944</v>
      </c>
      <c r="E165" t="s">
        <v>2945</v>
      </c>
      <c r="F165" t="s">
        <v>2946</v>
      </c>
      <c r="G165" t="s">
        <v>22</v>
      </c>
      <c r="H165" t="s">
        <v>22</v>
      </c>
      <c r="I165" t="s">
        <v>824</v>
      </c>
    </row>
    <row r="166" spans="1:9" ht="11.25" customHeight="1">
      <c r="A166" t="s">
        <v>2383</v>
      </c>
      <c r="B166" t="s">
        <v>16</v>
      </c>
      <c r="C166" s="1030" t="s">
        <v>2947</v>
      </c>
      <c r="D166" s="1030" t="s">
        <v>2948</v>
      </c>
      <c r="E166" t="s">
        <v>2949</v>
      </c>
      <c r="F166" t="s">
        <v>2440</v>
      </c>
      <c r="G166" t="s">
        <v>22</v>
      </c>
      <c r="H166" t="s">
        <v>22</v>
      </c>
      <c r="I166" t="s">
        <v>824</v>
      </c>
    </row>
    <row r="167" spans="1:9" ht="11.25" customHeight="1">
      <c r="A167" t="s">
        <v>2383</v>
      </c>
      <c r="B167" t="s">
        <v>16</v>
      </c>
      <c r="C167" s="1030" t="s">
        <v>2950</v>
      </c>
      <c r="D167" s="1030" t="s">
        <v>2951</v>
      </c>
      <c r="E167" t="s">
        <v>2952</v>
      </c>
      <c r="F167" t="s">
        <v>2953</v>
      </c>
      <c r="G167" t="s">
        <v>22</v>
      </c>
      <c r="H167" t="s">
        <v>22</v>
      </c>
      <c r="I167" t="s">
        <v>824</v>
      </c>
    </row>
    <row r="168" spans="1:9" ht="11.25" customHeight="1">
      <c r="A168" t="s">
        <v>2383</v>
      </c>
      <c r="B168" t="s">
        <v>16</v>
      </c>
      <c r="C168" s="1030" t="s">
        <v>2954</v>
      </c>
      <c r="D168" s="1030" t="s">
        <v>2955</v>
      </c>
      <c r="E168" t="s">
        <v>2956</v>
      </c>
      <c r="F168" t="s">
        <v>2817</v>
      </c>
      <c r="G168" t="s">
        <v>22</v>
      </c>
      <c r="H168" t="s">
        <v>22</v>
      </c>
      <c r="I168" t="s">
        <v>824</v>
      </c>
    </row>
    <row r="169" spans="1:9" ht="11.25" customHeight="1">
      <c r="A169" t="s">
        <v>2383</v>
      </c>
      <c r="B169" t="s">
        <v>16</v>
      </c>
      <c r="C169" s="1030" t="s">
        <v>2957</v>
      </c>
      <c r="D169" s="1030" t="s">
        <v>2958</v>
      </c>
      <c r="E169" t="s">
        <v>2959</v>
      </c>
      <c r="F169" t="s">
        <v>2672</v>
      </c>
      <c r="G169" t="s">
        <v>22</v>
      </c>
      <c r="H169" t="s">
        <v>22</v>
      </c>
      <c r="I169" t="s">
        <v>824</v>
      </c>
    </row>
    <row r="170" spans="1:9" ht="11.25" customHeight="1">
      <c r="A170" t="s">
        <v>2383</v>
      </c>
      <c r="B170" t="s">
        <v>16</v>
      </c>
      <c r="C170" s="1030" t="s">
        <v>2960</v>
      </c>
      <c r="D170" s="1030" t="s">
        <v>2961</v>
      </c>
      <c r="E170" t="s">
        <v>2962</v>
      </c>
      <c r="F170" t="s">
        <v>2835</v>
      </c>
      <c r="G170" t="s">
        <v>22</v>
      </c>
      <c r="H170" t="s">
        <v>22</v>
      </c>
      <c r="I170" t="s">
        <v>824</v>
      </c>
    </row>
    <row r="171" spans="1:9" ht="11.25" customHeight="1">
      <c r="A171" t="s">
        <v>2383</v>
      </c>
      <c r="B171" t="s">
        <v>16</v>
      </c>
      <c r="C171" s="1030" t="s">
        <v>2963</v>
      </c>
      <c r="D171" s="1030" t="s">
        <v>2964</v>
      </c>
      <c r="E171" t="s">
        <v>2965</v>
      </c>
      <c r="F171" t="s">
        <v>2966</v>
      </c>
      <c r="G171" t="s">
        <v>22</v>
      </c>
      <c r="H171" t="s">
        <v>22</v>
      </c>
      <c r="I171" t="s">
        <v>824</v>
      </c>
    </row>
    <row r="172" spans="1:9" ht="11.25" customHeight="1">
      <c r="A172" t="s">
        <v>2383</v>
      </c>
      <c r="B172" t="s">
        <v>16</v>
      </c>
      <c r="C172" s="1030" t="s">
        <v>2967</v>
      </c>
      <c r="D172" s="1030" t="s">
        <v>2968</v>
      </c>
      <c r="E172" t="s">
        <v>2969</v>
      </c>
      <c r="F172" t="s">
        <v>2672</v>
      </c>
      <c r="G172" t="s">
        <v>22</v>
      </c>
      <c r="H172" t="s">
        <v>22</v>
      </c>
      <c r="I172" t="s">
        <v>824</v>
      </c>
    </row>
    <row r="173" spans="1:9" ht="11.25" customHeight="1">
      <c r="A173" t="s">
        <v>2383</v>
      </c>
      <c r="B173" t="s">
        <v>16</v>
      </c>
      <c r="C173" s="1030" t="s">
        <v>2970</v>
      </c>
      <c r="D173" s="1030" t="s">
        <v>2971</v>
      </c>
      <c r="E173" t="s">
        <v>2972</v>
      </c>
      <c r="F173" t="s">
        <v>2973</v>
      </c>
      <c r="G173" t="s">
        <v>22</v>
      </c>
      <c r="H173" t="s">
        <v>22</v>
      </c>
      <c r="I173" t="s">
        <v>824</v>
      </c>
    </row>
    <row r="174" spans="1:9" ht="11.25" customHeight="1">
      <c r="A174" t="s">
        <v>2383</v>
      </c>
      <c r="B174" t="s">
        <v>16</v>
      </c>
      <c r="C174" s="1030" t="s">
        <v>2974</v>
      </c>
      <c r="D174" s="1030" t="s">
        <v>2975</v>
      </c>
      <c r="E174" t="s">
        <v>2976</v>
      </c>
      <c r="F174" t="s">
        <v>2451</v>
      </c>
      <c r="G174" t="s">
        <v>22</v>
      </c>
      <c r="H174" t="s">
        <v>22</v>
      </c>
      <c r="I174" t="s">
        <v>824</v>
      </c>
    </row>
    <row r="175" spans="1:9" ht="11.25" customHeight="1">
      <c r="A175" t="s">
        <v>2383</v>
      </c>
      <c r="B175" t="s">
        <v>16</v>
      </c>
      <c r="C175" s="1030" t="s">
        <v>2977</v>
      </c>
      <c r="D175" s="1030" t="s">
        <v>2978</v>
      </c>
      <c r="E175" t="s">
        <v>2979</v>
      </c>
      <c r="F175" t="s">
        <v>2649</v>
      </c>
      <c r="G175" t="s">
        <v>22</v>
      </c>
      <c r="H175" t="s">
        <v>22</v>
      </c>
      <c r="I175" t="s">
        <v>824</v>
      </c>
    </row>
    <row r="176" spans="1:9" ht="11.25" customHeight="1">
      <c r="A176" t="s">
        <v>2383</v>
      </c>
      <c r="B176" t="s">
        <v>16</v>
      </c>
      <c r="C176" s="1030" t="s">
        <v>2980</v>
      </c>
      <c r="D176" s="1030" t="s">
        <v>2981</v>
      </c>
      <c r="E176" t="s">
        <v>2982</v>
      </c>
      <c r="F176" t="s">
        <v>2769</v>
      </c>
      <c r="G176" t="s">
        <v>2983</v>
      </c>
      <c r="H176" t="s">
        <v>22</v>
      </c>
      <c r="I176" t="s">
        <v>824</v>
      </c>
    </row>
    <row r="177" spans="1:9" ht="11.25" customHeight="1">
      <c r="A177" t="s">
        <v>2383</v>
      </c>
      <c r="B177" t="s">
        <v>16</v>
      </c>
      <c r="C177" s="1030" t="s">
        <v>2984</v>
      </c>
      <c r="D177" s="1030" t="s">
        <v>2985</v>
      </c>
      <c r="E177" t="s">
        <v>2986</v>
      </c>
      <c r="F177" t="s">
        <v>2828</v>
      </c>
      <c r="G177" t="s">
        <v>22</v>
      </c>
      <c r="H177" t="s">
        <v>22</v>
      </c>
      <c r="I177" t="s">
        <v>824</v>
      </c>
    </row>
    <row r="178" spans="1:9" ht="11.25" customHeight="1">
      <c r="A178" t="s">
        <v>2383</v>
      </c>
      <c r="B178" t="s">
        <v>16</v>
      </c>
      <c r="C178" s="1030" t="s">
        <v>2987</v>
      </c>
      <c r="D178" s="1030" t="s">
        <v>2988</v>
      </c>
      <c r="E178" t="s">
        <v>2989</v>
      </c>
      <c r="F178" t="s">
        <v>2657</v>
      </c>
      <c r="G178" t="s">
        <v>22</v>
      </c>
      <c r="H178" t="s">
        <v>22</v>
      </c>
      <c r="I178" t="s">
        <v>824</v>
      </c>
    </row>
    <row r="179" spans="1:9" ht="11.25" customHeight="1">
      <c r="A179" t="s">
        <v>2383</v>
      </c>
      <c r="B179" t="s">
        <v>16</v>
      </c>
      <c r="C179" s="1030" t="s">
        <v>2990</v>
      </c>
      <c r="D179" s="1030" t="s">
        <v>2991</v>
      </c>
      <c r="E179" t="s">
        <v>2992</v>
      </c>
      <c r="F179" t="s">
        <v>2993</v>
      </c>
      <c r="G179" t="s">
        <v>22</v>
      </c>
      <c r="H179" t="s">
        <v>22</v>
      </c>
      <c r="I179" t="s">
        <v>824</v>
      </c>
    </row>
    <row r="180" spans="1:9" ht="11.25" customHeight="1">
      <c r="A180" t="s">
        <v>2383</v>
      </c>
      <c r="B180" t="s">
        <v>16</v>
      </c>
      <c r="C180" s="1030" t="s">
        <v>2994</v>
      </c>
      <c r="D180" s="1030" t="s">
        <v>2995</v>
      </c>
      <c r="E180" t="s">
        <v>2996</v>
      </c>
      <c r="F180" t="s">
        <v>2629</v>
      </c>
      <c r="G180" t="s">
        <v>22</v>
      </c>
      <c r="H180" t="s">
        <v>22</v>
      </c>
      <c r="I180" t="s">
        <v>824</v>
      </c>
    </row>
    <row r="181" spans="1:9" ht="11.25" customHeight="1">
      <c r="A181" t="s">
        <v>2383</v>
      </c>
      <c r="B181" t="s">
        <v>16</v>
      </c>
      <c r="C181" s="1030" t="s">
        <v>2997</v>
      </c>
      <c r="D181" s="1030" t="s">
        <v>2998</v>
      </c>
      <c r="E181" t="s">
        <v>2999</v>
      </c>
      <c r="F181" t="s">
        <v>3000</v>
      </c>
      <c r="G181" t="s">
        <v>22</v>
      </c>
      <c r="H181" t="s">
        <v>22</v>
      </c>
      <c r="I181" t="s">
        <v>824</v>
      </c>
    </row>
    <row r="182" spans="1:9" ht="11.25" customHeight="1">
      <c r="A182" t="s">
        <v>2383</v>
      </c>
      <c r="B182" t="s">
        <v>16</v>
      </c>
      <c r="C182" s="1030" t="s">
        <v>3001</v>
      </c>
      <c r="D182" s="1030" t="s">
        <v>3002</v>
      </c>
      <c r="E182" t="s">
        <v>3003</v>
      </c>
      <c r="F182" t="s">
        <v>2665</v>
      </c>
      <c r="G182" t="s">
        <v>3004</v>
      </c>
      <c r="H182" t="s">
        <v>22</v>
      </c>
      <c r="I182" t="s">
        <v>824</v>
      </c>
    </row>
    <row r="183" spans="1:9" ht="11.25" customHeight="1">
      <c r="A183" t="s">
        <v>2383</v>
      </c>
      <c r="B183" t="s">
        <v>16</v>
      </c>
      <c r="C183" s="1030" t="s">
        <v>3005</v>
      </c>
      <c r="D183" s="1030" t="s">
        <v>3006</v>
      </c>
      <c r="E183" t="s">
        <v>3007</v>
      </c>
      <c r="F183" t="s">
        <v>2665</v>
      </c>
      <c r="G183" t="s">
        <v>22</v>
      </c>
      <c r="H183" t="s">
        <v>22</v>
      </c>
      <c r="I183" t="s">
        <v>824</v>
      </c>
    </row>
    <row r="184" spans="1:9" ht="11.25" customHeight="1">
      <c r="A184" t="s">
        <v>2383</v>
      </c>
      <c r="B184" t="s">
        <v>16</v>
      </c>
      <c r="C184" s="1030" t="s">
        <v>3008</v>
      </c>
      <c r="D184" s="1030" t="s">
        <v>3009</v>
      </c>
      <c r="E184" t="s">
        <v>3010</v>
      </c>
      <c r="F184" t="s">
        <v>3011</v>
      </c>
      <c r="G184" t="s">
        <v>22</v>
      </c>
      <c r="H184" t="s">
        <v>22</v>
      </c>
      <c r="I184" t="s">
        <v>824</v>
      </c>
    </row>
    <row r="185" spans="1:9" ht="11.25" customHeight="1">
      <c r="A185" t="s">
        <v>2383</v>
      </c>
      <c r="B185" t="s">
        <v>16</v>
      </c>
      <c r="C185" s="1030" t="s">
        <v>3012</v>
      </c>
      <c r="D185" s="1030" t="s">
        <v>3013</v>
      </c>
      <c r="E185" t="s">
        <v>3014</v>
      </c>
      <c r="F185" t="s">
        <v>2817</v>
      </c>
      <c r="G185" t="s">
        <v>22</v>
      </c>
      <c r="H185" t="s">
        <v>22</v>
      </c>
      <c r="I185" t="s">
        <v>824</v>
      </c>
    </row>
    <row r="186" spans="1:9" ht="11.25" customHeight="1">
      <c r="A186" t="s">
        <v>2383</v>
      </c>
      <c r="B186" t="s">
        <v>16</v>
      </c>
      <c r="C186" s="1030" t="s">
        <v>3015</v>
      </c>
      <c r="D186" s="1030" t="s">
        <v>3016</v>
      </c>
      <c r="E186" t="s">
        <v>3017</v>
      </c>
      <c r="F186" t="s">
        <v>2629</v>
      </c>
      <c r="G186" t="s">
        <v>3018</v>
      </c>
      <c r="H186" t="s">
        <v>22</v>
      </c>
      <c r="I186" t="s">
        <v>824</v>
      </c>
    </row>
    <row r="187" spans="1:9" ht="11.25" customHeight="1">
      <c r="A187" t="s">
        <v>2383</v>
      </c>
      <c r="B187" t="s">
        <v>16</v>
      </c>
      <c r="C187" s="1030" t="s">
        <v>3019</v>
      </c>
      <c r="D187" s="1030" t="s">
        <v>3020</v>
      </c>
      <c r="E187" t="s">
        <v>3021</v>
      </c>
      <c r="F187" t="s">
        <v>2973</v>
      </c>
      <c r="G187" t="s">
        <v>22</v>
      </c>
      <c r="H187" t="s">
        <v>22</v>
      </c>
      <c r="I187" t="s">
        <v>824</v>
      </c>
    </row>
    <row r="188" spans="1:9" ht="11.25" customHeight="1">
      <c r="A188" t="s">
        <v>2383</v>
      </c>
      <c r="B188" t="s">
        <v>16</v>
      </c>
      <c r="C188" s="1030" t="s">
        <v>3022</v>
      </c>
      <c r="D188" s="1030" t="s">
        <v>3023</v>
      </c>
      <c r="E188" t="s">
        <v>3024</v>
      </c>
      <c r="F188" t="s">
        <v>3025</v>
      </c>
      <c r="G188" t="s">
        <v>22</v>
      </c>
      <c r="H188" t="s">
        <v>22</v>
      </c>
      <c r="I188" t="s">
        <v>824</v>
      </c>
    </row>
    <row r="189" spans="1:9" ht="11.25" customHeight="1">
      <c r="A189" t="s">
        <v>2383</v>
      </c>
      <c r="B189" t="s">
        <v>16</v>
      </c>
      <c r="C189" s="1030" t="s">
        <v>3026</v>
      </c>
      <c r="D189" s="1030" t="s">
        <v>3027</v>
      </c>
      <c r="E189" t="s">
        <v>3028</v>
      </c>
      <c r="F189" t="s">
        <v>2973</v>
      </c>
      <c r="G189" t="s">
        <v>22</v>
      </c>
      <c r="H189" t="s">
        <v>22</v>
      </c>
      <c r="I189" t="s">
        <v>824</v>
      </c>
    </row>
    <row r="190" spans="1:9" ht="11.25" customHeight="1">
      <c r="A190" t="s">
        <v>2383</v>
      </c>
      <c r="B190" t="s">
        <v>16</v>
      </c>
      <c r="C190" s="1030" t="s">
        <v>3029</v>
      </c>
      <c r="D190" s="1030" t="s">
        <v>3030</v>
      </c>
      <c r="E190" t="s">
        <v>3031</v>
      </c>
      <c r="F190" t="s">
        <v>2769</v>
      </c>
      <c r="G190" t="s">
        <v>3032</v>
      </c>
      <c r="H190" t="s">
        <v>3033</v>
      </c>
      <c r="I190" t="s">
        <v>824</v>
      </c>
    </row>
    <row r="191" spans="1:9" ht="11.25" customHeight="1">
      <c r="A191" t="s">
        <v>2383</v>
      </c>
      <c r="B191" t="s">
        <v>16</v>
      </c>
      <c r="C191" s="1030" t="s">
        <v>3034</v>
      </c>
      <c r="D191" s="1030" t="s">
        <v>3035</v>
      </c>
      <c r="E191" t="s">
        <v>3036</v>
      </c>
      <c r="F191" t="s">
        <v>2629</v>
      </c>
      <c r="G191" t="s">
        <v>3037</v>
      </c>
      <c r="H191" t="s">
        <v>22</v>
      </c>
      <c r="I191" t="s">
        <v>824</v>
      </c>
    </row>
    <row r="192" spans="1:9" ht="11.25" customHeight="1">
      <c r="A192" t="s">
        <v>2383</v>
      </c>
      <c r="B192" t="s">
        <v>16</v>
      </c>
      <c r="C192" s="1030" t="s">
        <v>3038</v>
      </c>
      <c r="D192" s="1030" t="s">
        <v>3039</v>
      </c>
      <c r="E192" t="s">
        <v>3040</v>
      </c>
      <c r="F192" t="s">
        <v>2391</v>
      </c>
      <c r="G192" t="s">
        <v>22</v>
      </c>
      <c r="H192" t="s">
        <v>22</v>
      </c>
      <c r="I192" t="s">
        <v>824</v>
      </c>
    </row>
    <row r="193" spans="1:9" ht="11.25" customHeight="1">
      <c r="A193" t="s">
        <v>2383</v>
      </c>
      <c r="B193" t="s">
        <v>16</v>
      </c>
      <c r="C193" s="1030" t="s">
        <v>3041</v>
      </c>
      <c r="D193" s="1030" t="s">
        <v>3042</v>
      </c>
      <c r="E193" t="s">
        <v>3043</v>
      </c>
      <c r="F193" t="s">
        <v>2391</v>
      </c>
      <c r="G193" t="s">
        <v>22</v>
      </c>
      <c r="H193" t="s">
        <v>22</v>
      </c>
      <c r="I193" t="s">
        <v>824</v>
      </c>
    </row>
    <row r="194" spans="1:9" ht="11.25" customHeight="1">
      <c r="A194" t="s">
        <v>2383</v>
      </c>
      <c r="B194" t="s">
        <v>16</v>
      </c>
      <c r="C194" s="1030" t="s">
        <v>3044</v>
      </c>
      <c r="D194" s="1030" t="s">
        <v>3045</v>
      </c>
      <c r="E194" t="s">
        <v>2624</v>
      </c>
      <c r="F194" t="s">
        <v>2688</v>
      </c>
      <c r="G194" t="s">
        <v>22</v>
      </c>
      <c r="H194" t="s">
        <v>22</v>
      </c>
      <c r="I194" t="s">
        <v>824</v>
      </c>
    </row>
    <row r="195" spans="1:9" ht="11.25" customHeight="1">
      <c r="A195" t="s">
        <v>2383</v>
      </c>
      <c r="B195" t="s">
        <v>16</v>
      </c>
      <c r="C195" s="1030" t="s">
        <v>3046</v>
      </c>
      <c r="D195" s="1030" t="s">
        <v>3047</v>
      </c>
      <c r="E195" t="s">
        <v>3048</v>
      </c>
      <c r="F195" t="s">
        <v>3049</v>
      </c>
      <c r="G195" t="s">
        <v>22</v>
      </c>
      <c r="H195" t="s">
        <v>22</v>
      </c>
      <c r="I195" t="s">
        <v>824</v>
      </c>
    </row>
    <row r="196" spans="1:9" ht="11.25" customHeight="1">
      <c r="A196" t="s">
        <v>2383</v>
      </c>
      <c r="B196" t="s">
        <v>16</v>
      </c>
      <c r="C196" s="1030" t="s">
        <v>3050</v>
      </c>
      <c r="D196" s="1030" t="s">
        <v>3051</v>
      </c>
      <c r="E196" t="s">
        <v>3048</v>
      </c>
      <c r="F196" t="s">
        <v>3052</v>
      </c>
      <c r="G196" t="s">
        <v>22</v>
      </c>
      <c r="H196" t="s">
        <v>22</v>
      </c>
      <c r="I196" t="s">
        <v>824</v>
      </c>
    </row>
    <row r="197" spans="1:9" ht="11.25" customHeight="1">
      <c r="A197" t="s">
        <v>2383</v>
      </c>
      <c r="B197" t="s">
        <v>16</v>
      </c>
      <c r="C197" s="1030" t="s">
        <v>3053</v>
      </c>
      <c r="D197" s="1030" t="s">
        <v>3054</v>
      </c>
      <c r="E197" t="s">
        <v>3055</v>
      </c>
      <c r="F197" t="s">
        <v>2629</v>
      </c>
      <c r="G197" t="s">
        <v>22</v>
      </c>
      <c r="H197" t="s">
        <v>22</v>
      </c>
      <c r="I197" t="s">
        <v>824</v>
      </c>
    </row>
    <row r="198" spans="1:9" ht="11.25" customHeight="1">
      <c r="A198" t="s">
        <v>2383</v>
      </c>
      <c r="B198" t="s">
        <v>16</v>
      </c>
      <c r="C198" s="1030" t="s">
        <v>3056</v>
      </c>
      <c r="D198" s="1030" t="s">
        <v>3057</v>
      </c>
      <c r="E198" t="s">
        <v>3058</v>
      </c>
      <c r="F198" t="s">
        <v>2688</v>
      </c>
      <c r="G198" t="s">
        <v>22</v>
      </c>
      <c r="H198" t="s">
        <v>22</v>
      </c>
      <c r="I198" t="s">
        <v>824</v>
      </c>
    </row>
    <row r="199" spans="1:9" ht="11.25" customHeight="1">
      <c r="A199" t="s">
        <v>2383</v>
      </c>
      <c r="B199" t="s">
        <v>16</v>
      </c>
      <c r="C199" s="1030" t="s">
        <v>3059</v>
      </c>
      <c r="D199" s="1030" t="s">
        <v>3060</v>
      </c>
      <c r="E199" t="s">
        <v>3061</v>
      </c>
      <c r="F199" t="s">
        <v>2611</v>
      </c>
      <c r="G199" t="s">
        <v>22</v>
      </c>
      <c r="H199" t="s">
        <v>22</v>
      </c>
      <c r="I199" t="s">
        <v>824</v>
      </c>
    </row>
    <row r="200" spans="1:9" ht="11.25" customHeight="1">
      <c r="A200" t="s">
        <v>2383</v>
      </c>
      <c r="B200" t="s">
        <v>16</v>
      </c>
      <c r="C200" s="1030" t="s">
        <v>3062</v>
      </c>
      <c r="D200" s="1030" t="s">
        <v>3063</v>
      </c>
      <c r="E200" t="s">
        <v>3064</v>
      </c>
      <c r="F200" t="s">
        <v>2672</v>
      </c>
      <c r="G200" t="s">
        <v>22</v>
      </c>
      <c r="H200" t="s">
        <v>22</v>
      </c>
      <c r="I200" t="s">
        <v>824</v>
      </c>
    </row>
    <row r="201" spans="1:9" ht="11.25" customHeight="1">
      <c r="A201" t="s">
        <v>2383</v>
      </c>
      <c r="B201" t="s">
        <v>16</v>
      </c>
      <c r="C201" s="1030" t="s">
        <v>3065</v>
      </c>
      <c r="D201" s="1030" t="s">
        <v>3066</v>
      </c>
      <c r="E201" t="s">
        <v>3067</v>
      </c>
      <c r="F201" t="s">
        <v>3068</v>
      </c>
      <c r="G201" t="s">
        <v>22</v>
      </c>
      <c r="H201" t="s">
        <v>22</v>
      </c>
      <c r="I201" t="s">
        <v>824</v>
      </c>
    </row>
    <row r="202" spans="1:9" ht="11.25" customHeight="1">
      <c r="A202" t="s">
        <v>2383</v>
      </c>
      <c r="B202" t="s">
        <v>16</v>
      </c>
      <c r="C202" s="1030" t="s">
        <v>3069</v>
      </c>
      <c r="D202" s="1030" t="s">
        <v>3070</v>
      </c>
      <c r="E202" t="s">
        <v>3071</v>
      </c>
      <c r="F202" t="s">
        <v>50</v>
      </c>
      <c r="G202" t="s">
        <v>22</v>
      </c>
      <c r="H202" t="s">
        <v>22</v>
      </c>
      <c r="I202" t="s">
        <v>824</v>
      </c>
    </row>
    <row r="203" spans="1:9" ht="11.25" customHeight="1">
      <c r="A203" t="s">
        <v>2383</v>
      </c>
      <c r="B203" t="s">
        <v>16</v>
      </c>
      <c r="C203" s="1030" t="s">
        <v>3072</v>
      </c>
      <c r="D203" s="1030" t="s">
        <v>3073</v>
      </c>
      <c r="E203" t="s">
        <v>2561</v>
      </c>
      <c r="F203" t="s">
        <v>3074</v>
      </c>
      <c r="G203" t="s">
        <v>22</v>
      </c>
      <c r="H203" t="s">
        <v>22</v>
      </c>
      <c r="I203" t="s">
        <v>824</v>
      </c>
    </row>
    <row r="204" spans="1:9" ht="11.25" customHeight="1">
      <c r="A204" t="s">
        <v>2383</v>
      </c>
      <c r="B204" t="s">
        <v>16</v>
      </c>
      <c r="C204" s="1030" t="s">
        <v>3075</v>
      </c>
      <c r="D204" s="1030" t="s">
        <v>3076</v>
      </c>
      <c r="E204" t="s">
        <v>3077</v>
      </c>
      <c r="F204" t="s">
        <v>2688</v>
      </c>
      <c r="G204" t="s">
        <v>22</v>
      </c>
      <c r="H204" t="s">
        <v>22</v>
      </c>
      <c r="I204" t="s">
        <v>824</v>
      </c>
    </row>
    <row r="205" spans="1:9" ht="11.25" customHeight="1">
      <c r="A205" t="s">
        <v>2383</v>
      </c>
      <c r="B205" t="s">
        <v>16</v>
      </c>
      <c r="C205" s="1030" t="s">
        <v>3078</v>
      </c>
      <c r="D205" s="1030" t="s">
        <v>3079</v>
      </c>
      <c r="E205" t="s">
        <v>3080</v>
      </c>
      <c r="F205" t="s">
        <v>2461</v>
      </c>
      <c r="G205" t="s">
        <v>22</v>
      </c>
      <c r="H205" t="s">
        <v>22</v>
      </c>
      <c r="I205" t="s">
        <v>824</v>
      </c>
    </row>
    <row r="206" spans="1:9" ht="11.25" customHeight="1">
      <c r="A206" t="s">
        <v>2383</v>
      </c>
      <c r="B206" t="s">
        <v>16</v>
      </c>
      <c r="C206" s="1030" t="s">
        <v>3081</v>
      </c>
      <c r="D206" s="1030" t="s">
        <v>3082</v>
      </c>
      <c r="E206" t="s">
        <v>3083</v>
      </c>
      <c r="F206" t="s">
        <v>50</v>
      </c>
      <c r="G206" t="s">
        <v>22</v>
      </c>
      <c r="H206" t="s">
        <v>22</v>
      </c>
      <c r="I206" t="s">
        <v>824</v>
      </c>
    </row>
    <row r="207" spans="1:9" ht="11.25" customHeight="1">
      <c r="A207" t="s">
        <v>2383</v>
      </c>
      <c r="B207" t="s">
        <v>16</v>
      </c>
      <c r="C207" s="1030" t="s">
        <v>3084</v>
      </c>
      <c r="D207" s="1030" t="s">
        <v>3085</v>
      </c>
      <c r="E207" t="s">
        <v>3086</v>
      </c>
      <c r="F207" t="s">
        <v>2447</v>
      </c>
      <c r="G207" t="s">
        <v>22</v>
      </c>
      <c r="H207" t="s">
        <v>22</v>
      </c>
      <c r="I207" t="s">
        <v>824</v>
      </c>
    </row>
    <row r="208" spans="1:9" ht="11.25" customHeight="1">
      <c r="A208" t="s">
        <v>2383</v>
      </c>
      <c r="B208" t="s">
        <v>16</v>
      </c>
      <c r="C208" s="1030" t="s">
        <v>3087</v>
      </c>
      <c r="D208" s="1030" t="s">
        <v>3088</v>
      </c>
      <c r="E208" t="s">
        <v>3089</v>
      </c>
      <c r="F208" t="s">
        <v>2461</v>
      </c>
      <c r="G208" t="s">
        <v>22</v>
      </c>
      <c r="H208" t="s">
        <v>22</v>
      </c>
      <c r="I208" t="s">
        <v>824</v>
      </c>
    </row>
    <row r="209" spans="1:9" ht="11.25" customHeight="1">
      <c r="A209" t="s">
        <v>2383</v>
      </c>
      <c r="B209" t="s">
        <v>16</v>
      </c>
      <c r="C209" s="1030" t="s">
        <v>3090</v>
      </c>
      <c r="D209" s="1030" t="s">
        <v>3091</v>
      </c>
      <c r="E209" t="s">
        <v>3092</v>
      </c>
      <c r="F209" t="s">
        <v>2506</v>
      </c>
      <c r="G209" t="s">
        <v>22</v>
      </c>
      <c r="H209" t="s">
        <v>22</v>
      </c>
      <c r="I209" t="s">
        <v>824</v>
      </c>
    </row>
    <row r="210" spans="1:9" ht="11.25" customHeight="1">
      <c r="A210" t="s">
        <v>2383</v>
      </c>
      <c r="B210" t="s">
        <v>16</v>
      </c>
      <c r="C210" s="1030" t="s">
        <v>3093</v>
      </c>
      <c r="D210" s="1030" t="s">
        <v>3094</v>
      </c>
      <c r="E210" t="s">
        <v>3095</v>
      </c>
      <c r="F210" t="s">
        <v>2665</v>
      </c>
      <c r="G210" t="s">
        <v>22</v>
      </c>
      <c r="H210" t="s">
        <v>3096</v>
      </c>
      <c r="I210" t="s">
        <v>824</v>
      </c>
    </row>
    <row r="211" spans="1:9" ht="11.25" customHeight="1">
      <c r="A211" t="s">
        <v>2383</v>
      </c>
      <c r="B211" t="s">
        <v>16</v>
      </c>
      <c r="C211" s="1030" t="s">
        <v>3097</v>
      </c>
      <c r="D211" s="1030" t="s">
        <v>3098</v>
      </c>
      <c r="E211" t="s">
        <v>3099</v>
      </c>
      <c r="F211" t="s">
        <v>3100</v>
      </c>
      <c r="G211" t="s">
        <v>22</v>
      </c>
      <c r="H211" t="s">
        <v>22</v>
      </c>
      <c r="I211" t="s">
        <v>824</v>
      </c>
    </row>
    <row r="212" spans="1:9" ht="11.25" customHeight="1">
      <c r="A212" t="s">
        <v>2383</v>
      </c>
      <c r="B212" t="s">
        <v>16</v>
      </c>
      <c r="C212" s="1030" t="s">
        <v>3101</v>
      </c>
      <c r="D212" s="1030" t="s">
        <v>3102</v>
      </c>
      <c r="E212" t="s">
        <v>3103</v>
      </c>
      <c r="F212" t="s">
        <v>2839</v>
      </c>
      <c r="G212" t="s">
        <v>22</v>
      </c>
      <c r="H212" t="s">
        <v>22</v>
      </c>
      <c r="I212" t="s">
        <v>824</v>
      </c>
    </row>
    <row r="213" spans="1:9" ht="11.25" customHeight="1">
      <c r="A213" t="s">
        <v>2383</v>
      </c>
      <c r="B213" t="s">
        <v>16</v>
      </c>
      <c r="C213" s="1030" t="s">
        <v>3104</v>
      </c>
      <c r="D213" s="1030" t="s">
        <v>3105</v>
      </c>
      <c r="E213" t="s">
        <v>3106</v>
      </c>
      <c r="F213" t="s">
        <v>2482</v>
      </c>
      <c r="G213" t="s">
        <v>22</v>
      </c>
      <c r="H213" t="s">
        <v>22</v>
      </c>
      <c r="I213" t="s">
        <v>824</v>
      </c>
    </row>
    <row r="214" spans="1:9" ht="11.25" customHeight="1">
      <c r="A214" t="s">
        <v>2383</v>
      </c>
      <c r="B214" t="s">
        <v>16</v>
      </c>
      <c r="C214" s="1030" t="s">
        <v>3107</v>
      </c>
      <c r="D214" s="1030" t="s">
        <v>3108</v>
      </c>
      <c r="E214" t="s">
        <v>3109</v>
      </c>
      <c r="F214" t="s">
        <v>2440</v>
      </c>
      <c r="G214" t="s">
        <v>22</v>
      </c>
      <c r="H214" t="s">
        <v>22</v>
      </c>
      <c r="I214" t="s">
        <v>824</v>
      </c>
    </row>
    <row r="215" spans="1:9" ht="11.25" customHeight="1">
      <c r="A215" t="s">
        <v>2383</v>
      </c>
      <c r="B215" t="s">
        <v>16</v>
      </c>
      <c r="C215" s="1030" t="s">
        <v>3110</v>
      </c>
      <c r="D215" s="1030" t="s">
        <v>3111</v>
      </c>
      <c r="E215" t="s">
        <v>3112</v>
      </c>
      <c r="F215" t="s">
        <v>2414</v>
      </c>
      <c r="G215" t="s">
        <v>22</v>
      </c>
      <c r="H215" t="s">
        <v>22</v>
      </c>
      <c r="I215" t="s">
        <v>824</v>
      </c>
    </row>
    <row r="216" spans="1:9" ht="11.25" customHeight="1">
      <c r="A216" t="s">
        <v>2383</v>
      </c>
      <c r="B216" t="s">
        <v>16</v>
      </c>
      <c r="C216" s="1030" t="s">
        <v>3113</v>
      </c>
      <c r="D216" s="1030" t="s">
        <v>3114</v>
      </c>
      <c r="E216" t="s">
        <v>3115</v>
      </c>
      <c r="F216" t="s">
        <v>2506</v>
      </c>
      <c r="G216" t="s">
        <v>22</v>
      </c>
      <c r="H216" t="s">
        <v>22</v>
      </c>
      <c r="I216" t="s">
        <v>824</v>
      </c>
    </row>
    <row r="217" spans="1:9" ht="11.25" customHeight="1">
      <c r="A217" t="s">
        <v>2383</v>
      </c>
      <c r="B217" t="s">
        <v>16</v>
      </c>
      <c r="C217" s="1030" t="s">
        <v>3116</v>
      </c>
      <c r="D217" s="1030" t="s">
        <v>3117</v>
      </c>
      <c r="E217" t="s">
        <v>3118</v>
      </c>
      <c r="F217" t="s">
        <v>2817</v>
      </c>
      <c r="G217" t="s">
        <v>22</v>
      </c>
      <c r="H217" t="s">
        <v>22</v>
      </c>
      <c r="I217" t="s">
        <v>824</v>
      </c>
    </row>
    <row r="218" spans="1:9" ht="11.25" customHeight="1">
      <c r="A218" t="s">
        <v>2383</v>
      </c>
      <c r="B218" t="s">
        <v>16</v>
      </c>
      <c r="C218" s="1030" t="s">
        <v>3119</v>
      </c>
      <c r="D218" s="1030" t="s">
        <v>3120</v>
      </c>
      <c r="E218" t="s">
        <v>3121</v>
      </c>
      <c r="F218" t="s">
        <v>2440</v>
      </c>
      <c r="G218" t="s">
        <v>22</v>
      </c>
      <c r="H218" t="s">
        <v>22</v>
      </c>
      <c r="I218" t="s">
        <v>824</v>
      </c>
    </row>
    <row r="219" spans="1:9" ht="11.25" customHeight="1">
      <c r="A219" t="s">
        <v>2383</v>
      </c>
      <c r="B219" t="s">
        <v>16</v>
      </c>
      <c r="C219" s="1030" t="s">
        <v>3122</v>
      </c>
      <c r="D219" s="1030" t="s">
        <v>3123</v>
      </c>
      <c r="E219" t="s">
        <v>3124</v>
      </c>
      <c r="F219" t="s">
        <v>2797</v>
      </c>
      <c r="G219" t="s">
        <v>22</v>
      </c>
      <c r="H219" t="s">
        <v>22</v>
      </c>
      <c r="I219" t="s">
        <v>824</v>
      </c>
    </row>
    <row r="220" spans="1:9" ht="11.25" customHeight="1">
      <c r="A220" t="s">
        <v>2383</v>
      </c>
      <c r="B220" t="s">
        <v>16</v>
      </c>
      <c r="C220" s="1030" t="s">
        <v>3125</v>
      </c>
      <c r="D220" s="1030" t="s">
        <v>3126</v>
      </c>
      <c r="E220" t="s">
        <v>2697</v>
      </c>
      <c r="F220" t="s">
        <v>3127</v>
      </c>
      <c r="G220" t="s">
        <v>22</v>
      </c>
      <c r="H220" t="s">
        <v>22</v>
      </c>
      <c r="I220" t="s">
        <v>824</v>
      </c>
    </row>
    <row r="221" spans="1:9" ht="11.25" customHeight="1">
      <c r="A221" t="s">
        <v>2383</v>
      </c>
      <c r="B221" t="s">
        <v>16</v>
      </c>
      <c r="C221" s="1030" t="s">
        <v>3128</v>
      </c>
      <c r="D221" s="1030" t="s">
        <v>3129</v>
      </c>
      <c r="E221" t="s">
        <v>3130</v>
      </c>
      <c r="F221" t="s">
        <v>2611</v>
      </c>
      <c r="G221" t="s">
        <v>22</v>
      </c>
      <c r="H221" t="s">
        <v>22</v>
      </c>
      <c r="I221" t="s">
        <v>824</v>
      </c>
    </row>
    <row r="222" spans="1:9" ht="11.25" customHeight="1">
      <c r="A222" t="s">
        <v>2383</v>
      </c>
      <c r="B222" t="s">
        <v>16</v>
      </c>
      <c r="C222" s="1030" t="s">
        <v>3131</v>
      </c>
      <c r="D222" s="1030" t="s">
        <v>3132</v>
      </c>
      <c r="E222" t="s">
        <v>3133</v>
      </c>
      <c r="F222" t="s">
        <v>2404</v>
      </c>
      <c r="G222" t="s">
        <v>22</v>
      </c>
      <c r="H222" t="s">
        <v>22</v>
      </c>
      <c r="I222" t="s">
        <v>824</v>
      </c>
    </row>
    <row r="223" spans="1:9" ht="11.25" customHeight="1">
      <c r="A223" t="s">
        <v>2383</v>
      </c>
      <c r="B223" t="s">
        <v>16</v>
      </c>
      <c r="C223" s="1030" t="s">
        <v>3134</v>
      </c>
      <c r="D223" s="1030" t="s">
        <v>3135</v>
      </c>
      <c r="E223" t="s">
        <v>3136</v>
      </c>
      <c r="F223" t="s">
        <v>2461</v>
      </c>
      <c r="G223" t="s">
        <v>22</v>
      </c>
      <c r="H223" t="s">
        <v>22</v>
      </c>
      <c r="I223" t="s">
        <v>824</v>
      </c>
    </row>
    <row r="224" spans="1:9" ht="11.25" customHeight="1">
      <c r="A224" t="s">
        <v>2383</v>
      </c>
      <c r="B224" t="s">
        <v>16</v>
      </c>
      <c r="C224" s="1030" t="s">
        <v>3137</v>
      </c>
      <c r="D224" s="1030" t="s">
        <v>3138</v>
      </c>
      <c r="E224" t="s">
        <v>3139</v>
      </c>
      <c r="F224" t="s">
        <v>2391</v>
      </c>
      <c r="G224" t="s">
        <v>22</v>
      </c>
      <c r="H224" t="s">
        <v>22</v>
      </c>
      <c r="I224" t="s">
        <v>824</v>
      </c>
    </row>
    <row r="225" spans="1:9" ht="11.25" customHeight="1">
      <c r="A225" t="s">
        <v>2383</v>
      </c>
      <c r="B225" t="s">
        <v>16</v>
      </c>
      <c r="C225" s="1030" t="s">
        <v>3140</v>
      </c>
      <c r="D225" s="1030" t="s">
        <v>3141</v>
      </c>
      <c r="E225" t="s">
        <v>3142</v>
      </c>
      <c r="F225" t="s">
        <v>2649</v>
      </c>
      <c r="G225" t="s">
        <v>22</v>
      </c>
      <c r="H225" t="s">
        <v>22</v>
      </c>
      <c r="I225" t="s">
        <v>824</v>
      </c>
    </row>
    <row r="226" spans="1:9" ht="11.25" customHeight="1">
      <c r="A226" t="s">
        <v>2383</v>
      </c>
      <c r="B226" t="s">
        <v>16</v>
      </c>
      <c r="C226" s="1030" t="s">
        <v>3143</v>
      </c>
      <c r="D226" s="1030" t="s">
        <v>3144</v>
      </c>
      <c r="E226" t="s">
        <v>3145</v>
      </c>
      <c r="F226" t="s">
        <v>3146</v>
      </c>
      <c r="G226" t="s">
        <v>22</v>
      </c>
      <c r="H226" t="s">
        <v>22</v>
      </c>
      <c r="I226" t="s">
        <v>824</v>
      </c>
    </row>
    <row r="227" spans="1:9" ht="11.25" customHeight="1">
      <c r="A227" t="s">
        <v>2383</v>
      </c>
      <c r="B227" t="s">
        <v>16</v>
      </c>
      <c r="C227" s="1030" t="s">
        <v>3147</v>
      </c>
      <c r="D227" s="1030" t="s">
        <v>3148</v>
      </c>
      <c r="E227" t="s">
        <v>3149</v>
      </c>
      <c r="F227" t="s">
        <v>2461</v>
      </c>
      <c r="G227" t="s">
        <v>22</v>
      </c>
      <c r="H227" t="s">
        <v>22</v>
      </c>
      <c r="I227" t="s">
        <v>824</v>
      </c>
    </row>
    <row r="228" spans="1:9" ht="11.25" customHeight="1">
      <c r="A228" t="s">
        <v>2383</v>
      </c>
      <c r="B228" t="s">
        <v>16</v>
      </c>
      <c r="C228" s="1030" t="s">
        <v>3150</v>
      </c>
      <c r="D228" s="1030" t="s">
        <v>3151</v>
      </c>
      <c r="E228" t="s">
        <v>3152</v>
      </c>
      <c r="F228" t="s">
        <v>3100</v>
      </c>
      <c r="G228" t="s">
        <v>22</v>
      </c>
      <c r="H228" t="s">
        <v>22</v>
      </c>
      <c r="I228" t="s">
        <v>824</v>
      </c>
    </row>
    <row r="229" spans="1:9" ht="11.25" customHeight="1">
      <c r="A229" t="s">
        <v>2383</v>
      </c>
      <c r="B229" t="s">
        <v>16</v>
      </c>
      <c r="C229" s="1030" t="s">
        <v>3153</v>
      </c>
      <c r="D229" s="1030" t="s">
        <v>3154</v>
      </c>
      <c r="E229" t="s">
        <v>3155</v>
      </c>
      <c r="F229" t="s">
        <v>2688</v>
      </c>
      <c r="G229" t="s">
        <v>22</v>
      </c>
      <c r="H229" t="s">
        <v>22</v>
      </c>
      <c r="I229" t="s">
        <v>824</v>
      </c>
    </row>
    <row r="230" spans="1:9" ht="11.25" customHeight="1">
      <c r="A230" t="s">
        <v>2383</v>
      </c>
      <c r="B230" t="s">
        <v>16</v>
      </c>
      <c r="C230" s="1030" t="s">
        <v>3156</v>
      </c>
      <c r="D230" s="1030" t="s">
        <v>3157</v>
      </c>
      <c r="E230" t="s">
        <v>3158</v>
      </c>
      <c r="F230" t="s">
        <v>2425</v>
      </c>
      <c r="G230" t="s">
        <v>22</v>
      </c>
      <c r="H230" t="s">
        <v>22</v>
      </c>
      <c r="I230" t="s">
        <v>824</v>
      </c>
    </row>
    <row r="231" spans="1:9" ht="11.25" customHeight="1">
      <c r="A231" t="s">
        <v>2383</v>
      </c>
      <c r="B231" t="s">
        <v>16</v>
      </c>
      <c r="C231" s="1030" t="s">
        <v>3159</v>
      </c>
      <c r="D231" s="1030" t="s">
        <v>3160</v>
      </c>
      <c r="E231" t="s">
        <v>3161</v>
      </c>
      <c r="F231" t="s">
        <v>2425</v>
      </c>
      <c r="G231" t="s">
        <v>22</v>
      </c>
      <c r="H231" t="s">
        <v>22</v>
      </c>
      <c r="I231" t="s">
        <v>824</v>
      </c>
    </row>
    <row r="232" spans="1:9" ht="11.25" customHeight="1">
      <c r="A232" t="s">
        <v>2383</v>
      </c>
      <c r="B232" t="s">
        <v>16</v>
      </c>
      <c r="C232" s="1030" t="s">
        <v>3162</v>
      </c>
      <c r="D232" s="1030" t="s">
        <v>3163</v>
      </c>
      <c r="E232" t="s">
        <v>3164</v>
      </c>
      <c r="F232" t="s">
        <v>2506</v>
      </c>
      <c r="G232" t="s">
        <v>22</v>
      </c>
      <c r="H232" t="s">
        <v>22</v>
      </c>
      <c r="I232" t="s">
        <v>824</v>
      </c>
    </row>
    <row r="233" spans="1:9" ht="11.25" customHeight="1">
      <c r="A233" t="s">
        <v>2383</v>
      </c>
      <c r="B233" t="s">
        <v>16</v>
      </c>
      <c r="C233" s="1030" t="s">
        <v>3165</v>
      </c>
      <c r="D233" s="1030" t="s">
        <v>3166</v>
      </c>
      <c r="E233" t="s">
        <v>3167</v>
      </c>
      <c r="F233" t="s">
        <v>2391</v>
      </c>
      <c r="G233" t="s">
        <v>22</v>
      </c>
      <c r="H233" t="s">
        <v>22</v>
      </c>
      <c r="I233" t="s">
        <v>824</v>
      </c>
    </row>
    <row r="234" spans="1:9" ht="11.25" customHeight="1">
      <c r="A234" t="s">
        <v>2383</v>
      </c>
      <c r="B234" t="s">
        <v>16</v>
      </c>
      <c r="C234" s="1030" t="s">
        <v>3168</v>
      </c>
      <c r="D234" s="1030" t="s">
        <v>3169</v>
      </c>
      <c r="E234" t="s">
        <v>2633</v>
      </c>
      <c r="F234" t="s">
        <v>2404</v>
      </c>
      <c r="G234" t="s">
        <v>22</v>
      </c>
      <c r="H234" t="s">
        <v>22</v>
      </c>
      <c r="I234" t="s">
        <v>824</v>
      </c>
    </row>
    <row r="235" spans="1:9" ht="11.25" customHeight="1">
      <c r="A235" t="s">
        <v>2383</v>
      </c>
      <c r="B235" t="s">
        <v>16</v>
      </c>
      <c r="C235" s="1030" t="s">
        <v>3170</v>
      </c>
      <c r="D235" s="1030" t="s">
        <v>3171</v>
      </c>
      <c r="E235" t="s">
        <v>3172</v>
      </c>
      <c r="F235" t="s">
        <v>2506</v>
      </c>
      <c r="G235" t="s">
        <v>22</v>
      </c>
      <c r="H235" t="s">
        <v>22</v>
      </c>
      <c r="I235" t="s">
        <v>824</v>
      </c>
    </row>
    <row r="236" spans="1:9" ht="11.25" customHeight="1">
      <c r="A236" t="s">
        <v>2383</v>
      </c>
      <c r="B236" t="s">
        <v>16</v>
      </c>
      <c r="C236" s="1030" t="s">
        <v>3173</v>
      </c>
      <c r="D236" s="1030" t="s">
        <v>3174</v>
      </c>
      <c r="E236" t="s">
        <v>3175</v>
      </c>
      <c r="F236" t="s">
        <v>2611</v>
      </c>
      <c r="G236" t="s">
        <v>22</v>
      </c>
      <c r="H236" t="s">
        <v>22</v>
      </c>
      <c r="I236" t="s">
        <v>824</v>
      </c>
    </row>
    <row r="237" spans="1:9" ht="11.25" customHeight="1">
      <c r="A237" t="s">
        <v>2383</v>
      </c>
      <c r="B237" t="s">
        <v>16</v>
      </c>
      <c r="C237" s="1030" t="s">
        <v>3176</v>
      </c>
      <c r="D237" s="1030" t="s">
        <v>3177</v>
      </c>
      <c r="E237" t="s">
        <v>3178</v>
      </c>
      <c r="F237" t="s">
        <v>2414</v>
      </c>
      <c r="G237" t="s">
        <v>22</v>
      </c>
      <c r="H237" t="s">
        <v>22</v>
      </c>
      <c r="I237" t="s">
        <v>824</v>
      </c>
    </row>
    <row r="238" spans="1:9" ht="11.25" customHeight="1">
      <c r="A238" t="s">
        <v>2383</v>
      </c>
      <c r="B238" t="s">
        <v>16</v>
      </c>
      <c r="C238" s="1030" t="s">
        <v>3179</v>
      </c>
      <c r="D238" s="1030" t="s">
        <v>3180</v>
      </c>
      <c r="E238" t="s">
        <v>3181</v>
      </c>
      <c r="F238" t="s">
        <v>2414</v>
      </c>
      <c r="G238" t="s">
        <v>22</v>
      </c>
      <c r="H238" t="s">
        <v>22</v>
      </c>
      <c r="I238" t="s">
        <v>824</v>
      </c>
    </row>
    <row r="239" spans="1:9" ht="11.25" customHeight="1">
      <c r="A239" t="s">
        <v>2383</v>
      </c>
      <c r="B239" t="s">
        <v>16</v>
      </c>
      <c r="C239" s="1030" t="s">
        <v>3182</v>
      </c>
      <c r="D239" s="1030" t="s">
        <v>3183</v>
      </c>
      <c r="E239" t="s">
        <v>3184</v>
      </c>
      <c r="F239" t="s">
        <v>2506</v>
      </c>
      <c r="G239" t="s">
        <v>22</v>
      </c>
      <c r="H239" t="s">
        <v>22</v>
      </c>
      <c r="I239" t="s">
        <v>824</v>
      </c>
    </row>
    <row r="240" spans="1:9" ht="11.25" customHeight="1">
      <c r="A240" t="s">
        <v>2383</v>
      </c>
      <c r="B240" t="s">
        <v>16</v>
      </c>
      <c r="C240" s="1030" t="s">
        <v>3185</v>
      </c>
      <c r="D240" s="1030" t="s">
        <v>3183</v>
      </c>
      <c r="E240" t="s">
        <v>3186</v>
      </c>
      <c r="F240" t="s">
        <v>2520</v>
      </c>
      <c r="G240" t="s">
        <v>3187</v>
      </c>
      <c r="H240" t="s">
        <v>22</v>
      </c>
      <c r="I240" t="s">
        <v>824</v>
      </c>
    </row>
    <row r="241" spans="1:9" ht="11.25" customHeight="1">
      <c r="A241" t="s">
        <v>2383</v>
      </c>
      <c r="B241" t="s">
        <v>16</v>
      </c>
      <c r="C241" s="1030" t="s">
        <v>3188</v>
      </c>
      <c r="D241" s="1030" t="s">
        <v>3189</v>
      </c>
      <c r="E241" t="s">
        <v>3190</v>
      </c>
      <c r="F241" t="s">
        <v>2482</v>
      </c>
      <c r="G241" t="s">
        <v>22</v>
      </c>
      <c r="H241" t="s">
        <v>22</v>
      </c>
      <c r="I241" t="s">
        <v>824</v>
      </c>
    </row>
    <row r="242" spans="1:9" ht="11.25" customHeight="1">
      <c r="A242" t="s">
        <v>2383</v>
      </c>
      <c r="B242" t="s">
        <v>16</v>
      </c>
      <c r="C242" s="1030" t="s">
        <v>3191</v>
      </c>
      <c r="D242" s="1030" t="s">
        <v>3192</v>
      </c>
      <c r="E242" t="s">
        <v>3193</v>
      </c>
      <c r="F242" t="s">
        <v>2414</v>
      </c>
      <c r="G242" t="s">
        <v>22</v>
      </c>
      <c r="H242" t="s">
        <v>22</v>
      </c>
      <c r="I242" t="s">
        <v>824</v>
      </c>
    </row>
    <row r="243" spans="1:9" ht="11.25" customHeight="1">
      <c r="A243" t="s">
        <v>2383</v>
      </c>
      <c r="B243" t="s">
        <v>16</v>
      </c>
      <c r="C243" s="1030" t="s">
        <v>3194</v>
      </c>
      <c r="D243" s="1030" t="s">
        <v>3195</v>
      </c>
      <c r="E243" t="s">
        <v>3196</v>
      </c>
      <c r="F243" t="s">
        <v>2414</v>
      </c>
      <c r="G243" t="s">
        <v>22</v>
      </c>
      <c r="H243" t="s">
        <v>22</v>
      </c>
      <c r="I243" t="s">
        <v>824</v>
      </c>
    </row>
    <row r="244" spans="1:9" ht="11.25" customHeight="1">
      <c r="A244" t="s">
        <v>2383</v>
      </c>
      <c r="B244" t="s">
        <v>16</v>
      </c>
      <c r="C244" s="1030" t="s">
        <v>3197</v>
      </c>
      <c r="D244" s="1030" t="s">
        <v>3198</v>
      </c>
      <c r="E244" t="s">
        <v>3199</v>
      </c>
      <c r="F244" t="s">
        <v>2414</v>
      </c>
      <c r="G244" t="s">
        <v>22</v>
      </c>
      <c r="H244" t="s">
        <v>22</v>
      </c>
      <c r="I244" t="s">
        <v>824</v>
      </c>
    </row>
    <row r="245" spans="1:9" ht="11.25" customHeight="1">
      <c r="A245" t="s">
        <v>2383</v>
      </c>
      <c r="B245" t="s">
        <v>16</v>
      </c>
      <c r="C245" s="1030" t="s">
        <v>3200</v>
      </c>
      <c r="D245" s="1030" t="s">
        <v>3201</v>
      </c>
      <c r="E245" t="s">
        <v>3202</v>
      </c>
      <c r="F245" t="s">
        <v>2665</v>
      </c>
      <c r="G245" t="s">
        <v>22</v>
      </c>
      <c r="H245" t="s">
        <v>22</v>
      </c>
      <c r="I245" t="s">
        <v>824</v>
      </c>
    </row>
    <row r="246" spans="1:9" ht="11.25" customHeight="1">
      <c r="A246" t="s">
        <v>2383</v>
      </c>
      <c r="B246" t="s">
        <v>16</v>
      </c>
      <c r="C246" s="1030" t="s">
        <v>3203</v>
      </c>
      <c r="D246" s="1030" t="s">
        <v>3201</v>
      </c>
      <c r="E246" t="s">
        <v>3204</v>
      </c>
      <c r="F246" t="s">
        <v>2688</v>
      </c>
      <c r="G246" t="s">
        <v>22</v>
      </c>
      <c r="H246" t="s">
        <v>22</v>
      </c>
      <c r="I246" t="s">
        <v>824</v>
      </c>
    </row>
    <row r="247" spans="1:9" ht="11.25" customHeight="1">
      <c r="A247" t="s">
        <v>2383</v>
      </c>
      <c r="B247" t="s">
        <v>16</v>
      </c>
      <c r="C247" s="1030" t="s">
        <v>3205</v>
      </c>
      <c r="D247" s="1030" t="s">
        <v>3206</v>
      </c>
      <c r="E247" t="s">
        <v>3207</v>
      </c>
      <c r="F247" t="s">
        <v>3208</v>
      </c>
      <c r="G247" t="s">
        <v>22</v>
      </c>
      <c r="H247" t="s">
        <v>22</v>
      </c>
      <c r="I247" t="s">
        <v>824</v>
      </c>
    </row>
    <row r="248" spans="1:9" ht="11.25" customHeight="1">
      <c r="A248" t="s">
        <v>2383</v>
      </c>
      <c r="B248" t="s">
        <v>16</v>
      </c>
      <c r="C248" s="1030" t="s">
        <v>3209</v>
      </c>
      <c r="D248" s="1030" t="s">
        <v>3210</v>
      </c>
      <c r="E248" t="s">
        <v>3211</v>
      </c>
      <c r="F248" t="s">
        <v>50</v>
      </c>
      <c r="G248" t="s">
        <v>22</v>
      </c>
      <c r="H248" t="s">
        <v>22</v>
      </c>
      <c r="I248" t="s">
        <v>824</v>
      </c>
    </row>
    <row r="249" spans="1:9" ht="11.25" customHeight="1">
      <c r="A249" t="s">
        <v>2383</v>
      </c>
      <c r="B249" t="s">
        <v>16</v>
      </c>
      <c r="C249" s="1030" t="s">
        <v>3212</v>
      </c>
      <c r="D249" s="1030" t="s">
        <v>3213</v>
      </c>
      <c r="E249" t="s">
        <v>3214</v>
      </c>
      <c r="F249" t="s">
        <v>2418</v>
      </c>
      <c r="G249" t="s">
        <v>22</v>
      </c>
      <c r="H249" t="s">
        <v>22</v>
      </c>
      <c r="I249" t="s">
        <v>824</v>
      </c>
    </row>
    <row r="250" spans="1:9" ht="11.25" customHeight="1">
      <c r="A250" t="s">
        <v>2383</v>
      </c>
      <c r="B250" t="s">
        <v>16</v>
      </c>
      <c r="C250" s="1030" t="s">
        <v>3215</v>
      </c>
      <c r="D250" s="1030" t="s">
        <v>3216</v>
      </c>
      <c r="E250" t="s">
        <v>3217</v>
      </c>
      <c r="F250" t="s">
        <v>2432</v>
      </c>
      <c r="G250" t="s">
        <v>22</v>
      </c>
      <c r="H250" t="s">
        <v>22</v>
      </c>
      <c r="I250" t="s">
        <v>824</v>
      </c>
    </row>
    <row r="251" spans="1:9" ht="11.25" customHeight="1">
      <c r="A251" t="s">
        <v>2383</v>
      </c>
      <c r="B251" t="s">
        <v>16</v>
      </c>
      <c r="C251" s="1030" t="s">
        <v>3218</v>
      </c>
      <c r="D251" s="1030" t="s">
        <v>3219</v>
      </c>
      <c r="E251" t="s">
        <v>3220</v>
      </c>
      <c r="F251" t="s">
        <v>2761</v>
      </c>
      <c r="G251" t="s">
        <v>22</v>
      </c>
      <c r="H251" t="s">
        <v>22</v>
      </c>
      <c r="I251" t="s">
        <v>824</v>
      </c>
    </row>
    <row r="252" spans="1:9" ht="11.25" customHeight="1">
      <c r="A252" t="s">
        <v>2383</v>
      </c>
      <c r="B252" t="s">
        <v>16</v>
      </c>
      <c r="C252" s="1030" t="s">
        <v>3221</v>
      </c>
      <c r="D252" s="1030" t="s">
        <v>3222</v>
      </c>
      <c r="E252" t="s">
        <v>3223</v>
      </c>
      <c r="F252" t="s">
        <v>50</v>
      </c>
      <c r="G252" t="s">
        <v>3224</v>
      </c>
      <c r="H252" t="s">
        <v>22</v>
      </c>
      <c r="I252" t="s">
        <v>824</v>
      </c>
    </row>
    <row r="253" spans="1:9" ht="11.25" customHeight="1">
      <c r="A253" t="s">
        <v>2383</v>
      </c>
      <c r="B253" t="s">
        <v>16</v>
      </c>
      <c r="C253" s="1030" t="s">
        <v>3225</v>
      </c>
      <c r="D253" s="1030" t="s">
        <v>3226</v>
      </c>
      <c r="E253" t="s">
        <v>3227</v>
      </c>
      <c r="F253" t="s">
        <v>2672</v>
      </c>
      <c r="G253" t="s">
        <v>22</v>
      </c>
      <c r="H253" t="s">
        <v>22</v>
      </c>
      <c r="I253" t="s">
        <v>824</v>
      </c>
    </row>
    <row r="254" spans="1:9" ht="11.25" customHeight="1">
      <c r="A254" t="s">
        <v>2383</v>
      </c>
      <c r="B254" t="s">
        <v>16</v>
      </c>
      <c r="C254" s="1030" t="s">
        <v>3228</v>
      </c>
      <c r="D254" s="1030" t="s">
        <v>3226</v>
      </c>
      <c r="E254" t="s">
        <v>3229</v>
      </c>
      <c r="F254" t="s">
        <v>2828</v>
      </c>
      <c r="G254" t="s">
        <v>22</v>
      </c>
      <c r="H254" t="s">
        <v>22</v>
      </c>
      <c r="I254" t="s">
        <v>824</v>
      </c>
    </row>
    <row r="255" spans="1:9" ht="11.25" customHeight="1">
      <c r="A255" t="s">
        <v>2383</v>
      </c>
      <c r="B255" t="s">
        <v>16</v>
      </c>
      <c r="C255" s="1030" t="s">
        <v>3230</v>
      </c>
      <c r="D255" s="1030" t="s">
        <v>3231</v>
      </c>
      <c r="E255" t="s">
        <v>3232</v>
      </c>
      <c r="F255" t="s">
        <v>2399</v>
      </c>
      <c r="G255" t="s">
        <v>22</v>
      </c>
      <c r="H255" t="s">
        <v>22</v>
      </c>
      <c r="I255" t="s">
        <v>824</v>
      </c>
    </row>
    <row r="256" spans="1:9" ht="11.25" customHeight="1">
      <c r="A256" t="s">
        <v>2383</v>
      </c>
      <c r="B256" t="s">
        <v>16</v>
      </c>
      <c r="C256" s="1030" t="s">
        <v>3233</v>
      </c>
      <c r="D256" s="1030" t="s">
        <v>3234</v>
      </c>
      <c r="E256" t="s">
        <v>3235</v>
      </c>
      <c r="F256" t="s">
        <v>2657</v>
      </c>
      <c r="G256" t="s">
        <v>22</v>
      </c>
      <c r="H256" t="s">
        <v>22</v>
      </c>
      <c r="I256" t="s">
        <v>824</v>
      </c>
    </row>
    <row r="257" spans="1:9" ht="11.25" customHeight="1">
      <c r="A257" t="s">
        <v>2383</v>
      </c>
      <c r="B257" t="s">
        <v>16</v>
      </c>
      <c r="C257" s="1030" t="s">
        <v>3236</v>
      </c>
      <c r="D257" s="1030" t="s">
        <v>3237</v>
      </c>
      <c r="E257" t="s">
        <v>3238</v>
      </c>
      <c r="F257" t="s">
        <v>2391</v>
      </c>
      <c r="G257" t="s">
        <v>22</v>
      </c>
      <c r="H257" t="s">
        <v>22</v>
      </c>
      <c r="I257" t="s">
        <v>824</v>
      </c>
    </row>
    <row r="258" spans="1:9" ht="11.25" customHeight="1">
      <c r="A258" t="s">
        <v>2383</v>
      </c>
      <c r="B258" t="s">
        <v>16</v>
      </c>
      <c r="C258" s="1030" t="s">
        <v>3239</v>
      </c>
      <c r="D258" s="1030" t="s">
        <v>3240</v>
      </c>
      <c r="E258" t="s">
        <v>3241</v>
      </c>
      <c r="F258" t="s">
        <v>2688</v>
      </c>
      <c r="G258" t="s">
        <v>22</v>
      </c>
      <c r="H258" t="s">
        <v>22</v>
      </c>
      <c r="I258" t="s">
        <v>824</v>
      </c>
    </row>
    <row r="259" spans="1:9" ht="11.25" customHeight="1">
      <c r="A259" t="s">
        <v>2383</v>
      </c>
      <c r="B259" t="s">
        <v>16</v>
      </c>
      <c r="C259" s="1030" t="s">
        <v>3242</v>
      </c>
      <c r="D259" s="1030" t="s">
        <v>3243</v>
      </c>
      <c r="E259" t="s">
        <v>3244</v>
      </c>
      <c r="F259" t="s">
        <v>3245</v>
      </c>
      <c r="G259" t="s">
        <v>22</v>
      </c>
      <c r="H259" t="s">
        <v>22</v>
      </c>
      <c r="I259" t="s">
        <v>824</v>
      </c>
    </row>
    <row r="260" spans="1:9" ht="11.25" customHeight="1">
      <c r="A260" t="s">
        <v>2383</v>
      </c>
      <c r="B260" t="s">
        <v>16</v>
      </c>
      <c r="C260" s="1030" t="s">
        <v>3246</v>
      </c>
      <c r="D260" s="1030" t="s">
        <v>3247</v>
      </c>
      <c r="E260" t="s">
        <v>3248</v>
      </c>
      <c r="F260" t="s">
        <v>2611</v>
      </c>
      <c r="G260" t="s">
        <v>22</v>
      </c>
      <c r="H260" t="s">
        <v>22</v>
      </c>
      <c r="I260" t="s">
        <v>824</v>
      </c>
    </row>
    <row r="261" spans="1:9" ht="11.25" customHeight="1">
      <c r="A261" t="s">
        <v>2383</v>
      </c>
      <c r="B261" t="s">
        <v>16</v>
      </c>
      <c r="C261" s="1030" t="s">
        <v>3249</v>
      </c>
      <c r="D261" s="1030" t="s">
        <v>3250</v>
      </c>
      <c r="E261" t="s">
        <v>3251</v>
      </c>
      <c r="F261" t="s">
        <v>2451</v>
      </c>
      <c r="G261" t="s">
        <v>22</v>
      </c>
      <c r="H261" t="s">
        <v>22</v>
      </c>
      <c r="I261" t="s">
        <v>824</v>
      </c>
    </row>
    <row r="262" spans="1:9" ht="11.25" customHeight="1">
      <c r="A262" t="s">
        <v>2383</v>
      </c>
      <c r="B262" t="s">
        <v>16</v>
      </c>
      <c r="C262" s="1030" t="s">
        <v>3252</v>
      </c>
      <c r="D262" s="1030" t="s">
        <v>3253</v>
      </c>
      <c r="E262" t="s">
        <v>3254</v>
      </c>
      <c r="F262" t="s">
        <v>2817</v>
      </c>
      <c r="G262" t="s">
        <v>22</v>
      </c>
      <c r="H262" t="s">
        <v>22</v>
      </c>
      <c r="I262" t="s">
        <v>824</v>
      </c>
    </row>
    <row r="263" spans="1:9" ht="11.25" customHeight="1">
      <c r="A263" t="s">
        <v>2383</v>
      </c>
      <c r="B263" t="s">
        <v>16</v>
      </c>
      <c r="C263" s="1030" t="s">
        <v>3255</v>
      </c>
      <c r="D263" s="1030" t="s">
        <v>3256</v>
      </c>
      <c r="E263" t="s">
        <v>3257</v>
      </c>
      <c r="F263" t="s">
        <v>2391</v>
      </c>
      <c r="G263" t="s">
        <v>22</v>
      </c>
      <c r="H263" t="s">
        <v>22</v>
      </c>
      <c r="I263" t="s">
        <v>824</v>
      </c>
    </row>
    <row r="264" spans="1:9" ht="11.25" customHeight="1">
      <c r="A264" t="s">
        <v>2383</v>
      </c>
      <c r="B264" t="s">
        <v>16</v>
      </c>
      <c r="C264" s="1030" t="s">
        <v>3258</v>
      </c>
      <c r="D264" s="1030" t="s">
        <v>3259</v>
      </c>
      <c r="E264" t="s">
        <v>3260</v>
      </c>
      <c r="F264" t="s">
        <v>2391</v>
      </c>
      <c r="G264" t="s">
        <v>22</v>
      </c>
      <c r="H264" t="s">
        <v>22</v>
      </c>
      <c r="I264" t="s">
        <v>824</v>
      </c>
    </row>
    <row r="265" spans="1:9" ht="11.25" customHeight="1">
      <c r="A265" t="s">
        <v>2383</v>
      </c>
      <c r="B265" t="s">
        <v>16</v>
      </c>
      <c r="C265" s="1030" t="s">
        <v>3261</v>
      </c>
      <c r="D265" s="1030" t="s">
        <v>3262</v>
      </c>
      <c r="E265" t="s">
        <v>3263</v>
      </c>
      <c r="F265" t="s">
        <v>2611</v>
      </c>
      <c r="G265" t="s">
        <v>22</v>
      </c>
      <c r="H265" t="s">
        <v>22</v>
      </c>
      <c r="I265" t="s">
        <v>824</v>
      </c>
    </row>
    <row r="266" spans="1:9" ht="11.25" customHeight="1">
      <c r="A266" t="s">
        <v>2383</v>
      </c>
      <c r="B266" t="s">
        <v>16</v>
      </c>
      <c r="C266" s="1030" t="s">
        <v>3264</v>
      </c>
      <c r="D266" s="1030" t="s">
        <v>3265</v>
      </c>
      <c r="E266" t="s">
        <v>3266</v>
      </c>
      <c r="F266" t="s">
        <v>2447</v>
      </c>
      <c r="G266" t="s">
        <v>22</v>
      </c>
      <c r="H266" t="s">
        <v>22</v>
      </c>
      <c r="I266" t="s">
        <v>824</v>
      </c>
    </row>
    <row r="267" spans="1:9" ht="11.25" customHeight="1">
      <c r="A267" t="s">
        <v>2383</v>
      </c>
      <c r="B267" t="s">
        <v>16</v>
      </c>
      <c r="C267" s="1030" t="s">
        <v>3267</v>
      </c>
      <c r="D267" s="1030" t="s">
        <v>3268</v>
      </c>
      <c r="E267" t="s">
        <v>3269</v>
      </c>
      <c r="F267" t="s">
        <v>2461</v>
      </c>
      <c r="G267" t="s">
        <v>22</v>
      </c>
      <c r="H267" t="s">
        <v>22</v>
      </c>
      <c r="I267" t="s">
        <v>824</v>
      </c>
    </row>
    <row r="268" spans="1:9" ht="11.25" customHeight="1">
      <c r="A268" t="s">
        <v>2383</v>
      </c>
      <c r="B268" t="s">
        <v>16</v>
      </c>
      <c r="C268" s="1030" t="s">
        <v>3270</v>
      </c>
      <c r="D268" s="1030" t="s">
        <v>3271</v>
      </c>
      <c r="E268" t="s">
        <v>3272</v>
      </c>
      <c r="F268" t="s">
        <v>2584</v>
      </c>
      <c r="G268" t="s">
        <v>22</v>
      </c>
      <c r="H268" t="s">
        <v>22</v>
      </c>
      <c r="I268" t="s">
        <v>824</v>
      </c>
    </row>
    <row r="269" spans="1:9" ht="11.25" customHeight="1">
      <c r="A269" t="s">
        <v>2383</v>
      </c>
      <c r="B269" t="s">
        <v>16</v>
      </c>
      <c r="C269" s="1030" t="s">
        <v>3273</v>
      </c>
      <c r="D269" s="1030" t="s">
        <v>3274</v>
      </c>
      <c r="E269" t="s">
        <v>3275</v>
      </c>
      <c r="F269" t="s">
        <v>2584</v>
      </c>
      <c r="G269" t="s">
        <v>22</v>
      </c>
      <c r="H269" t="s">
        <v>22</v>
      </c>
      <c r="I269" t="s">
        <v>824</v>
      </c>
    </row>
    <row r="270" spans="1:9" ht="11.25" customHeight="1">
      <c r="A270" t="s">
        <v>2383</v>
      </c>
      <c r="B270" t="s">
        <v>16</v>
      </c>
      <c r="C270" s="1030" t="s">
        <v>3276</v>
      </c>
      <c r="D270" s="1030" t="s">
        <v>3277</v>
      </c>
      <c r="E270" t="s">
        <v>3278</v>
      </c>
      <c r="F270" t="s">
        <v>2688</v>
      </c>
      <c r="G270" t="s">
        <v>3279</v>
      </c>
      <c r="H270" t="s">
        <v>22</v>
      </c>
      <c r="I270" t="s">
        <v>824</v>
      </c>
    </row>
    <row r="271" spans="1:9" ht="11.25" customHeight="1">
      <c r="A271" t="s">
        <v>2383</v>
      </c>
      <c r="B271" t="s">
        <v>16</v>
      </c>
      <c r="C271" s="1030" t="s">
        <v>3280</v>
      </c>
      <c r="D271" s="1030" t="s">
        <v>3281</v>
      </c>
      <c r="E271" t="s">
        <v>3282</v>
      </c>
      <c r="F271" t="s">
        <v>2399</v>
      </c>
      <c r="G271" t="s">
        <v>22</v>
      </c>
      <c r="H271" t="s">
        <v>22</v>
      </c>
      <c r="I271" t="s">
        <v>824</v>
      </c>
    </row>
    <row r="272" spans="1:9" ht="11.25" customHeight="1">
      <c r="A272" t="s">
        <v>2383</v>
      </c>
      <c r="B272" t="s">
        <v>16</v>
      </c>
      <c r="C272" s="1030" t="s">
        <v>3283</v>
      </c>
      <c r="D272" s="1030" t="s">
        <v>3284</v>
      </c>
      <c r="E272" t="s">
        <v>3285</v>
      </c>
      <c r="F272" t="s">
        <v>2611</v>
      </c>
      <c r="G272" t="s">
        <v>22</v>
      </c>
      <c r="H272" t="s">
        <v>22</v>
      </c>
      <c r="I272" t="s">
        <v>824</v>
      </c>
    </row>
    <row r="273" spans="1:9" ht="11.25" customHeight="1">
      <c r="A273" t="s">
        <v>2383</v>
      </c>
      <c r="B273" t="s">
        <v>16</v>
      </c>
      <c r="C273" s="1030" t="s">
        <v>3286</v>
      </c>
      <c r="D273" s="1030" t="s">
        <v>3287</v>
      </c>
      <c r="E273" t="s">
        <v>3288</v>
      </c>
      <c r="F273" t="s">
        <v>2414</v>
      </c>
      <c r="G273" t="s">
        <v>3289</v>
      </c>
      <c r="H273" t="s">
        <v>22</v>
      </c>
      <c r="I273" t="s">
        <v>824</v>
      </c>
    </row>
    <row r="274" spans="1:9" ht="11.25" customHeight="1">
      <c r="A274" t="s">
        <v>2383</v>
      </c>
      <c r="B274" t="s">
        <v>16</v>
      </c>
      <c r="C274" s="1030" t="s">
        <v>3290</v>
      </c>
      <c r="D274" s="1030" t="s">
        <v>3291</v>
      </c>
      <c r="E274" t="s">
        <v>3292</v>
      </c>
      <c r="F274" t="s">
        <v>2414</v>
      </c>
      <c r="G274" t="s">
        <v>22</v>
      </c>
      <c r="H274" t="s">
        <v>22</v>
      </c>
      <c r="I274" t="s">
        <v>824</v>
      </c>
    </row>
    <row r="275" spans="1:9" ht="11.25" customHeight="1">
      <c r="A275" t="s">
        <v>2383</v>
      </c>
      <c r="B275" t="s">
        <v>16</v>
      </c>
      <c r="C275" s="1030" t="s">
        <v>3293</v>
      </c>
      <c r="D275" s="1030" t="s">
        <v>3294</v>
      </c>
      <c r="E275" t="s">
        <v>3295</v>
      </c>
      <c r="F275" t="s">
        <v>3100</v>
      </c>
      <c r="G275" t="s">
        <v>22</v>
      </c>
      <c r="H275" t="s">
        <v>22</v>
      </c>
      <c r="I275" t="s">
        <v>824</v>
      </c>
    </row>
    <row r="276" spans="1:9" ht="11.25" customHeight="1">
      <c r="A276" t="s">
        <v>2383</v>
      </c>
      <c r="B276" t="s">
        <v>16</v>
      </c>
      <c r="C276" s="1030" t="s">
        <v>3296</v>
      </c>
      <c r="D276" s="1030" t="s">
        <v>3297</v>
      </c>
      <c r="E276" t="s">
        <v>3298</v>
      </c>
      <c r="F276" t="s">
        <v>2520</v>
      </c>
      <c r="G276" t="s">
        <v>22</v>
      </c>
      <c r="H276" t="s">
        <v>22</v>
      </c>
      <c r="I276" t="s">
        <v>824</v>
      </c>
    </row>
    <row r="277" spans="1:9" ht="11.25" customHeight="1">
      <c r="A277" t="s">
        <v>2383</v>
      </c>
      <c r="B277" t="s">
        <v>16</v>
      </c>
      <c r="C277" s="1030" t="s">
        <v>3299</v>
      </c>
      <c r="D277" s="1030" t="s">
        <v>3300</v>
      </c>
      <c r="E277" t="s">
        <v>3301</v>
      </c>
      <c r="F277" t="s">
        <v>2391</v>
      </c>
      <c r="G277" t="s">
        <v>22</v>
      </c>
      <c r="H277" t="s">
        <v>22</v>
      </c>
      <c r="I277" t="s">
        <v>824</v>
      </c>
    </row>
    <row r="278" spans="1:9" ht="11.25" customHeight="1">
      <c r="A278" t="s">
        <v>2383</v>
      </c>
      <c r="B278" t="s">
        <v>16</v>
      </c>
      <c r="C278" s="1030" t="s">
        <v>3302</v>
      </c>
      <c r="D278" s="1030" t="s">
        <v>3303</v>
      </c>
      <c r="E278" t="s">
        <v>3304</v>
      </c>
      <c r="F278" t="s">
        <v>2520</v>
      </c>
      <c r="G278" t="s">
        <v>22</v>
      </c>
      <c r="H278" t="s">
        <v>22</v>
      </c>
      <c r="I278" t="s">
        <v>824</v>
      </c>
    </row>
    <row r="279" spans="1:9" ht="11.25" customHeight="1">
      <c r="A279" t="s">
        <v>2383</v>
      </c>
      <c r="B279" t="s">
        <v>16</v>
      </c>
      <c r="C279" s="1030" t="s">
        <v>3305</v>
      </c>
      <c r="D279" s="1030" t="s">
        <v>3306</v>
      </c>
      <c r="E279" t="s">
        <v>3307</v>
      </c>
      <c r="F279" t="s">
        <v>2520</v>
      </c>
      <c r="G279" t="s">
        <v>3308</v>
      </c>
      <c r="H279" t="s">
        <v>22</v>
      </c>
      <c r="I279" t="s">
        <v>824</v>
      </c>
    </row>
    <row r="280" spans="1:9" ht="11.25" customHeight="1">
      <c r="A280" t="s">
        <v>2383</v>
      </c>
      <c r="B280" t="s">
        <v>16</v>
      </c>
      <c r="C280" s="1030" t="s">
        <v>3309</v>
      </c>
      <c r="D280" s="1030" t="s">
        <v>3310</v>
      </c>
      <c r="E280" t="s">
        <v>3311</v>
      </c>
      <c r="F280" t="s">
        <v>2425</v>
      </c>
      <c r="G280" t="s">
        <v>22</v>
      </c>
      <c r="H280" t="s">
        <v>22</v>
      </c>
      <c r="I280" t="s">
        <v>824</v>
      </c>
    </row>
    <row r="281" spans="1:9" ht="11.25" customHeight="1">
      <c r="A281" t="s">
        <v>2383</v>
      </c>
      <c r="B281" t="s">
        <v>16</v>
      </c>
      <c r="C281" s="1030" t="s">
        <v>3312</v>
      </c>
      <c r="D281" s="1030" t="s">
        <v>3313</v>
      </c>
      <c r="E281" t="s">
        <v>3314</v>
      </c>
      <c r="F281" t="s">
        <v>2953</v>
      </c>
      <c r="G281" t="s">
        <v>22</v>
      </c>
      <c r="H281" t="s">
        <v>22</v>
      </c>
      <c r="I281" t="s">
        <v>824</v>
      </c>
    </row>
    <row r="282" spans="1:9" ht="11.25" customHeight="1">
      <c r="A282" t="s">
        <v>2383</v>
      </c>
      <c r="B282" t="s">
        <v>16</v>
      </c>
      <c r="C282" s="1030" t="s">
        <v>3315</v>
      </c>
      <c r="D282" s="1030" t="s">
        <v>3316</v>
      </c>
      <c r="E282" t="s">
        <v>3317</v>
      </c>
      <c r="F282" t="s">
        <v>2391</v>
      </c>
      <c r="G282" t="s">
        <v>22</v>
      </c>
      <c r="H282" t="s">
        <v>22</v>
      </c>
      <c r="I282" t="s">
        <v>824</v>
      </c>
    </row>
    <row r="283" spans="1:9" ht="11.25" customHeight="1">
      <c r="A283" t="s">
        <v>2383</v>
      </c>
      <c r="B283" t="s">
        <v>16</v>
      </c>
      <c r="C283" s="1030" t="s">
        <v>3318</v>
      </c>
      <c r="D283" s="1030" t="s">
        <v>3319</v>
      </c>
      <c r="E283" t="s">
        <v>3320</v>
      </c>
      <c r="F283" t="s">
        <v>2896</v>
      </c>
      <c r="G283" t="s">
        <v>22</v>
      </c>
      <c r="H283" t="s">
        <v>22</v>
      </c>
      <c r="I283" t="s">
        <v>824</v>
      </c>
    </row>
    <row r="284" spans="1:9" ht="11.25" customHeight="1">
      <c r="A284" t="s">
        <v>2383</v>
      </c>
      <c r="B284" t="s">
        <v>16</v>
      </c>
      <c r="C284" s="1030" t="s">
        <v>3321</v>
      </c>
      <c r="D284" s="1030" t="s">
        <v>3322</v>
      </c>
      <c r="E284" t="s">
        <v>3323</v>
      </c>
      <c r="F284" t="s">
        <v>2896</v>
      </c>
      <c r="G284" t="s">
        <v>3324</v>
      </c>
      <c r="H284" t="s">
        <v>22</v>
      </c>
      <c r="I284" t="s">
        <v>824</v>
      </c>
    </row>
    <row r="285" spans="1:9" ht="11.25" customHeight="1">
      <c r="A285" t="s">
        <v>2383</v>
      </c>
      <c r="B285" t="s">
        <v>16</v>
      </c>
      <c r="C285" s="1030" t="s">
        <v>3325</v>
      </c>
      <c r="D285" s="1030" t="s">
        <v>3326</v>
      </c>
      <c r="E285" t="s">
        <v>3327</v>
      </c>
      <c r="F285" t="s">
        <v>2638</v>
      </c>
      <c r="G285" t="s">
        <v>3328</v>
      </c>
      <c r="H285" t="s">
        <v>22</v>
      </c>
      <c r="I285" t="s">
        <v>824</v>
      </c>
    </row>
    <row r="286" spans="1:9" ht="11.25" customHeight="1">
      <c r="A286" t="s">
        <v>2383</v>
      </c>
      <c r="B286" t="s">
        <v>16</v>
      </c>
      <c r="C286" s="1030" t="s">
        <v>3329</v>
      </c>
      <c r="D286" s="1030" t="s">
        <v>3330</v>
      </c>
      <c r="E286" t="s">
        <v>3331</v>
      </c>
      <c r="F286" t="s">
        <v>2520</v>
      </c>
      <c r="G286" t="s">
        <v>22</v>
      </c>
      <c r="H286" t="s">
        <v>22</v>
      </c>
      <c r="I286" t="s">
        <v>824</v>
      </c>
    </row>
    <row r="287" spans="1:9" ht="11.25" customHeight="1">
      <c r="A287" t="s">
        <v>2383</v>
      </c>
      <c r="B287" t="s">
        <v>16</v>
      </c>
      <c r="C287" s="1030" t="s">
        <v>3332</v>
      </c>
      <c r="D287" s="1030" t="s">
        <v>3333</v>
      </c>
      <c r="E287" t="s">
        <v>3334</v>
      </c>
      <c r="F287" t="s">
        <v>2672</v>
      </c>
      <c r="G287" t="s">
        <v>22</v>
      </c>
      <c r="H287" t="s">
        <v>22</v>
      </c>
      <c r="I287" t="s">
        <v>824</v>
      </c>
    </row>
    <row r="288" spans="1:9" ht="11.25" customHeight="1">
      <c r="A288" t="s">
        <v>2383</v>
      </c>
      <c r="B288" t="s">
        <v>16</v>
      </c>
      <c r="C288" s="1030" t="s">
        <v>3335</v>
      </c>
      <c r="D288" s="1030" t="s">
        <v>3336</v>
      </c>
      <c r="E288" t="s">
        <v>3337</v>
      </c>
      <c r="F288" t="s">
        <v>2839</v>
      </c>
      <c r="G288" t="s">
        <v>22</v>
      </c>
      <c r="H288" t="s">
        <v>22</v>
      </c>
      <c r="I288" t="s">
        <v>824</v>
      </c>
    </row>
    <row r="289" spans="1:9" ht="11.25" customHeight="1">
      <c r="A289" t="s">
        <v>2383</v>
      </c>
      <c r="B289" t="s">
        <v>16</v>
      </c>
      <c r="C289" s="1030" t="s">
        <v>3338</v>
      </c>
      <c r="D289" s="1030" t="s">
        <v>3339</v>
      </c>
      <c r="E289" t="s">
        <v>3340</v>
      </c>
      <c r="F289" t="s">
        <v>2399</v>
      </c>
      <c r="G289" t="s">
        <v>22</v>
      </c>
      <c r="H289" t="s">
        <v>22</v>
      </c>
      <c r="I289" t="s">
        <v>824</v>
      </c>
    </row>
    <row r="290" spans="1:9" ht="11.25" customHeight="1">
      <c r="A290" t="s">
        <v>2383</v>
      </c>
      <c r="B290" t="s">
        <v>16</v>
      </c>
      <c r="C290" s="1030" t="s">
        <v>3341</v>
      </c>
      <c r="D290" s="1030" t="s">
        <v>3342</v>
      </c>
      <c r="E290" t="s">
        <v>3343</v>
      </c>
      <c r="F290" t="s">
        <v>3344</v>
      </c>
      <c r="G290" t="s">
        <v>22</v>
      </c>
      <c r="H290" t="s">
        <v>22</v>
      </c>
      <c r="I290" t="s">
        <v>824</v>
      </c>
    </row>
    <row r="291" spans="1:9" ht="11.25" customHeight="1">
      <c r="A291" t="s">
        <v>2383</v>
      </c>
      <c r="B291" t="s">
        <v>16</v>
      </c>
      <c r="C291" s="1030" t="s">
        <v>3345</v>
      </c>
      <c r="D291" s="1030" t="s">
        <v>3346</v>
      </c>
      <c r="E291" t="s">
        <v>3347</v>
      </c>
      <c r="F291" t="s">
        <v>50</v>
      </c>
      <c r="G291" t="s">
        <v>22</v>
      </c>
      <c r="H291" t="s">
        <v>22</v>
      </c>
      <c r="I291" t="s">
        <v>824</v>
      </c>
    </row>
    <row r="292" spans="1:9" ht="11.25" customHeight="1">
      <c r="A292" t="s">
        <v>2383</v>
      </c>
      <c r="B292" t="s">
        <v>16</v>
      </c>
      <c r="C292" s="1030" t="s">
        <v>3348</v>
      </c>
      <c r="D292" s="1030" t="s">
        <v>3349</v>
      </c>
      <c r="E292" t="s">
        <v>3350</v>
      </c>
      <c r="F292" t="s">
        <v>2946</v>
      </c>
      <c r="G292" t="s">
        <v>3351</v>
      </c>
      <c r="H292" t="s">
        <v>22</v>
      </c>
      <c r="I292" t="s">
        <v>824</v>
      </c>
    </row>
    <row r="293" spans="1:9" ht="11.25" customHeight="1">
      <c r="A293" t="s">
        <v>2383</v>
      </c>
      <c r="B293" t="s">
        <v>16</v>
      </c>
      <c r="C293" s="1030" t="s">
        <v>3352</v>
      </c>
      <c r="D293" s="1030" t="s">
        <v>3353</v>
      </c>
      <c r="E293" t="s">
        <v>3354</v>
      </c>
      <c r="F293" t="s">
        <v>2688</v>
      </c>
      <c r="G293" t="s">
        <v>3355</v>
      </c>
      <c r="H293" t="s">
        <v>22</v>
      </c>
      <c r="I293" t="s">
        <v>824</v>
      </c>
    </row>
    <row r="294" spans="1:9" ht="11.25" customHeight="1">
      <c r="A294" t="s">
        <v>2383</v>
      </c>
      <c r="B294" t="s">
        <v>16</v>
      </c>
      <c r="C294" s="1030" t="s">
        <v>3356</v>
      </c>
      <c r="D294" s="1030" t="s">
        <v>3357</v>
      </c>
      <c r="E294" t="s">
        <v>3358</v>
      </c>
      <c r="F294" t="s">
        <v>2520</v>
      </c>
      <c r="G294" t="s">
        <v>3359</v>
      </c>
      <c r="H294" t="s">
        <v>22</v>
      </c>
      <c r="I294" t="s">
        <v>824</v>
      </c>
    </row>
    <row r="295" spans="1:9" ht="11.25" customHeight="1">
      <c r="A295" t="s">
        <v>2383</v>
      </c>
      <c r="B295" t="s">
        <v>16</v>
      </c>
      <c r="C295" s="1030" t="s">
        <v>3360</v>
      </c>
      <c r="D295" s="1030" t="s">
        <v>3361</v>
      </c>
      <c r="E295" t="s">
        <v>3362</v>
      </c>
      <c r="F295" t="s">
        <v>2391</v>
      </c>
      <c r="G295" t="s">
        <v>22</v>
      </c>
      <c r="H295" t="s">
        <v>22</v>
      </c>
      <c r="I295" t="s">
        <v>824</v>
      </c>
    </row>
    <row r="296" spans="1:9" ht="11.25" customHeight="1">
      <c r="A296" t="s">
        <v>2383</v>
      </c>
      <c r="B296" t="s">
        <v>16</v>
      </c>
      <c r="C296" s="1030" t="s">
        <v>3363</v>
      </c>
      <c r="D296" s="1030" t="s">
        <v>3364</v>
      </c>
      <c r="E296" t="s">
        <v>3365</v>
      </c>
      <c r="F296" t="s">
        <v>2688</v>
      </c>
      <c r="G296" t="s">
        <v>3366</v>
      </c>
      <c r="H296" t="s">
        <v>22</v>
      </c>
      <c r="I296" t="s">
        <v>824</v>
      </c>
    </row>
    <row r="297" spans="1:9" ht="11.25" customHeight="1">
      <c r="A297" t="s">
        <v>2383</v>
      </c>
      <c r="B297" t="s">
        <v>16</v>
      </c>
      <c r="C297" s="1030" t="s">
        <v>3367</v>
      </c>
      <c r="D297" s="1030" t="s">
        <v>3368</v>
      </c>
      <c r="E297" t="s">
        <v>3369</v>
      </c>
      <c r="F297" t="s">
        <v>2510</v>
      </c>
      <c r="G297" t="s">
        <v>3370</v>
      </c>
      <c r="H297" t="s">
        <v>22</v>
      </c>
      <c r="I297" t="s">
        <v>824</v>
      </c>
    </row>
    <row r="298" spans="1:9" ht="11.25" customHeight="1">
      <c r="A298" t="s">
        <v>2383</v>
      </c>
      <c r="B298" t="s">
        <v>16</v>
      </c>
      <c r="C298" s="1030" t="s">
        <v>3371</v>
      </c>
      <c r="D298" s="1030" t="s">
        <v>3372</v>
      </c>
      <c r="E298" t="s">
        <v>3373</v>
      </c>
      <c r="F298" t="s">
        <v>50</v>
      </c>
      <c r="G298" t="s">
        <v>22</v>
      </c>
      <c r="H298" t="s">
        <v>22</v>
      </c>
      <c r="I298" t="s">
        <v>824</v>
      </c>
    </row>
    <row r="299" spans="1:9" ht="11.25" customHeight="1">
      <c r="A299" t="s">
        <v>2383</v>
      </c>
      <c r="B299" t="s">
        <v>16</v>
      </c>
      <c r="C299" s="1030" t="s">
        <v>3374</v>
      </c>
      <c r="D299" s="1030" t="s">
        <v>3375</v>
      </c>
      <c r="E299" t="s">
        <v>3376</v>
      </c>
      <c r="F299" t="s">
        <v>2688</v>
      </c>
      <c r="G299" t="s">
        <v>22</v>
      </c>
      <c r="H299" t="s">
        <v>22</v>
      </c>
      <c r="I299" t="s">
        <v>824</v>
      </c>
    </row>
    <row r="300" spans="1:9" ht="11.25" customHeight="1">
      <c r="A300" t="s">
        <v>2383</v>
      </c>
      <c r="B300" t="s">
        <v>16</v>
      </c>
      <c r="C300" s="1030" t="s">
        <v>3377</v>
      </c>
      <c r="D300" s="1030" t="s">
        <v>3378</v>
      </c>
      <c r="E300" t="s">
        <v>3379</v>
      </c>
      <c r="F300" t="s">
        <v>2391</v>
      </c>
      <c r="G300" t="s">
        <v>22</v>
      </c>
      <c r="H300" t="s">
        <v>22</v>
      </c>
      <c r="I300" t="s">
        <v>824</v>
      </c>
    </row>
    <row r="301" spans="1:9" ht="11.25" customHeight="1">
      <c r="A301" t="s">
        <v>2383</v>
      </c>
      <c r="B301" t="s">
        <v>16</v>
      </c>
      <c r="C301" s="1030" t="s">
        <v>3380</v>
      </c>
      <c r="D301" s="1030" t="s">
        <v>3381</v>
      </c>
      <c r="E301" t="s">
        <v>3382</v>
      </c>
      <c r="F301" t="s">
        <v>2584</v>
      </c>
      <c r="G301" t="s">
        <v>22</v>
      </c>
      <c r="H301" t="s">
        <v>22</v>
      </c>
      <c r="I301" t="s">
        <v>824</v>
      </c>
    </row>
    <row r="302" spans="1:9" ht="11.25" customHeight="1">
      <c r="A302" t="s">
        <v>2383</v>
      </c>
      <c r="B302" t="s">
        <v>16</v>
      </c>
      <c r="C302" s="1030" t="s">
        <v>3383</v>
      </c>
      <c r="D302" s="1030" t="s">
        <v>3384</v>
      </c>
      <c r="E302" t="s">
        <v>3385</v>
      </c>
      <c r="F302" t="s">
        <v>50</v>
      </c>
      <c r="G302" t="s">
        <v>3386</v>
      </c>
      <c r="H302" t="s">
        <v>22</v>
      </c>
      <c r="I302" t="s">
        <v>824</v>
      </c>
    </row>
    <row r="303" spans="1:9" ht="11.25" customHeight="1">
      <c r="A303" t="s">
        <v>2383</v>
      </c>
      <c r="B303" t="s">
        <v>16</v>
      </c>
      <c r="C303" s="1030" t="s">
        <v>3387</v>
      </c>
      <c r="D303" s="1030" t="s">
        <v>3388</v>
      </c>
      <c r="E303" t="s">
        <v>3389</v>
      </c>
      <c r="F303" t="s">
        <v>2665</v>
      </c>
      <c r="G303" t="s">
        <v>22</v>
      </c>
      <c r="H303" t="s">
        <v>22</v>
      </c>
      <c r="I303" t="s">
        <v>824</v>
      </c>
    </row>
    <row r="304" spans="1:9" ht="11.25" customHeight="1">
      <c r="A304" t="s">
        <v>2383</v>
      </c>
      <c r="B304" t="s">
        <v>16</v>
      </c>
      <c r="C304" s="1030" t="s">
        <v>3390</v>
      </c>
      <c r="D304" s="1030" t="s">
        <v>3391</v>
      </c>
      <c r="E304" t="s">
        <v>3392</v>
      </c>
      <c r="F304" t="s">
        <v>2506</v>
      </c>
      <c r="G304" t="s">
        <v>22</v>
      </c>
      <c r="H304" t="s">
        <v>22</v>
      </c>
      <c r="I304" t="s">
        <v>824</v>
      </c>
    </row>
    <row r="305" spans="1:9" ht="11.25" customHeight="1">
      <c r="A305" t="s">
        <v>2383</v>
      </c>
      <c r="B305" t="s">
        <v>16</v>
      </c>
      <c r="C305" s="1030" t="s">
        <v>3393</v>
      </c>
      <c r="D305" s="1030" t="s">
        <v>3394</v>
      </c>
      <c r="E305" t="s">
        <v>3395</v>
      </c>
      <c r="F305" t="s">
        <v>2391</v>
      </c>
      <c r="G305" t="s">
        <v>22</v>
      </c>
      <c r="H305" t="s">
        <v>22</v>
      </c>
      <c r="I305" t="s">
        <v>824</v>
      </c>
    </row>
    <row r="306" spans="1:9" ht="11.25" customHeight="1">
      <c r="A306" t="s">
        <v>2383</v>
      </c>
      <c r="B306" t="s">
        <v>16</v>
      </c>
      <c r="C306" s="1030" t="s">
        <v>3396</v>
      </c>
      <c r="D306" s="1030" t="s">
        <v>3397</v>
      </c>
      <c r="E306" t="s">
        <v>3398</v>
      </c>
      <c r="F306" t="s">
        <v>3025</v>
      </c>
      <c r="G306" t="s">
        <v>22</v>
      </c>
      <c r="H306" t="s">
        <v>22</v>
      </c>
      <c r="I306" t="s">
        <v>824</v>
      </c>
    </row>
    <row r="307" spans="1:9" ht="11.25" customHeight="1">
      <c r="A307" t="s">
        <v>2383</v>
      </c>
      <c r="B307" t="s">
        <v>16</v>
      </c>
      <c r="C307" s="1030" t="s">
        <v>3399</v>
      </c>
      <c r="D307" s="1030" t="s">
        <v>3400</v>
      </c>
      <c r="E307" t="s">
        <v>3401</v>
      </c>
      <c r="F307" t="s">
        <v>2440</v>
      </c>
      <c r="G307" t="s">
        <v>22</v>
      </c>
      <c r="H307" t="s">
        <v>22</v>
      </c>
      <c r="I307" t="s">
        <v>824</v>
      </c>
    </row>
    <row r="308" spans="1:9" ht="11.25" customHeight="1">
      <c r="A308" t="s">
        <v>2383</v>
      </c>
      <c r="B308" t="s">
        <v>16</v>
      </c>
      <c r="C308" s="1030" t="s">
        <v>3402</v>
      </c>
      <c r="D308" s="1030" t="s">
        <v>3403</v>
      </c>
      <c r="E308" t="s">
        <v>3404</v>
      </c>
      <c r="F308" t="s">
        <v>3025</v>
      </c>
      <c r="G308" t="s">
        <v>3405</v>
      </c>
      <c r="H308" t="s">
        <v>22</v>
      </c>
      <c r="I308" t="s">
        <v>824</v>
      </c>
    </row>
    <row r="309" spans="1:9" ht="11.25" customHeight="1">
      <c r="A309" t="s">
        <v>2383</v>
      </c>
      <c r="B309" t="s">
        <v>16</v>
      </c>
      <c r="C309" s="1030" t="s">
        <v>3406</v>
      </c>
      <c r="D309" s="1030" t="s">
        <v>3407</v>
      </c>
      <c r="E309" t="s">
        <v>3408</v>
      </c>
      <c r="F309" t="s">
        <v>2404</v>
      </c>
      <c r="G309" t="s">
        <v>22</v>
      </c>
      <c r="H309" t="s">
        <v>22</v>
      </c>
      <c r="I309" t="s">
        <v>824</v>
      </c>
    </row>
    <row r="310" spans="1:9" ht="11.25" customHeight="1">
      <c r="A310" t="s">
        <v>2383</v>
      </c>
      <c r="B310" t="s">
        <v>16</v>
      </c>
      <c r="C310" s="1030" t="s">
        <v>3409</v>
      </c>
      <c r="D310" s="1030" t="s">
        <v>3410</v>
      </c>
      <c r="E310" t="s">
        <v>3411</v>
      </c>
      <c r="F310" t="s">
        <v>2461</v>
      </c>
      <c r="G310" t="s">
        <v>22</v>
      </c>
      <c r="H310" t="s">
        <v>22</v>
      </c>
      <c r="I310" t="s">
        <v>824</v>
      </c>
    </row>
    <row r="311" spans="1:9" ht="11.25" customHeight="1">
      <c r="A311" t="s">
        <v>2383</v>
      </c>
      <c r="B311" t="s">
        <v>16</v>
      </c>
      <c r="C311" s="1030" t="s">
        <v>3412</v>
      </c>
      <c r="D311" s="1030" t="s">
        <v>3413</v>
      </c>
      <c r="E311" t="s">
        <v>3414</v>
      </c>
      <c r="F311" t="s">
        <v>2432</v>
      </c>
      <c r="G311" t="s">
        <v>22</v>
      </c>
      <c r="H311" t="s">
        <v>22</v>
      </c>
      <c r="I311" t="s">
        <v>824</v>
      </c>
    </row>
    <row r="312" spans="1:9" ht="11.25" customHeight="1">
      <c r="A312" t="s">
        <v>2383</v>
      </c>
      <c r="B312" t="s">
        <v>16</v>
      </c>
      <c r="C312" s="1030" t="s">
        <v>3415</v>
      </c>
      <c r="D312" s="1030" t="s">
        <v>3416</v>
      </c>
      <c r="E312" t="s">
        <v>3417</v>
      </c>
      <c r="F312" t="s">
        <v>2520</v>
      </c>
      <c r="G312" t="s">
        <v>22</v>
      </c>
      <c r="H312" t="s">
        <v>22</v>
      </c>
      <c r="I312" t="s">
        <v>824</v>
      </c>
    </row>
    <row r="313" spans="1:9" ht="11.25" customHeight="1">
      <c r="A313" t="s">
        <v>2383</v>
      </c>
      <c r="B313" t="s">
        <v>16</v>
      </c>
      <c r="C313" s="1030" t="s">
        <v>3418</v>
      </c>
      <c r="D313" s="1030" t="s">
        <v>3419</v>
      </c>
      <c r="E313" t="s">
        <v>3420</v>
      </c>
      <c r="F313" t="s">
        <v>2414</v>
      </c>
      <c r="G313" t="s">
        <v>22</v>
      </c>
      <c r="H313" t="s">
        <v>3421</v>
      </c>
      <c r="I313" t="s">
        <v>824</v>
      </c>
    </row>
    <row r="314" spans="1:9" ht="11.25" customHeight="1">
      <c r="A314" t="s">
        <v>2383</v>
      </c>
      <c r="B314" t="s">
        <v>16</v>
      </c>
      <c r="C314" s="1030" t="s">
        <v>3422</v>
      </c>
      <c r="D314" s="1030" t="s">
        <v>3423</v>
      </c>
      <c r="E314" t="s">
        <v>3424</v>
      </c>
      <c r="F314" t="s">
        <v>2765</v>
      </c>
      <c r="G314" t="s">
        <v>22</v>
      </c>
      <c r="H314" t="s">
        <v>22</v>
      </c>
      <c r="I314" t="s">
        <v>824</v>
      </c>
    </row>
    <row r="315" spans="1:9" ht="11.25" customHeight="1">
      <c r="A315" t="s">
        <v>2383</v>
      </c>
      <c r="B315" t="s">
        <v>16</v>
      </c>
      <c r="C315" s="1030" t="s">
        <v>3425</v>
      </c>
      <c r="D315" s="1030" t="s">
        <v>3426</v>
      </c>
      <c r="E315" t="s">
        <v>3427</v>
      </c>
      <c r="F315" t="s">
        <v>2828</v>
      </c>
      <c r="G315" t="s">
        <v>22</v>
      </c>
      <c r="H315" t="s">
        <v>3428</v>
      </c>
      <c r="I315" t="s">
        <v>824</v>
      </c>
    </row>
    <row r="316" spans="1:9" ht="11.25" customHeight="1">
      <c r="A316" t="s">
        <v>2383</v>
      </c>
      <c r="B316" t="s">
        <v>16</v>
      </c>
      <c r="C316" s="1030" t="s">
        <v>3429</v>
      </c>
      <c r="D316" s="1030" t="s">
        <v>3430</v>
      </c>
      <c r="E316" t="s">
        <v>3431</v>
      </c>
      <c r="F316" t="s">
        <v>2506</v>
      </c>
      <c r="G316" t="s">
        <v>22</v>
      </c>
      <c r="H316" t="s">
        <v>22</v>
      </c>
      <c r="I316" t="s">
        <v>824</v>
      </c>
    </row>
    <row r="317" spans="1:9" ht="11.25" customHeight="1">
      <c r="A317" t="s">
        <v>2383</v>
      </c>
      <c r="B317" t="s">
        <v>16</v>
      </c>
      <c r="C317" s="1030" t="s">
        <v>3432</v>
      </c>
      <c r="D317" s="1030" t="s">
        <v>3433</v>
      </c>
      <c r="E317" t="s">
        <v>3434</v>
      </c>
      <c r="F317" t="s">
        <v>2761</v>
      </c>
      <c r="G317" t="s">
        <v>22</v>
      </c>
      <c r="H317" t="s">
        <v>22</v>
      </c>
      <c r="I317" t="s">
        <v>824</v>
      </c>
    </row>
    <row r="318" spans="1:9" ht="11.25" customHeight="1">
      <c r="A318" t="s">
        <v>2383</v>
      </c>
      <c r="B318" t="s">
        <v>16</v>
      </c>
      <c r="C318" s="1030" t="s">
        <v>3435</v>
      </c>
      <c r="D318" s="1030" t="s">
        <v>3436</v>
      </c>
      <c r="E318" t="s">
        <v>3437</v>
      </c>
      <c r="F318" t="s">
        <v>3438</v>
      </c>
      <c r="G318" t="s">
        <v>22</v>
      </c>
      <c r="H318" t="s">
        <v>22</v>
      </c>
      <c r="I318" t="s">
        <v>824</v>
      </c>
    </row>
    <row r="319" spans="1:9" ht="11.25" customHeight="1">
      <c r="A319" t="s">
        <v>2383</v>
      </c>
      <c r="B319" t="s">
        <v>16</v>
      </c>
      <c r="C319" s="1030" t="s">
        <v>3439</v>
      </c>
      <c r="D319" s="1030" t="s">
        <v>3440</v>
      </c>
      <c r="E319" t="s">
        <v>3441</v>
      </c>
      <c r="F319" t="s">
        <v>3442</v>
      </c>
      <c r="G319" t="s">
        <v>22</v>
      </c>
      <c r="H319" t="s">
        <v>22</v>
      </c>
      <c r="I319" t="s">
        <v>824</v>
      </c>
    </row>
    <row r="320" spans="1:9" ht="11.25" customHeight="1">
      <c r="A320" t="s">
        <v>2383</v>
      </c>
      <c r="B320" t="s">
        <v>16</v>
      </c>
      <c r="C320" s="1030" t="s">
        <v>3443</v>
      </c>
      <c r="D320" s="1030" t="s">
        <v>3444</v>
      </c>
      <c r="E320" t="s">
        <v>3445</v>
      </c>
      <c r="F320" t="s">
        <v>3446</v>
      </c>
      <c r="G320" t="s">
        <v>22</v>
      </c>
      <c r="H320" t="s">
        <v>22</v>
      </c>
      <c r="I320" t="s">
        <v>824</v>
      </c>
    </row>
    <row r="321" spans="1:9" ht="11.25" customHeight="1">
      <c r="A321" t="s">
        <v>2383</v>
      </c>
      <c r="B321" t="s">
        <v>16</v>
      </c>
      <c r="C321" s="1030" t="s">
        <v>3447</v>
      </c>
      <c r="D321" s="1030" t="s">
        <v>3448</v>
      </c>
      <c r="E321" t="s">
        <v>3449</v>
      </c>
      <c r="F321" t="s">
        <v>50</v>
      </c>
      <c r="G321" t="s">
        <v>22</v>
      </c>
      <c r="H321" t="s">
        <v>22</v>
      </c>
      <c r="I321" t="s">
        <v>824</v>
      </c>
    </row>
    <row r="322" spans="1:9" ht="11.25" customHeight="1">
      <c r="A322" t="s">
        <v>2383</v>
      </c>
      <c r="B322" t="s">
        <v>16</v>
      </c>
      <c r="C322" s="1030" t="s">
        <v>3450</v>
      </c>
      <c r="D322" s="1030" t="s">
        <v>3451</v>
      </c>
      <c r="E322" t="s">
        <v>3452</v>
      </c>
      <c r="F322" t="s">
        <v>2482</v>
      </c>
      <c r="G322" t="s">
        <v>22</v>
      </c>
      <c r="H322" t="s">
        <v>22</v>
      </c>
      <c r="I322" t="s">
        <v>824</v>
      </c>
    </row>
    <row r="323" spans="1:9" ht="11.25" customHeight="1">
      <c r="A323" t="s">
        <v>2383</v>
      </c>
      <c r="B323" t="s">
        <v>16</v>
      </c>
      <c r="C323" s="1030" t="s">
        <v>3453</v>
      </c>
      <c r="D323" s="1030" t="s">
        <v>3454</v>
      </c>
      <c r="E323" t="s">
        <v>3455</v>
      </c>
      <c r="F323" t="s">
        <v>3456</v>
      </c>
      <c r="G323" t="s">
        <v>22</v>
      </c>
      <c r="H323" t="s">
        <v>22</v>
      </c>
      <c r="I323" t="s">
        <v>824</v>
      </c>
    </row>
    <row r="324" spans="1:9" ht="11.25" customHeight="1">
      <c r="A324" t="s">
        <v>2383</v>
      </c>
      <c r="B324" t="s">
        <v>16</v>
      </c>
      <c r="C324" s="1030" t="s">
        <v>3457</v>
      </c>
      <c r="D324" s="1030" t="s">
        <v>3458</v>
      </c>
      <c r="E324" t="s">
        <v>3459</v>
      </c>
      <c r="F324" t="s">
        <v>2461</v>
      </c>
      <c r="G324" t="s">
        <v>22</v>
      </c>
      <c r="H324" t="s">
        <v>22</v>
      </c>
      <c r="I324" t="s">
        <v>824</v>
      </c>
    </row>
    <row r="325" spans="1:9" ht="11.25" customHeight="1">
      <c r="A325" t="s">
        <v>2383</v>
      </c>
      <c r="B325" t="s">
        <v>16</v>
      </c>
      <c r="C325" s="1030" t="s">
        <v>3460</v>
      </c>
      <c r="D325" s="1030" t="s">
        <v>3461</v>
      </c>
      <c r="E325" t="s">
        <v>3462</v>
      </c>
      <c r="F325" t="s">
        <v>2391</v>
      </c>
      <c r="G325" t="s">
        <v>3463</v>
      </c>
      <c r="H325" t="s">
        <v>22</v>
      </c>
      <c r="I325" t="s">
        <v>824</v>
      </c>
    </row>
    <row r="326" spans="1:9" ht="11.25" customHeight="1">
      <c r="A326" t="s">
        <v>2383</v>
      </c>
      <c r="B326" t="s">
        <v>16</v>
      </c>
      <c r="C326" s="1030" t="s">
        <v>3464</v>
      </c>
      <c r="D326" s="1030" t="s">
        <v>3465</v>
      </c>
      <c r="E326" t="s">
        <v>3466</v>
      </c>
      <c r="F326" t="s">
        <v>2440</v>
      </c>
      <c r="G326" t="s">
        <v>22</v>
      </c>
      <c r="H326" t="s">
        <v>22</v>
      </c>
      <c r="I326" t="s">
        <v>824</v>
      </c>
    </row>
    <row r="327" spans="1:9" ht="11.25" customHeight="1">
      <c r="A327" t="s">
        <v>2383</v>
      </c>
      <c r="B327" t="s">
        <v>16</v>
      </c>
      <c r="C327" s="1030" t="s">
        <v>3467</v>
      </c>
      <c r="D327" s="1030" t="s">
        <v>3468</v>
      </c>
      <c r="E327" t="s">
        <v>3469</v>
      </c>
      <c r="F327" t="s">
        <v>2638</v>
      </c>
      <c r="G327" t="s">
        <v>22</v>
      </c>
      <c r="H327" t="s">
        <v>22</v>
      </c>
      <c r="I327" t="s">
        <v>824</v>
      </c>
    </row>
    <row r="328" spans="1:9" ht="11.25" customHeight="1">
      <c r="A328" t="s">
        <v>2383</v>
      </c>
      <c r="B328" t="s">
        <v>16</v>
      </c>
      <c r="C328" s="1030" t="s">
        <v>3470</v>
      </c>
      <c r="D328" s="1030" t="s">
        <v>3471</v>
      </c>
      <c r="E328" t="s">
        <v>3472</v>
      </c>
      <c r="F328" t="s">
        <v>2672</v>
      </c>
      <c r="G328" t="s">
        <v>22</v>
      </c>
      <c r="H328" t="s">
        <v>22</v>
      </c>
      <c r="I328" t="s">
        <v>824</v>
      </c>
    </row>
    <row r="329" spans="1:9" ht="11.25" customHeight="1">
      <c r="A329" t="s">
        <v>2383</v>
      </c>
      <c r="B329" t="s">
        <v>16</v>
      </c>
      <c r="C329" s="1030" t="s">
        <v>3473</v>
      </c>
      <c r="D329" s="1030" t="s">
        <v>3474</v>
      </c>
      <c r="E329" t="s">
        <v>3475</v>
      </c>
      <c r="F329" t="s">
        <v>2797</v>
      </c>
      <c r="G329" t="s">
        <v>22</v>
      </c>
      <c r="H329" t="s">
        <v>22</v>
      </c>
      <c r="I329" t="s">
        <v>824</v>
      </c>
    </row>
    <row r="330" spans="1:9" ht="11.25" customHeight="1">
      <c r="A330" t="s">
        <v>2383</v>
      </c>
      <c r="B330" t="s">
        <v>16</v>
      </c>
      <c r="C330" s="1030" t="s">
        <v>3476</v>
      </c>
      <c r="D330" s="1030" t="s">
        <v>3477</v>
      </c>
      <c r="E330" t="s">
        <v>3478</v>
      </c>
      <c r="F330" t="s">
        <v>50</v>
      </c>
      <c r="G330" t="s">
        <v>22</v>
      </c>
      <c r="H330" t="s">
        <v>22</v>
      </c>
      <c r="I330" t="s">
        <v>824</v>
      </c>
    </row>
    <row r="331" spans="1:9" ht="11.25" customHeight="1">
      <c r="A331" t="s">
        <v>2383</v>
      </c>
      <c r="B331" t="s">
        <v>16</v>
      </c>
      <c r="C331" s="1030" t="s">
        <v>3479</v>
      </c>
      <c r="D331" s="1030" t="s">
        <v>3480</v>
      </c>
      <c r="E331" t="s">
        <v>3481</v>
      </c>
      <c r="F331" t="s">
        <v>2549</v>
      </c>
      <c r="G331" t="s">
        <v>22</v>
      </c>
      <c r="H331" t="s">
        <v>22</v>
      </c>
      <c r="I331" t="s">
        <v>824</v>
      </c>
    </row>
    <row r="332" spans="1:9" ht="11.25" customHeight="1">
      <c r="A332" t="s">
        <v>2383</v>
      </c>
      <c r="B332" t="s">
        <v>16</v>
      </c>
      <c r="C332" s="1030" t="s">
        <v>3482</v>
      </c>
      <c r="D332" s="1030" t="s">
        <v>3483</v>
      </c>
      <c r="E332" t="s">
        <v>3484</v>
      </c>
      <c r="F332" t="s">
        <v>2391</v>
      </c>
      <c r="G332" t="s">
        <v>22</v>
      </c>
      <c r="H332" t="s">
        <v>22</v>
      </c>
      <c r="I332" t="s">
        <v>824</v>
      </c>
    </row>
    <row r="333" spans="1:9" ht="11.25" customHeight="1">
      <c r="A333" t="s">
        <v>2383</v>
      </c>
      <c r="B333" t="s">
        <v>16</v>
      </c>
      <c r="C333" s="1030" t="s">
        <v>3485</v>
      </c>
      <c r="D333" s="1030" t="s">
        <v>3486</v>
      </c>
      <c r="E333" t="s">
        <v>3487</v>
      </c>
      <c r="F333" t="s">
        <v>3488</v>
      </c>
      <c r="G333" t="s">
        <v>3489</v>
      </c>
      <c r="H333" t="s">
        <v>22</v>
      </c>
      <c r="I333" t="s">
        <v>824</v>
      </c>
    </row>
    <row r="334" spans="1:9" ht="11.25" customHeight="1">
      <c r="A334" t="s">
        <v>2383</v>
      </c>
      <c r="B334" t="s">
        <v>16</v>
      </c>
      <c r="C334" s="1030" t="s">
        <v>3490</v>
      </c>
      <c r="D334" s="1030" t="s">
        <v>3491</v>
      </c>
      <c r="E334" t="s">
        <v>3492</v>
      </c>
      <c r="F334" t="s">
        <v>2817</v>
      </c>
      <c r="G334" t="s">
        <v>3493</v>
      </c>
      <c r="H334" t="s">
        <v>22</v>
      </c>
      <c r="I334" t="s">
        <v>824</v>
      </c>
    </row>
    <row r="335" spans="1:9" ht="11.25" customHeight="1">
      <c r="A335" t="s">
        <v>2383</v>
      </c>
      <c r="B335" t="s">
        <v>16</v>
      </c>
      <c r="C335" s="1030" t="s">
        <v>3494</v>
      </c>
      <c r="D335" s="1030" t="s">
        <v>3495</v>
      </c>
      <c r="E335" t="s">
        <v>3496</v>
      </c>
      <c r="F335" t="s">
        <v>2391</v>
      </c>
      <c r="G335" t="s">
        <v>22</v>
      </c>
      <c r="H335" t="s">
        <v>22</v>
      </c>
      <c r="I335" t="s">
        <v>824</v>
      </c>
    </row>
    <row r="336" spans="1:9" ht="11.25" customHeight="1">
      <c r="A336" t="s">
        <v>2383</v>
      </c>
      <c r="B336" t="s">
        <v>16</v>
      </c>
      <c r="C336" s="1030" t="s">
        <v>3497</v>
      </c>
      <c r="D336" s="1030" t="s">
        <v>3498</v>
      </c>
      <c r="E336" t="s">
        <v>3499</v>
      </c>
      <c r="F336" t="s">
        <v>2391</v>
      </c>
      <c r="G336" t="s">
        <v>22</v>
      </c>
      <c r="H336" t="s">
        <v>22</v>
      </c>
      <c r="I336" t="s">
        <v>824</v>
      </c>
    </row>
    <row r="337" spans="1:9" ht="11.25" customHeight="1">
      <c r="A337" t="s">
        <v>2383</v>
      </c>
      <c r="B337" t="s">
        <v>16</v>
      </c>
      <c r="C337" s="1030" t="s">
        <v>3500</v>
      </c>
      <c r="D337" s="1030" t="s">
        <v>3501</v>
      </c>
      <c r="E337" t="s">
        <v>3502</v>
      </c>
      <c r="F337" t="s">
        <v>2665</v>
      </c>
      <c r="G337" t="s">
        <v>22</v>
      </c>
      <c r="H337" t="s">
        <v>22</v>
      </c>
      <c r="I337" t="s">
        <v>824</v>
      </c>
    </row>
    <row r="338" spans="1:9" ht="11.25" customHeight="1">
      <c r="A338" t="s">
        <v>2383</v>
      </c>
      <c r="B338" t="s">
        <v>16</v>
      </c>
      <c r="C338" s="1030" t="s">
        <v>3503</v>
      </c>
      <c r="D338" s="1030" t="s">
        <v>3504</v>
      </c>
      <c r="E338" t="s">
        <v>3505</v>
      </c>
      <c r="F338" t="s">
        <v>2688</v>
      </c>
      <c r="G338" t="s">
        <v>22</v>
      </c>
      <c r="H338" t="s">
        <v>22</v>
      </c>
      <c r="I338" t="s">
        <v>824</v>
      </c>
    </row>
    <row r="339" spans="1:9" ht="11.25" customHeight="1">
      <c r="A339" t="s">
        <v>2383</v>
      </c>
      <c r="B339" t="s">
        <v>16</v>
      </c>
      <c r="C339" s="1030" t="s">
        <v>3506</v>
      </c>
      <c r="D339" s="1030" t="s">
        <v>3507</v>
      </c>
      <c r="E339" t="s">
        <v>3508</v>
      </c>
      <c r="F339" t="s">
        <v>2584</v>
      </c>
      <c r="G339" t="s">
        <v>22</v>
      </c>
      <c r="H339" t="s">
        <v>22</v>
      </c>
      <c r="I339" t="s">
        <v>824</v>
      </c>
    </row>
    <row r="340" spans="1:9" ht="11.25" customHeight="1">
      <c r="A340" t="s">
        <v>2383</v>
      </c>
      <c r="B340" t="s">
        <v>16</v>
      </c>
      <c r="C340" s="1030" t="s">
        <v>3509</v>
      </c>
      <c r="D340" s="1030" t="s">
        <v>3510</v>
      </c>
      <c r="E340" t="s">
        <v>3511</v>
      </c>
      <c r="F340" t="s">
        <v>2451</v>
      </c>
      <c r="G340" t="s">
        <v>22</v>
      </c>
      <c r="H340" t="s">
        <v>22</v>
      </c>
      <c r="I340" t="s">
        <v>824</v>
      </c>
    </row>
    <row r="341" spans="1:9" ht="11.25" customHeight="1">
      <c r="A341" t="s">
        <v>2383</v>
      </c>
      <c r="B341" t="s">
        <v>16</v>
      </c>
      <c r="C341" s="1030" t="s">
        <v>3512</v>
      </c>
      <c r="D341" s="1030" t="s">
        <v>3513</v>
      </c>
      <c r="E341" t="s">
        <v>3514</v>
      </c>
      <c r="F341" t="s">
        <v>2688</v>
      </c>
      <c r="G341" t="s">
        <v>22</v>
      </c>
      <c r="H341" t="s">
        <v>22</v>
      </c>
      <c r="I341" t="s">
        <v>824</v>
      </c>
    </row>
    <row r="342" spans="1:9" ht="11.25" customHeight="1">
      <c r="A342" t="s">
        <v>2383</v>
      </c>
      <c r="B342" t="s">
        <v>16</v>
      </c>
      <c r="C342" s="1030" t="s">
        <v>3515</v>
      </c>
      <c r="D342" s="1030" t="s">
        <v>3516</v>
      </c>
      <c r="E342" t="s">
        <v>3517</v>
      </c>
      <c r="F342" t="s">
        <v>2520</v>
      </c>
      <c r="G342" t="s">
        <v>22</v>
      </c>
      <c r="H342" t="s">
        <v>22</v>
      </c>
      <c r="I342" t="s">
        <v>824</v>
      </c>
    </row>
    <row r="343" spans="1:9" ht="11.25" customHeight="1">
      <c r="A343" t="s">
        <v>2383</v>
      </c>
      <c r="B343" t="s">
        <v>16</v>
      </c>
      <c r="C343" s="1030" t="s">
        <v>3518</v>
      </c>
      <c r="D343" s="1030" t="s">
        <v>3519</v>
      </c>
      <c r="E343" t="s">
        <v>3520</v>
      </c>
      <c r="F343" t="s">
        <v>2611</v>
      </c>
      <c r="G343" t="s">
        <v>22</v>
      </c>
      <c r="H343" t="s">
        <v>22</v>
      </c>
      <c r="I343" t="s">
        <v>824</v>
      </c>
    </row>
    <row r="344" spans="1:9" ht="11.25" customHeight="1">
      <c r="A344" t="s">
        <v>2383</v>
      </c>
      <c r="B344" t="s">
        <v>16</v>
      </c>
      <c r="C344" s="1030" t="s">
        <v>3521</v>
      </c>
      <c r="D344" s="1030" t="s">
        <v>3522</v>
      </c>
      <c r="E344" t="s">
        <v>3523</v>
      </c>
      <c r="F344" t="s">
        <v>2391</v>
      </c>
      <c r="G344" t="s">
        <v>22</v>
      </c>
      <c r="H344" t="s">
        <v>22</v>
      </c>
      <c r="I344" t="s">
        <v>824</v>
      </c>
    </row>
    <row r="345" spans="1:9" ht="11.25" customHeight="1">
      <c r="A345" t="s">
        <v>2383</v>
      </c>
      <c r="B345" t="s">
        <v>16</v>
      </c>
      <c r="C345" s="1030" t="s">
        <v>3524</v>
      </c>
      <c r="D345" s="1030" t="s">
        <v>3525</v>
      </c>
      <c r="E345" t="s">
        <v>3526</v>
      </c>
      <c r="F345" t="s">
        <v>2447</v>
      </c>
      <c r="G345" t="s">
        <v>22</v>
      </c>
      <c r="H345" t="s">
        <v>22</v>
      </c>
      <c r="I345" t="s">
        <v>824</v>
      </c>
    </row>
    <row r="346" spans="1:9" ht="11.25" customHeight="1">
      <c r="A346" t="s">
        <v>2383</v>
      </c>
      <c r="B346" t="s">
        <v>16</v>
      </c>
      <c r="C346" s="1030" t="s">
        <v>3527</v>
      </c>
      <c r="D346" s="1030" t="s">
        <v>3528</v>
      </c>
      <c r="E346" t="s">
        <v>3529</v>
      </c>
      <c r="F346" t="s">
        <v>3100</v>
      </c>
      <c r="G346" t="s">
        <v>22</v>
      </c>
      <c r="H346" t="s">
        <v>22</v>
      </c>
      <c r="I346" t="s">
        <v>824</v>
      </c>
    </row>
    <row r="347" spans="1:9" ht="11.25" customHeight="1">
      <c r="A347" t="s">
        <v>2383</v>
      </c>
      <c r="B347" t="s">
        <v>16</v>
      </c>
      <c r="C347" s="1030" t="s">
        <v>3530</v>
      </c>
      <c r="D347" s="1030" t="s">
        <v>3531</v>
      </c>
      <c r="E347" t="s">
        <v>3532</v>
      </c>
      <c r="F347" t="s">
        <v>2432</v>
      </c>
      <c r="G347" t="s">
        <v>22</v>
      </c>
      <c r="H347" t="s">
        <v>22</v>
      </c>
      <c r="I347" t="s">
        <v>824</v>
      </c>
    </row>
    <row r="348" spans="1:9" ht="11.25" customHeight="1">
      <c r="A348" t="s">
        <v>2383</v>
      </c>
      <c r="B348" t="s">
        <v>16</v>
      </c>
      <c r="C348" s="1030" t="s">
        <v>3533</v>
      </c>
      <c r="D348" s="1030" t="s">
        <v>3534</v>
      </c>
      <c r="E348" t="s">
        <v>3535</v>
      </c>
      <c r="F348" t="s">
        <v>2440</v>
      </c>
      <c r="G348" t="s">
        <v>22</v>
      </c>
      <c r="H348" t="s">
        <v>22</v>
      </c>
      <c r="I348" t="s">
        <v>824</v>
      </c>
    </row>
    <row r="349" spans="1:9" ht="11.25" customHeight="1">
      <c r="A349" t="s">
        <v>2383</v>
      </c>
      <c r="B349" t="s">
        <v>16</v>
      </c>
      <c r="C349" s="1030" t="s">
        <v>3536</v>
      </c>
      <c r="D349" s="1030" t="s">
        <v>3537</v>
      </c>
      <c r="E349" t="s">
        <v>3538</v>
      </c>
      <c r="F349" t="s">
        <v>3025</v>
      </c>
      <c r="G349" t="s">
        <v>22</v>
      </c>
      <c r="H349" t="s">
        <v>22</v>
      </c>
      <c r="I349" t="s">
        <v>824</v>
      </c>
    </row>
    <row r="350" spans="1:9" ht="11.25" customHeight="1">
      <c r="A350" t="s">
        <v>2383</v>
      </c>
      <c r="B350" t="s">
        <v>16</v>
      </c>
      <c r="C350" s="1030" t="s">
        <v>3539</v>
      </c>
      <c r="D350" s="1030" t="s">
        <v>3540</v>
      </c>
      <c r="E350" t="s">
        <v>3541</v>
      </c>
      <c r="F350" t="s">
        <v>2688</v>
      </c>
      <c r="G350" t="s">
        <v>22</v>
      </c>
      <c r="H350" t="s">
        <v>22</v>
      </c>
      <c r="I350" t="s">
        <v>824</v>
      </c>
    </row>
    <row r="351" spans="1:9" ht="11.25" customHeight="1">
      <c r="A351" t="s">
        <v>2383</v>
      </c>
      <c r="B351" t="s">
        <v>16</v>
      </c>
      <c r="C351" s="1030" t="s">
        <v>3542</v>
      </c>
      <c r="D351" s="1030" t="s">
        <v>3543</v>
      </c>
      <c r="E351" t="s">
        <v>3544</v>
      </c>
      <c r="F351" t="s">
        <v>2451</v>
      </c>
      <c r="G351" t="s">
        <v>22</v>
      </c>
      <c r="H351" t="s">
        <v>22</v>
      </c>
      <c r="I351" t="s">
        <v>824</v>
      </c>
    </row>
    <row r="352" spans="1:9" ht="11.25" customHeight="1">
      <c r="A352" t="s">
        <v>2383</v>
      </c>
      <c r="B352" t="s">
        <v>16</v>
      </c>
      <c r="C352" s="1030" t="s">
        <v>3545</v>
      </c>
      <c r="D352" s="1030" t="s">
        <v>3546</v>
      </c>
      <c r="E352" t="s">
        <v>3547</v>
      </c>
      <c r="F352" t="s">
        <v>2414</v>
      </c>
      <c r="G352" t="s">
        <v>22</v>
      </c>
      <c r="H352" t="s">
        <v>22</v>
      </c>
      <c r="I352" t="s">
        <v>824</v>
      </c>
    </row>
    <row r="353" spans="1:9" ht="11.25" customHeight="1">
      <c r="A353" t="s">
        <v>2383</v>
      </c>
      <c r="B353" t="s">
        <v>16</v>
      </c>
      <c r="C353" s="1030" t="s">
        <v>3548</v>
      </c>
      <c r="D353" s="1030" t="s">
        <v>3549</v>
      </c>
      <c r="E353" t="s">
        <v>3550</v>
      </c>
      <c r="F353" t="s">
        <v>3438</v>
      </c>
      <c r="G353" t="s">
        <v>22</v>
      </c>
      <c r="H353" t="s">
        <v>22</v>
      </c>
      <c r="I353" t="s">
        <v>824</v>
      </c>
    </row>
    <row r="354" spans="1:9" ht="11.25" customHeight="1">
      <c r="A354" t="s">
        <v>2383</v>
      </c>
      <c r="B354" t="s">
        <v>16</v>
      </c>
      <c r="C354" s="1030" t="s">
        <v>3551</v>
      </c>
      <c r="D354" s="1030" t="s">
        <v>3552</v>
      </c>
      <c r="E354" t="s">
        <v>3553</v>
      </c>
      <c r="F354" t="s">
        <v>2946</v>
      </c>
      <c r="G354" t="s">
        <v>22</v>
      </c>
      <c r="H354" t="s">
        <v>22</v>
      </c>
      <c r="I354" t="s">
        <v>824</v>
      </c>
    </row>
    <row r="355" spans="1:9" ht="11.25" customHeight="1">
      <c r="A355" t="s">
        <v>2383</v>
      </c>
      <c r="B355" t="s">
        <v>16</v>
      </c>
      <c r="C355" s="1030" t="s">
        <v>3554</v>
      </c>
      <c r="D355" s="1030" t="s">
        <v>3555</v>
      </c>
      <c r="E355" t="s">
        <v>3556</v>
      </c>
      <c r="F355" t="s">
        <v>2425</v>
      </c>
      <c r="G355" t="s">
        <v>22</v>
      </c>
      <c r="H355" t="s">
        <v>22</v>
      </c>
      <c r="I355" t="s">
        <v>824</v>
      </c>
    </row>
    <row r="356" spans="1:9" ht="11.25" customHeight="1">
      <c r="A356" t="s">
        <v>2383</v>
      </c>
      <c r="B356" t="s">
        <v>16</v>
      </c>
      <c r="C356" s="1030" t="s">
        <v>3557</v>
      </c>
      <c r="D356" s="1030" t="s">
        <v>3558</v>
      </c>
      <c r="E356" t="s">
        <v>3559</v>
      </c>
      <c r="F356" t="s">
        <v>3000</v>
      </c>
      <c r="G356" t="s">
        <v>22</v>
      </c>
      <c r="H356" t="s">
        <v>22</v>
      </c>
      <c r="I356" t="s">
        <v>824</v>
      </c>
    </row>
    <row r="357" spans="1:9" ht="11.25" customHeight="1">
      <c r="A357" t="s">
        <v>2383</v>
      </c>
      <c r="B357" t="s">
        <v>16</v>
      </c>
      <c r="C357" s="1030" t="s">
        <v>3560</v>
      </c>
      <c r="D357" s="1030" t="s">
        <v>3561</v>
      </c>
      <c r="E357" t="s">
        <v>3562</v>
      </c>
      <c r="F357" t="s">
        <v>3100</v>
      </c>
      <c r="G357" t="s">
        <v>22</v>
      </c>
      <c r="H357" t="s">
        <v>22</v>
      </c>
      <c r="I357" t="s">
        <v>824</v>
      </c>
    </row>
    <row r="358" spans="1:9" ht="11.25" customHeight="1">
      <c r="A358" t="s">
        <v>2383</v>
      </c>
      <c r="B358" t="s">
        <v>16</v>
      </c>
      <c r="C358" s="1030" t="s">
        <v>3563</v>
      </c>
      <c r="D358" s="1030" t="s">
        <v>3564</v>
      </c>
      <c r="E358" t="s">
        <v>3565</v>
      </c>
      <c r="F358" t="s">
        <v>3566</v>
      </c>
      <c r="G358" t="s">
        <v>3567</v>
      </c>
      <c r="H358" t="s">
        <v>22</v>
      </c>
      <c r="I358" t="s">
        <v>824</v>
      </c>
    </row>
    <row r="359" spans="1:9" ht="11.25" customHeight="1">
      <c r="A359" t="s">
        <v>2383</v>
      </c>
      <c r="B359" t="s">
        <v>16</v>
      </c>
      <c r="C359" s="1030" t="s">
        <v>3568</v>
      </c>
      <c r="D359" s="1030" t="s">
        <v>3569</v>
      </c>
      <c r="E359" t="s">
        <v>3570</v>
      </c>
      <c r="F359" t="s">
        <v>2414</v>
      </c>
      <c r="G359" t="s">
        <v>22</v>
      </c>
      <c r="H359" t="s">
        <v>22</v>
      </c>
      <c r="I359" t="s">
        <v>824</v>
      </c>
    </row>
    <row r="360" spans="1:9" ht="11.25" customHeight="1">
      <c r="A360" t="s">
        <v>2383</v>
      </c>
      <c r="B360" t="s">
        <v>16</v>
      </c>
      <c r="C360" s="1030" t="s">
        <v>3571</v>
      </c>
      <c r="D360" s="1030" t="s">
        <v>3572</v>
      </c>
      <c r="E360" t="s">
        <v>3573</v>
      </c>
      <c r="F360" t="s">
        <v>2447</v>
      </c>
      <c r="G360" t="s">
        <v>22</v>
      </c>
      <c r="H360" t="s">
        <v>22</v>
      </c>
      <c r="I360" t="s">
        <v>824</v>
      </c>
    </row>
    <row r="361" spans="1:9" ht="11.25" customHeight="1">
      <c r="A361" t="s">
        <v>2383</v>
      </c>
      <c r="B361" t="s">
        <v>16</v>
      </c>
      <c r="C361" s="1030" t="s">
        <v>3574</v>
      </c>
      <c r="D361" s="1030" t="s">
        <v>3575</v>
      </c>
      <c r="E361" t="s">
        <v>3576</v>
      </c>
      <c r="F361" t="s">
        <v>3577</v>
      </c>
      <c r="G361" t="s">
        <v>22</v>
      </c>
      <c r="H361" t="s">
        <v>22</v>
      </c>
      <c r="I361" t="s">
        <v>824</v>
      </c>
    </row>
    <row r="362" spans="1:9" ht="11.25" customHeight="1">
      <c r="A362" t="s">
        <v>2383</v>
      </c>
      <c r="B362" t="s">
        <v>16</v>
      </c>
      <c r="C362" s="1030" t="s">
        <v>3578</v>
      </c>
      <c r="D362" s="1030" t="s">
        <v>3579</v>
      </c>
      <c r="E362" t="s">
        <v>3580</v>
      </c>
      <c r="F362" t="s">
        <v>2665</v>
      </c>
      <c r="G362" t="s">
        <v>22</v>
      </c>
      <c r="H362" t="s">
        <v>22</v>
      </c>
      <c r="I362" t="s">
        <v>824</v>
      </c>
    </row>
    <row r="363" spans="1:9" ht="11.25" customHeight="1">
      <c r="A363" t="s">
        <v>2383</v>
      </c>
      <c r="B363" t="s">
        <v>16</v>
      </c>
      <c r="C363" s="1030" t="s">
        <v>3581</v>
      </c>
      <c r="D363" s="1030" t="s">
        <v>3582</v>
      </c>
      <c r="E363" t="s">
        <v>3583</v>
      </c>
      <c r="F363" t="s">
        <v>2672</v>
      </c>
      <c r="G363" t="s">
        <v>22</v>
      </c>
      <c r="H363" t="s">
        <v>22</v>
      </c>
      <c r="I363" t="s">
        <v>824</v>
      </c>
    </row>
    <row r="364" spans="1:9" ht="11.25" customHeight="1">
      <c r="A364" t="s">
        <v>2383</v>
      </c>
      <c r="B364" t="s">
        <v>16</v>
      </c>
      <c r="C364" s="1030" t="s">
        <v>3584</v>
      </c>
      <c r="D364" s="1030" t="s">
        <v>3585</v>
      </c>
      <c r="E364" t="s">
        <v>3586</v>
      </c>
      <c r="F364" t="s">
        <v>2432</v>
      </c>
      <c r="G364" t="s">
        <v>22</v>
      </c>
      <c r="H364" t="s">
        <v>22</v>
      </c>
      <c r="I364" t="s">
        <v>824</v>
      </c>
    </row>
    <row r="365" spans="1:9" ht="11.25" customHeight="1">
      <c r="A365" t="s">
        <v>2383</v>
      </c>
      <c r="B365" t="s">
        <v>16</v>
      </c>
      <c r="C365" s="1030" t="s">
        <v>3587</v>
      </c>
      <c r="D365" s="1030" t="s">
        <v>3588</v>
      </c>
      <c r="E365" t="s">
        <v>3589</v>
      </c>
      <c r="F365" t="s">
        <v>2520</v>
      </c>
      <c r="G365" t="s">
        <v>22</v>
      </c>
      <c r="H365" t="s">
        <v>22</v>
      </c>
      <c r="I365" t="s">
        <v>824</v>
      </c>
    </row>
    <row r="366" spans="1:9" ht="11.25" customHeight="1">
      <c r="A366" t="s">
        <v>2383</v>
      </c>
      <c r="B366" t="s">
        <v>16</v>
      </c>
      <c r="C366" s="1030" t="s">
        <v>3590</v>
      </c>
      <c r="D366" s="1030" t="s">
        <v>3591</v>
      </c>
      <c r="E366" t="s">
        <v>3592</v>
      </c>
      <c r="F366" t="s">
        <v>2440</v>
      </c>
      <c r="G366" t="s">
        <v>22</v>
      </c>
      <c r="H366" t="s">
        <v>22</v>
      </c>
      <c r="I366" t="s">
        <v>824</v>
      </c>
    </row>
    <row r="367" spans="1:9" ht="11.25" customHeight="1">
      <c r="A367" t="s">
        <v>2383</v>
      </c>
      <c r="B367" t="s">
        <v>16</v>
      </c>
      <c r="C367" s="1030" t="s">
        <v>3593</v>
      </c>
      <c r="D367" s="1030" t="s">
        <v>3594</v>
      </c>
      <c r="E367" t="s">
        <v>3595</v>
      </c>
      <c r="F367" t="s">
        <v>2391</v>
      </c>
      <c r="G367" t="s">
        <v>22</v>
      </c>
      <c r="H367" t="s">
        <v>22</v>
      </c>
      <c r="I367" t="s">
        <v>824</v>
      </c>
    </row>
    <row r="368" spans="1:9" ht="11.25" customHeight="1">
      <c r="A368" t="s">
        <v>2383</v>
      </c>
      <c r="B368" t="s">
        <v>16</v>
      </c>
      <c r="C368" s="1030" t="s">
        <v>3596</v>
      </c>
      <c r="D368" s="1030" t="s">
        <v>3597</v>
      </c>
      <c r="E368" t="s">
        <v>3598</v>
      </c>
      <c r="F368" t="s">
        <v>2461</v>
      </c>
      <c r="G368" t="s">
        <v>22</v>
      </c>
      <c r="H368" t="s">
        <v>22</v>
      </c>
      <c r="I368" t="s">
        <v>824</v>
      </c>
    </row>
    <row r="369" spans="1:9" ht="11.25" customHeight="1">
      <c r="A369" t="s">
        <v>2383</v>
      </c>
      <c r="B369" t="s">
        <v>16</v>
      </c>
      <c r="C369" s="1030" t="s">
        <v>3599</v>
      </c>
      <c r="D369" s="1030" t="s">
        <v>3600</v>
      </c>
      <c r="E369" t="s">
        <v>3601</v>
      </c>
      <c r="F369" t="s">
        <v>2461</v>
      </c>
      <c r="G369" t="s">
        <v>22</v>
      </c>
      <c r="H369" t="s">
        <v>22</v>
      </c>
      <c r="I369" t="s">
        <v>824</v>
      </c>
    </row>
    <row r="370" spans="1:9" ht="11.25" customHeight="1">
      <c r="A370" t="s">
        <v>2383</v>
      </c>
      <c r="B370" t="s">
        <v>16</v>
      </c>
      <c r="C370" s="1030" t="s">
        <v>3602</v>
      </c>
      <c r="D370" s="1030" t="s">
        <v>3603</v>
      </c>
      <c r="E370" t="s">
        <v>3604</v>
      </c>
      <c r="F370" t="s">
        <v>2661</v>
      </c>
      <c r="G370" t="s">
        <v>22</v>
      </c>
      <c r="H370" t="s">
        <v>22</v>
      </c>
      <c r="I370" t="s">
        <v>824</v>
      </c>
    </row>
    <row r="371" spans="1:9" ht="11.25" customHeight="1">
      <c r="A371" t="s">
        <v>2383</v>
      </c>
      <c r="B371" t="s">
        <v>16</v>
      </c>
      <c r="C371" s="1030" t="s">
        <v>3605</v>
      </c>
      <c r="D371" s="1030" t="s">
        <v>3606</v>
      </c>
      <c r="E371" t="s">
        <v>3607</v>
      </c>
      <c r="F371" t="s">
        <v>2391</v>
      </c>
      <c r="G371" t="s">
        <v>22</v>
      </c>
      <c r="H371" t="s">
        <v>22</v>
      </c>
      <c r="I371" t="s">
        <v>824</v>
      </c>
    </row>
    <row r="372" spans="1:9" ht="11.25" customHeight="1">
      <c r="A372" t="s">
        <v>2383</v>
      </c>
      <c r="B372" t="s">
        <v>16</v>
      </c>
      <c r="C372" s="1030" t="s">
        <v>3608</v>
      </c>
      <c r="D372" s="1030" t="s">
        <v>3609</v>
      </c>
      <c r="E372" t="s">
        <v>3610</v>
      </c>
      <c r="F372" t="s">
        <v>2461</v>
      </c>
      <c r="G372" t="s">
        <v>3611</v>
      </c>
      <c r="H372" t="s">
        <v>22</v>
      </c>
      <c r="I372" t="s">
        <v>824</v>
      </c>
    </row>
    <row r="373" spans="1:9" ht="11.25" customHeight="1">
      <c r="A373" t="s">
        <v>2383</v>
      </c>
      <c r="B373" t="s">
        <v>16</v>
      </c>
      <c r="C373" s="1030" t="s">
        <v>3612</v>
      </c>
      <c r="D373" s="1030" t="s">
        <v>3613</v>
      </c>
      <c r="E373" t="s">
        <v>3614</v>
      </c>
      <c r="F373" t="s">
        <v>50</v>
      </c>
      <c r="G373" t="s">
        <v>22</v>
      </c>
      <c r="H373" t="s">
        <v>22</v>
      </c>
      <c r="I373" t="s">
        <v>824</v>
      </c>
    </row>
    <row r="374" spans="1:9" ht="11.25" customHeight="1">
      <c r="A374" t="s">
        <v>2383</v>
      </c>
      <c r="B374" t="s">
        <v>16</v>
      </c>
      <c r="C374" s="1030" t="s">
        <v>3615</v>
      </c>
      <c r="D374" s="1030" t="s">
        <v>3616</v>
      </c>
      <c r="E374" t="s">
        <v>3617</v>
      </c>
      <c r="F374" t="s">
        <v>2506</v>
      </c>
      <c r="G374" t="s">
        <v>3618</v>
      </c>
      <c r="H374" t="s">
        <v>22</v>
      </c>
      <c r="I374" t="s">
        <v>824</v>
      </c>
    </row>
    <row r="375" spans="1:9" ht="11.25" customHeight="1">
      <c r="A375" t="s">
        <v>2383</v>
      </c>
      <c r="B375" t="s">
        <v>16</v>
      </c>
      <c r="C375" s="1030" t="s">
        <v>3619</v>
      </c>
      <c r="D375" s="1030" t="s">
        <v>3620</v>
      </c>
      <c r="E375" t="s">
        <v>3621</v>
      </c>
      <c r="F375" t="s">
        <v>2391</v>
      </c>
      <c r="G375" t="s">
        <v>22</v>
      </c>
      <c r="H375" t="s">
        <v>22</v>
      </c>
      <c r="I375" t="s">
        <v>824</v>
      </c>
    </row>
    <row r="376" spans="1:9" ht="11.25" customHeight="1">
      <c r="A376" t="s">
        <v>2383</v>
      </c>
      <c r="B376" t="s">
        <v>16</v>
      </c>
      <c r="C376" s="1030" t="s">
        <v>3622</v>
      </c>
      <c r="D376" s="1030" t="s">
        <v>3623</v>
      </c>
      <c r="E376" t="s">
        <v>3624</v>
      </c>
      <c r="F376" t="s">
        <v>2584</v>
      </c>
      <c r="G376" t="s">
        <v>22</v>
      </c>
      <c r="H376" t="s">
        <v>22</v>
      </c>
      <c r="I376" t="s">
        <v>824</v>
      </c>
    </row>
    <row r="377" spans="1:9" ht="11.25" customHeight="1">
      <c r="A377" t="s">
        <v>2383</v>
      </c>
      <c r="B377" t="s">
        <v>16</v>
      </c>
      <c r="C377" s="1030" t="s">
        <v>3625</v>
      </c>
      <c r="D377" s="1030" t="s">
        <v>3626</v>
      </c>
      <c r="E377" t="s">
        <v>3627</v>
      </c>
      <c r="F377" t="s">
        <v>2451</v>
      </c>
      <c r="G377" t="s">
        <v>22</v>
      </c>
      <c r="H377" t="s">
        <v>22</v>
      </c>
      <c r="I377" t="s">
        <v>824</v>
      </c>
    </row>
    <row r="378" spans="1:9" ht="11.25" customHeight="1">
      <c r="A378" t="s">
        <v>2383</v>
      </c>
      <c r="B378" t="s">
        <v>16</v>
      </c>
      <c r="C378" s="1030" t="s">
        <v>3628</v>
      </c>
      <c r="D378" s="1030" t="s">
        <v>3629</v>
      </c>
      <c r="E378" t="s">
        <v>3630</v>
      </c>
      <c r="F378" t="s">
        <v>2391</v>
      </c>
      <c r="G378" t="s">
        <v>22</v>
      </c>
      <c r="H378" t="s">
        <v>22</v>
      </c>
      <c r="I378" t="s">
        <v>824</v>
      </c>
    </row>
    <row r="379" spans="1:9" ht="11.25" customHeight="1">
      <c r="A379" t="s">
        <v>2383</v>
      </c>
      <c r="B379" t="s">
        <v>16</v>
      </c>
      <c r="C379" s="1030" t="s">
        <v>3631</v>
      </c>
      <c r="D379" s="1030" t="s">
        <v>3632</v>
      </c>
      <c r="E379" t="s">
        <v>3633</v>
      </c>
      <c r="F379" t="s">
        <v>2391</v>
      </c>
      <c r="G379" t="s">
        <v>22</v>
      </c>
      <c r="H379" t="s">
        <v>22</v>
      </c>
      <c r="I379" t="s">
        <v>824</v>
      </c>
    </row>
    <row r="380" spans="1:9" ht="11.25" customHeight="1">
      <c r="A380" t="s">
        <v>2383</v>
      </c>
      <c r="B380" t="s">
        <v>16</v>
      </c>
      <c r="C380" s="1030" t="s">
        <v>3634</v>
      </c>
      <c r="D380" s="1030" t="s">
        <v>3635</v>
      </c>
      <c r="E380" t="s">
        <v>3636</v>
      </c>
      <c r="F380" t="s">
        <v>2391</v>
      </c>
      <c r="G380" t="s">
        <v>22</v>
      </c>
      <c r="H380" t="s">
        <v>22</v>
      </c>
      <c r="I380" t="s">
        <v>824</v>
      </c>
    </row>
    <row r="381" spans="1:9" ht="11.25" customHeight="1">
      <c r="A381" t="s">
        <v>2383</v>
      </c>
      <c r="B381" t="s">
        <v>16</v>
      </c>
      <c r="C381" s="1030" t="s">
        <v>3637</v>
      </c>
      <c r="D381" s="1030" t="s">
        <v>3638</v>
      </c>
      <c r="E381" t="s">
        <v>3639</v>
      </c>
      <c r="F381" t="s">
        <v>2447</v>
      </c>
      <c r="G381" t="s">
        <v>22</v>
      </c>
      <c r="H381" t="s">
        <v>22</v>
      </c>
      <c r="I381" t="s">
        <v>824</v>
      </c>
    </row>
    <row r="382" spans="1:9" ht="11.25" customHeight="1">
      <c r="A382" t="s">
        <v>2383</v>
      </c>
      <c r="B382" t="s">
        <v>16</v>
      </c>
      <c r="C382" s="1030" t="s">
        <v>3640</v>
      </c>
      <c r="D382" s="1030" t="s">
        <v>3641</v>
      </c>
      <c r="E382" t="s">
        <v>3642</v>
      </c>
      <c r="F382" t="s">
        <v>2391</v>
      </c>
      <c r="G382" t="s">
        <v>3643</v>
      </c>
      <c r="H382" t="s">
        <v>22</v>
      </c>
      <c r="I382" t="s">
        <v>824</v>
      </c>
    </row>
    <row r="383" spans="1:9" ht="11.25" customHeight="1">
      <c r="A383" t="s">
        <v>2383</v>
      </c>
      <c r="B383" t="s">
        <v>16</v>
      </c>
      <c r="C383" s="1030" t="s">
        <v>3644</v>
      </c>
      <c r="D383" s="1030" t="s">
        <v>3645</v>
      </c>
      <c r="E383" t="s">
        <v>3646</v>
      </c>
      <c r="F383" t="s">
        <v>2432</v>
      </c>
      <c r="G383" t="s">
        <v>22</v>
      </c>
      <c r="H383" t="s">
        <v>22</v>
      </c>
      <c r="I383" t="s">
        <v>824</v>
      </c>
    </row>
    <row r="384" spans="1:9" ht="11.25" customHeight="1">
      <c r="A384" t="s">
        <v>2383</v>
      </c>
      <c r="B384" t="s">
        <v>16</v>
      </c>
      <c r="C384" s="1030" t="s">
        <v>3647</v>
      </c>
      <c r="D384" s="1030" t="s">
        <v>3648</v>
      </c>
      <c r="E384" t="s">
        <v>3649</v>
      </c>
      <c r="F384" t="s">
        <v>2440</v>
      </c>
      <c r="G384" t="s">
        <v>22</v>
      </c>
      <c r="H384" t="s">
        <v>22</v>
      </c>
      <c r="I384" t="s">
        <v>824</v>
      </c>
    </row>
    <row r="385" spans="1:9" ht="11.25" customHeight="1">
      <c r="A385" t="s">
        <v>2383</v>
      </c>
      <c r="B385" t="s">
        <v>16</v>
      </c>
      <c r="C385" s="1030" t="s">
        <v>3650</v>
      </c>
      <c r="D385" s="1030" t="s">
        <v>3651</v>
      </c>
      <c r="E385" t="s">
        <v>3652</v>
      </c>
      <c r="F385" t="s">
        <v>2769</v>
      </c>
      <c r="G385" t="s">
        <v>22</v>
      </c>
      <c r="H385" t="s">
        <v>22</v>
      </c>
      <c r="I385" t="s">
        <v>824</v>
      </c>
    </row>
    <row r="386" spans="1:9" ht="11.25" customHeight="1">
      <c r="A386" t="s">
        <v>2383</v>
      </c>
      <c r="B386" t="s">
        <v>16</v>
      </c>
      <c r="C386" s="1030" t="s">
        <v>3653</v>
      </c>
      <c r="D386" s="1030" t="s">
        <v>3654</v>
      </c>
      <c r="E386" t="s">
        <v>3655</v>
      </c>
      <c r="F386" t="s">
        <v>2440</v>
      </c>
      <c r="G386" t="s">
        <v>22</v>
      </c>
      <c r="H386" t="s">
        <v>22</v>
      </c>
      <c r="I386" t="s">
        <v>824</v>
      </c>
    </row>
    <row r="387" spans="1:9" ht="11.25" customHeight="1">
      <c r="A387" t="s">
        <v>2383</v>
      </c>
      <c r="B387" t="s">
        <v>16</v>
      </c>
      <c r="C387" s="1030" t="s">
        <v>3656</v>
      </c>
      <c r="D387" s="1030" t="s">
        <v>3657</v>
      </c>
      <c r="E387" t="s">
        <v>3658</v>
      </c>
      <c r="F387" t="s">
        <v>2611</v>
      </c>
      <c r="G387" t="s">
        <v>22</v>
      </c>
      <c r="H387" t="s">
        <v>22</v>
      </c>
      <c r="I387" t="s">
        <v>824</v>
      </c>
    </row>
    <row r="388" spans="1:9" ht="11.25" customHeight="1">
      <c r="A388" t="s">
        <v>2383</v>
      </c>
      <c r="B388" t="s">
        <v>16</v>
      </c>
      <c r="C388" s="1030" t="s">
        <v>3659</v>
      </c>
      <c r="D388" s="1030" t="s">
        <v>3660</v>
      </c>
      <c r="E388" t="s">
        <v>3661</v>
      </c>
      <c r="F388" t="s">
        <v>2761</v>
      </c>
      <c r="G388" t="s">
        <v>22</v>
      </c>
      <c r="H388" t="s">
        <v>22</v>
      </c>
      <c r="I388" t="s">
        <v>824</v>
      </c>
    </row>
    <row r="389" spans="1:9" ht="11.25" customHeight="1">
      <c r="A389" t="s">
        <v>2383</v>
      </c>
      <c r="B389" t="s">
        <v>16</v>
      </c>
      <c r="C389" s="1030" t="s">
        <v>3662</v>
      </c>
      <c r="D389" s="1030" t="s">
        <v>3663</v>
      </c>
      <c r="E389" t="s">
        <v>3664</v>
      </c>
      <c r="F389" t="s">
        <v>2611</v>
      </c>
      <c r="G389" t="s">
        <v>22</v>
      </c>
      <c r="H389" t="s">
        <v>22</v>
      </c>
      <c r="I389" t="s">
        <v>824</v>
      </c>
    </row>
    <row r="390" spans="1:9" ht="11.25" customHeight="1">
      <c r="A390" t="s">
        <v>2383</v>
      </c>
      <c r="B390" t="s">
        <v>16</v>
      </c>
      <c r="C390" s="1030" t="s">
        <v>3665</v>
      </c>
      <c r="D390" s="1030" t="s">
        <v>3666</v>
      </c>
      <c r="E390" t="s">
        <v>3667</v>
      </c>
      <c r="F390" t="s">
        <v>50</v>
      </c>
      <c r="G390" t="s">
        <v>22</v>
      </c>
      <c r="H390" t="s">
        <v>22</v>
      </c>
      <c r="I390" t="s">
        <v>824</v>
      </c>
    </row>
    <row r="391" spans="1:9" ht="11.25" customHeight="1">
      <c r="A391" t="s">
        <v>2383</v>
      </c>
      <c r="B391" t="s">
        <v>16</v>
      </c>
      <c r="C391" s="1030" t="s">
        <v>3668</v>
      </c>
      <c r="D391" s="1030" t="s">
        <v>3669</v>
      </c>
      <c r="E391" t="s">
        <v>3670</v>
      </c>
      <c r="F391" t="s">
        <v>2946</v>
      </c>
      <c r="G391" t="s">
        <v>22</v>
      </c>
      <c r="H391" t="s">
        <v>22</v>
      </c>
      <c r="I391" t="s">
        <v>824</v>
      </c>
    </row>
    <row r="392" spans="1:9" ht="11.25" customHeight="1">
      <c r="A392" t="s">
        <v>2383</v>
      </c>
      <c r="B392" t="s">
        <v>16</v>
      </c>
      <c r="C392" s="1030" t="s">
        <v>3671</v>
      </c>
      <c r="D392" s="1030" t="s">
        <v>3672</v>
      </c>
      <c r="E392" t="s">
        <v>3673</v>
      </c>
      <c r="F392" t="s">
        <v>2391</v>
      </c>
      <c r="G392" t="s">
        <v>3674</v>
      </c>
      <c r="H392" t="s">
        <v>22</v>
      </c>
      <c r="I392" t="s">
        <v>824</v>
      </c>
    </row>
    <row r="393" spans="1:9" ht="11.25" customHeight="1">
      <c r="A393" t="s">
        <v>2383</v>
      </c>
      <c r="B393" t="s">
        <v>16</v>
      </c>
      <c r="C393" s="1030" t="s">
        <v>3675</v>
      </c>
      <c r="D393" s="1030" t="s">
        <v>3676</v>
      </c>
      <c r="E393" t="s">
        <v>3677</v>
      </c>
      <c r="F393" t="s">
        <v>2520</v>
      </c>
      <c r="G393" t="s">
        <v>22</v>
      </c>
      <c r="H393" t="s">
        <v>22</v>
      </c>
      <c r="I393" t="s">
        <v>824</v>
      </c>
    </row>
    <row r="394" spans="1:9" ht="11.25" customHeight="1">
      <c r="A394" t="s">
        <v>2383</v>
      </c>
      <c r="B394" t="s">
        <v>16</v>
      </c>
      <c r="C394" s="1030" t="s">
        <v>3678</v>
      </c>
      <c r="D394" s="1030" t="s">
        <v>3679</v>
      </c>
      <c r="E394" t="s">
        <v>3680</v>
      </c>
      <c r="F394" t="s">
        <v>2425</v>
      </c>
      <c r="G394" t="s">
        <v>22</v>
      </c>
      <c r="H394" t="s">
        <v>22</v>
      </c>
      <c r="I394" t="s">
        <v>824</v>
      </c>
    </row>
    <row r="395" spans="1:9" ht="11.25" customHeight="1">
      <c r="A395" t="s">
        <v>2383</v>
      </c>
      <c r="B395" t="s">
        <v>16</v>
      </c>
      <c r="C395" s="1030" t="s">
        <v>3681</v>
      </c>
      <c r="D395" s="1030" t="s">
        <v>3682</v>
      </c>
      <c r="E395" t="s">
        <v>3683</v>
      </c>
      <c r="F395" t="s">
        <v>2432</v>
      </c>
      <c r="G395" t="s">
        <v>22</v>
      </c>
      <c r="H395" t="s">
        <v>22</v>
      </c>
      <c r="I395" t="s">
        <v>824</v>
      </c>
    </row>
    <row r="396" spans="1:9" ht="11.25" customHeight="1">
      <c r="A396" t="s">
        <v>2383</v>
      </c>
      <c r="B396" t="s">
        <v>16</v>
      </c>
      <c r="C396" s="1030" t="s">
        <v>3684</v>
      </c>
      <c r="D396" s="1030" t="s">
        <v>3685</v>
      </c>
      <c r="E396" t="s">
        <v>2435</v>
      </c>
      <c r="F396" t="s">
        <v>3686</v>
      </c>
      <c r="G396" t="s">
        <v>22</v>
      </c>
      <c r="H396" t="s">
        <v>22</v>
      </c>
      <c r="I396" t="s">
        <v>824</v>
      </c>
    </row>
    <row r="397" spans="1:9" ht="11.25" customHeight="1">
      <c r="A397" t="s">
        <v>2383</v>
      </c>
      <c r="B397" t="s">
        <v>16</v>
      </c>
      <c r="C397" s="1030" t="s">
        <v>3687</v>
      </c>
      <c r="D397" s="1030" t="s">
        <v>3688</v>
      </c>
      <c r="E397" t="s">
        <v>3689</v>
      </c>
      <c r="F397" t="s">
        <v>2391</v>
      </c>
      <c r="G397" t="s">
        <v>3690</v>
      </c>
      <c r="H397" t="s">
        <v>22</v>
      </c>
      <c r="I397" t="s">
        <v>824</v>
      </c>
    </row>
    <row r="398" spans="1:9" ht="11.25" customHeight="1">
      <c r="A398" t="s">
        <v>2383</v>
      </c>
      <c r="B398" t="s">
        <v>16</v>
      </c>
      <c r="C398" s="1030" t="s">
        <v>3691</v>
      </c>
      <c r="D398" s="1030" t="s">
        <v>3692</v>
      </c>
      <c r="E398" t="s">
        <v>3693</v>
      </c>
      <c r="F398" t="s">
        <v>2817</v>
      </c>
      <c r="G398" t="s">
        <v>22</v>
      </c>
      <c r="H398" t="s">
        <v>22</v>
      </c>
      <c r="I398" t="s">
        <v>824</v>
      </c>
    </row>
    <row r="399" spans="1:9" ht="11.25" customHeight="1">
      <c r="A399" t="s">
        <v>2383</v>
      </c>
      <c r="B399" t="s">
        <v>16</v>
      </c>
      <c r="C399" s="1030" t="s">
        <v>3694</v>
      </c>
      <c r="D399" s="1030" t="s">
        <v>3695</v>
      </c>
      <c r="E399" t="s">
        <v>3696</v>
      </c>
      <c r="F399" t="s">
        <v>2461</v>
      </c>
      <c r="G399" t="s">
        <v>22</v>
      </c>
      <c r="H399" t="s">
        <v>22</v>
      </c>
      <c r="I399" t="s">
        <v>824</v>
      </c>
    </row>
    <row r="400" spans="1:9" ht="11.25" customHeight="1">
      <c r="A400" t="s">
        <v>2383</v>
      </c>
      <c r="B400" t="s">
        <v>16</v>
      </c>
      <c r="C400" s="1030" t="s">
        <v>3697</v>
      </c>
      <c r="D400" s="1030" t="s">
        <v>3698</v>
      </c>
      <c r="E400" t="s">
        <v>3699</v>
      </c>
      <c r="F400" t="s">
        <v>2440</v>
      </c>
      <c r="G400" t="s">
        <v>22</v>
      </c>
      <c r="H400" t="s">
        <v>22</v>
      </c>
      <c r="I400" t="s">
        <v>824</v>
      </c>
    </row>
    <row r="401" spans="1:9" ht="11.25" customHeight="1">
      <c r="A401" t="s">
        <v>2383</v>
      </c>
      <c r="B401" t="s">
        <v>16</v>
      </c>
      <c r="C401" s="1030" t="s">
        <v>3700</v>
      </c>
      <c r="D401" s="1030" t="s">
        <v>3701</v>
      </c>
      <c r="E401" t="s">
        <v>3702</v>
      </c>
      <c r="F401" t="s">
        <v>2520</v>
      </c>
      <c r="G401" t="s">
        <v>3703</v>
      </c>
      <c r="H401" t="s">
        <v>22</v>
      </c>
      <c r="I401" t="s">
        <v>824</v>
      </c>
    </row>
    <row r="402" spans="1:9" ht="11.25" customHeight="1">
      <c r="A402" t="s">
        <v>2383</v>
      </c>
      <c r="B402" t="s">
        <v>16</v>
      </c>
      <c r="C402" s="1030" t="s">
        <v>3704</v>
      </c>
      <c r="D402" s="1030" t="s">
        <v>3705</v>
      </c>
      <c r="E402" t="s">
        <v>3706</v>
      </c>
      <c r="F402" t="s">
        <v>2570</v>
      </c>
      <c r="G402" t="s">
        <v>22</v>
      </c>
      <c r="H402" t="s">
        <v>22</v>
      </c>
      <c r="I402" t="s">
        <v>824</v>
      </c>
    </row>
    <row r="403" spans="1:9" ht="11.25" customHeight="1">
      <c r="A403" t="s">
        <v>2383</v>
      </c>
      <c r="B403" t="s">
        <v>16</v>
      </c>
      <c r="C403" s="1030" t="s">
        <v>3707</v>
      </c>
      <c r="D403" s="1030" t="s">
        <v>3708</v>
      </c>
      <c r="E403" t="s">
        <v>3709</v>
      </c>
      <c r="F403" t="s">
        <v>2440</v>
      </c>
      <c r="G403" t="s">
        <v>22</v>
      </c>
      <c r="H403" t="s">
        <v>22</v>
      </c>
      <c r="I403" t="s">
        <v>824</v>
      </c>
    </row>
    <row r="404" spans="1:9" ht="11.25" customHeight="1">
      <c r="A404" t="s">
        <v>2383</v>
      </c>
      <c r="B404" t="s">
        <v>16</v>
      </c>
      <c r="C404" s="1030" t="s">
        <v>3710</v>
      </c>
      <c r="D404" s="1030" t="s">
        <v>3711</v>
      </c>
      <c r="E404" t="s">
        <v>3712</v>
      </c>
      <c r="F404" t="s">
        <v>2440</v>
      </c>
      <c r="G404" t="s">
        <v>22</v>
      </c>
      <c r="H404" t="s">
        <v>22</v>
      </c>
      <c r="I404" t="s">
        <v>824</v>
      </c>
    </row>
    <row r="405" spans="1:9" ht="11.25" customHeight="1">
      <c r="A405" t="s">
        <v>2383</v>
      </c>
      <c r="B405" t="s">
        <v>16</v>
      </c>
      <c r="C405" s="1030" t="s">
        <v>3713</v>
      </c>
      <c r="D405" s="1030" t="s">
        <v>3714</v>
      </c>
      <c r="E405" t="s">
        <v>3715</v>
      </c>
      <c r="F405" t="s">
        <v>2761</v>
      </c>
      <c r="G405" t="s">
        <v>22</v>
      </c>
      <c r="H405" t="s">
        <v>22</v>
      </c>
      <c r="I405" t="s">
        <v>824</v>
      </c>
    </row>
    <row r="406" spans="1:9" ht="11.25" customHeight="1">
      <c r="A406" t="s">
        <v>2383</v>
      </c>
      <c r="B406" t="s">
        <v>16</v>
      </c>
      <c r="C406" s="1030" t="s">
        <v>3716</v>
      </c>
      <c r="D406" s="1030" t="s">
        <v>3717</v>
      </c>
      <c r="E406" t="s">
        <v>3718</v>
      </c>
      <c r="F406" t="s">
        <v>2896</v>
      </c>
      <c r="G406" t="s">
        <v>22</v>
      </c>
      <c r="H406" t="s">
        <v>22</v>
      </c>
      <c r="I406" t="s">
        <v>824</v>
      </c>
    </row>
    <row r="407" spans="1:9" ht="11.25" customHeight="1">
      <c r="A407" t="s">
        <v>2383</v>
      </c>
      <c r="B407" t="s">
        <v>16</v>
      </c>
      <c r="C407" s="1030" t="s">
        <v>3719</v>
      </c>
      <c r="D407" s="1030" t="s">
        <v>3720</v>
      </c>
      <c r="E407" t="s">
        <v>3721</v>
      </c>
      <c r="F407" t="s">
        <v>2769</v>
      </c>
      <c r="G407" t="s">
        <v>22</v>
      </c>
      <c r="H407" t="s">
        <v>22</v>
      </c>
      <c r="I407" t="s">
        <v>824</v>
      </c>
    </row>
    <row r="408" spans="1:9" ht="11.25" customHeight="1">
      <c r="A408" t="s">
        <v>2383</v>
      </c>
      <c r="B408" t="s">
        <v>16</v>
      </c>
      <c r="C408" s="1030" t="s">
        <v>3722</v>
      </c>
      <c r="D408" s="1030" t="s">
        <v>3723</v>
      </c>
      <c r="E408" t="s">
        <v>3724</v>
      </c>
      <c r="F408" t="s">
        <v>2440</v>
      </c>
      <c r="G408" t="s">
        <v>22</v>
      </c>
      <c r="H408" t="s">
        <v>22</v>
      </c>
      <c r="I408" t="s">
        <v>824</v>
      </c>
    </row>
    <row r="409" spans="1:9" ht="11.25" customHeight="1">
      <c r="A409" t="s">
        <v>2383</v>
      </c>
      <c r="B409" t="s">
        <v>16</v>
      </c>
      <c r="C409" s="1030" t="s">
        <v>3725</v>
      </c>
      <c r="D409" s="1030" t="s">
        <v>3726</v>
      </c>
      <c r="E409" t="s">
        <v>3727</v>
      </c>
      <c r="F409" t="s">
        <v>2584</v>
      </c>
      <c r="G409" t="s">
        <v>22</v>
      </c>
      <c r="H409" t="s">
        <v>22</v>
      </c>
      <c r="I409" t="s">
        <v>824</v>
      </c>
    </row>
    <row r="410" spans="1:9" ht="11.25" customHeight="1">
      <c r="A410" t="s">
        <v>2383</v>
      </c>
      <c r="B410" t="s">
        <v>16</v>
      </c>
      <c r="C410" s="1030" t="s">
        <v>3728</v>
      </c>
      <c r="D410" s="1030" t="s">
        <v>3729</v>
      </c>
      <c r="E410" t="s">
        <v>3730</v>
      </c>
      <c r="F410" t="s">
        <v>2828</v>
      </c>
      <c r="G410" t="s">
        <v>22</v>
      </c>
      <c r="H410" t="s">
        <v>22</v>
      </c>
      <c r="I410" t="s">
        <v>824</v>
      </c>
    </row>
    <row r="411" spans="1:9" ht="11.25" customHeight="1">
      <c r="A411" t="s">
        <v>2383</v>
      </c>
      <c r="B411" t="s">
        <v>16</v>
      </c>
      <c r="C411" s="1030" t="s">
        <v>22</v>
      </c>
      <c r="D411" s="1030" t="s">
        <v>3731</v>
      </c>
      <c r="E411" t="s">
        <v>3732</v>
      </c>
      <c r="F411" t="s">
        <v>2391</v>
      </c>
      <c r="G411" t="s">
        <v>22</v>
      </c>
      <c r="H411" t="s">
        <v>22</v>
      </c>
      <c r="I411" t="s">
        <v>824</v>
      </c>
    </row>
    <row r="412" spans="1:9" ht="11.25" customHeight="1">
      <c r="A412" t="s">
        <v>2383</v>
      </c>
      <c r="B412" t="s">
        <v>16</v>
      </c>
      <c r="C412" s="1030" t="s">
        <v>3733</v>
      </c>
      <c r="D412" s="1030" t="s">
        <v>3734</v>
      </c>
      <c r="E412" t="s">
        <v>3735</v>
      </c>
      <c r="F412" t="s">
        <v>3068</v>
      </c>
      <c r="G412" t="s">
        <v>22</v>
      </c>
      <c r="H412" t="s">
        <v>22</v>
      </c>
      <c r="I412" t="s">
        <v>824</v>
      </c>
    </row>
    <row r="413" spans="1:9" ht="11.25" customHeight="1">
      <c r="A413" t="s">
        <v>2383</v>
      </c>
      <c r="B413" t="s">
        <v>16</v>
      </c>
      <c r="C413" s="1030" t="s">
        <v>3736</v>
      </c>
      <c r="D413" s="1030" t="s">
        <v>3737</v>
      </c>
      <c r="E413" t="s">
        <v>3738</v>
      </c>
      <c r="F413" t="s">
        <v>2629</v>
      </c>
      <c r="G413" t="s">
        <v>3739</v>
      </c>
      <c r="H413" t="s">
        <v>22</v>
      </c>
      <c r="I413" t="s">
        <v>824</v>
      </c>
    </row>
    <row r="414" spans="1:9" ht="11.25" customHeight="1">
      <c r="A414" t="s">
        <v>2383</v>
      </c>
      <c r="B414" t="s">
        <v>16</v>
      </c>
      <c r="C414" s="1030" t="s">
        <v>3740</v>
      </c>
      <c r="D414" s="1030" t="s">
        <v>3741</v>
      </c>
      <c r="E414" t="s">
        <v>3742</v>
      </c>
      <c r="F414" t="s">
        <v>2629</v>
      </c>
      <c r="G414" t="s">
        <v>22</v>
      </c>
      <c r="H414" t="s">
        <v>22</v>
      </c>
      <c r="I414" t="s">
        <v>824</v>
      </c>
    </row>
    <row r="415" spans="1:9" ht="11.25" customHeight="1">
      <c r="A415" t="s">
        <v>2383</v>
      </c>
      <c r="B415" t="s">
        <v>16</v>
      </c>
      <c r="C415" s="1030" t="s">
        <v>3743</v>
      </c>
      <c r="D415" s="1030" t="s">
        <v>3744</v>
      </c>
      <c r="E415" t="s">
        <v>3745</v>
      </c>
      <c r="F415" t="s">
        <v>2391</v>
      </c>
      <c r="G415" t="s">
        <v>22</v>
      </c>
      <c r="H415" t="s">
        <v>22</v>
      </c>
      <c r="I415" t="s">
        <v>824</v>
      </c>
    </row>
    <row r="416" spans="1:9" ht="11.25" customHeight="1">
      <c r="A416" t="s">
        <v>2383</v>
      </c>
      <c r="B416" t="s">
        <v>16</v>
      </c>
      <c r="C416" s="1030" t="s">
        <v>3746</v>
      </c>
      <c r="D416" s="1030" t="s">
        <v>3747</v>
      </c>
      <c r="E416" t="s">
        <v>3748</v>
      </c>
      <c r="F416" t="s">
        <v>2672</v>
      </c>
      <c r="G416" t="s">
        <v>22</v>
      </c>
      <c r="H416" t="s">
        <v>22</v>
      </c>
      <c r="I416" t="s">
        <v>824</v>
      </c>
    </row>
    <row r="417" spans="1:9" ht="11.25" customHeight="1">
      <c r="A417" t="s">
        <v>2383</v>
      </c>
      <c r="B417" t="s">
        <v>16</v>
      </c>
      <c r="C417" s="1030" t="s">
        <v>3749</v>
      </c>
      <c r="D417" s="1030" t="s">
        <v>3750</v>
      </c>
      <c r="E417" t="s">
        <v>3751</v>
      </c>
      <c r="F417" t="s">
        <v>2391</v>
      </c>
      <c r="G417" t="s">
        <v>22</v>
      </c>
      <c r="H417" t="s">
        <v>22</v>
      </c>
      <c r="I417" t="s">
        <v>824</v>
      </c>
    </row>
    <row r="418" spans="1:9" ht="11.25" customHeight="1">
      <c r="A418" t="s">
        <v>2383</v>
      </c>
      <c r="B418" t="s">
        <v>16</v>
      </c>
      <c r="C418" s="1030" t="s">
        <v>3752</v>
      </c>
      <c r="D418" s="1030" t="s">
        <v>3753</v>
      </c>
      <c r="E418" t="s">
        <v>3754</v>
      </c>
      <c r="F418" t="s">
        <v>3686</v>
      </c>
      <c r="G418" t="s">
        <v>22</v>
      </c>
      <c r="H418" t="s">
        <v>22</v>
      </c>
      <c r="I418" t="s">
        <v>824</v>
      </c>
    </row>
    <row r="419" spans="1:9" ht="11.25" customHeight="1">
      <c r="A419" t="s">
        <v>2383</v>
      </c>
      <c r="B419" t="s">
        <v>16</v>
      </c>
      <c r="C419" s="1030" t="s">
        <v>3755</v>
      </c>
      <c r="D419" s="1030" t="s">
        <v>3753</v>
      </c>
      <c r="E419" t="s">
        <v>3754</v>
      </c>
      <c r="F419" t="s">
        <v>2566</v>
      </c>
      <c r="G419" t="s">
        <v>22</v>
      </c>
      <c r="H419" t="s">
        <v>22</v>
      </c>
      <c r="I419" t="s">
        <v>824</v>
      </c>
    </row>
    <row r="420" spans="1:9" ht="11.25" customHeight="1">
      <c r="A420" t="s">
        <v>2383</v>
      </c>
      <c r="B420" t="s">
        <v>16</v>
      </c>
      <c r="C420" s="1030" t="s">
        <v>3756</v>
      </c>
      <c r="D420" s="1030" t="s">
        <v>3757</v>
      </c>
      <c r="E420" t="s">
        <v>3758</v>
      </c>
      <c r="F420" t="s">
        <v>2574</v>
      </c>
      <c r="G420" t="s">
        <v>22</v>
      </c>
      <c r="H420" t="s">
        <v>22</v>
      </c>
      <c r="I420" t="s">
        <v>824</v>
      </c>
    </row>
    <row r="421" spans="1:9" ht="11.25" customHeight="1">
      <c r="A421" t="s">
        <v>2383</v>
      </c>
      <c r="B421" t="s">
        <v>16</v>
      </c>
      <c r="C421" s="1030" t="s">
        <v>3759</v>
      </c>
      <c r="D421" s="1030" t="s">
        <v>3760</v>
      </c>
      <c r="E421" t="s">
        <v>3761</v>
      </c>
      <c r="F421" t="s">
        <v>3762</v>
      </c>
      <c r="G421" t="s">
        <v>22</v>
      </c>
      <c r="H421" t="s">
        <v>22</v>
      </c>
      <c r="I421" t="s">
        <v>824</v>
      </c>
    </row>
    <row r="422" spans="1:9" ht="11.25" customHeight="1">
      <c r="A422" t="s">
        <v>2383</v>
      </c>
      <c r="B422" t="s">
        <v>16</v>
      </c>
      <c r="C422" s="1030" t="s">
        <v>3763</v>
      </c>
      <c r="D422" s="1030" t="s">
        <v>3764</v>
      </c>
      <c r="E422" t="s">
        <v>3765</v>
      </c>
      <c r="F422" t="s">
        <v>2447</v>
      </c>
      <c r="G422" t="s">
        <v>22</v>
      </c>
      <c r="H422" t="s">
        <v>22</v>
      </c>
      <c r="I422" t="s">
        <v>824</v>
      </c>
    </row>
    <row r="423" spans="1:9" ht="11.25" customHeight="1">
      <c r="A423" t="s">
        <v>2383</v>
      </c>
      <c r="B423" t="s">
        <v>16</v>
      </c>
      <c r="C423" s="1030" t="s">
        <v>3766</v>
      </c>
      <c r="D423" s="1030" t="s">
        <v>3767</v>
      </c>
      <c r="E423" t="s">
        <v>3768</v>
      </c>
      <c r="F423" t="s">
        <v>2584</v>
      </c>
      <c r="G423" t="s">
        <v>3769</v>
      </c>
      <c r="H423" t="s">
        <v>22</v>
      </c>
      <c r="I423" t="s">
        <v>824</v>
      </c>
    </row>
    <row r="424" spans="1:9" ht="11.25" customHeight="1">
      <c r="A424" t="s">
        <v>2383</v>
      </c>
      <c r="B424" t="s">
        <v>16</v>
      </c>
      <c r="C424" s="1030" t="s">
        <v>3770</v>
      </c>
      <c r="D424" s="1030" t="s">
        <v>3771</v>
      </c>
      <c r="E424" t="s">
        <v>3772</v>
      </c>
      <c r="F424" t="s">
        <v>2769</v>
      </c>
      <c r="G424" t="s">
        <v>3773</v>
      </c>
      <c r="H424" t="s">
        <v>22</v>
      </c>
      <c r="I424" t="s">
        <v>824</v>
      </c>
    </row>
    <row r="425" spans="1:9" ht="11.25" customHeight="1">
      <c r="A425" t="s">
        <v>2383</v>
      </c>
      <c r="B425" t="s">
        <v>16</v>
      </c>
      <c r="C425" s="1030" t="s">
        <v>3774</v>
      </c>
      <c r="D425" s="1030" t="s">
        <v>3775</v>
      </c>
      <c r="E425" t="s">
        <v>3776</v>
      </c>
      <c r="F425" t="s">
        <v>2645</v>
      </c>
      <c r="G425" t="s">
        <v>22</v>
      </c>
      <c r="H425" t="s">
        <v>22</v>
      </c>
      <c r="I425" t="s">
        <v>824</v>
      </c>
    </row>
    <row r="426" spans="1:9" ht="11.25" customHeight="1">
      <c r="A426" t="s">
        <v>2383</v>
      </c>
      <c r="B426" t="s">
        <v>16</v>
      </c>
      <c r="C426" s="1030" t="s">
        <v>3777</v>
      </c>
      <c r="D426" s="1030" t="s">
        <v>3778</v>
      </c>
      <c r="E426" t="s">
        <v>3779</v>
      </c>
      <c r="F426" t="s">
        <v>2839</v>
      </c>
      <c r="G426" t="s">
        <v>22</v>
      </c>
      <c r="H426" t="s">
        <v>22</v>
      </c>
      <c r="I426" t="s">
        <v>824</v>
      </c>
    </row>
    <row r="427" spans="1:9" ht="11.25" customHeight="1">
      <c r="A427" t="s">
        <v>2383</v>
      </c>
      <c r="B427" t="s">
        <v>16</v>
      </c>
      <c r="C427" s="1030" t="s">
        <v>3780</v>
      </c>
      <c r="D427" s="1030" t="s">
        <v>3781</v>
      </c>
      <c r="E427" t="s">
        <v>3782</v>
      </c>
      <c r="F427" t="s">
        <v>2657</v>
      </c>
      <c r="G427" t="s">
        <v>3769</v>
      </c>
      <c r="H427" t="s">
        <v>22</v>
      </c>
      <c r="I427" t="s">
        <v>824</v>
      </c>
    </row>
    <row r="428" spans="1:9" ht="11.25" customHeight="1">
      <c r="A428" t="s">
        <v>2383</v>
      </c>
      <c r="B428" t="s">
        <v>16</v>
      </c>
      <c r="C428" s="1030" t="s">
        <v>3783</v>
      </c>
      <c r="D428" s="1030" t="s">
        <v>3784</v>
      </c>
      <c r="E428" t="s">
        <v>3785</v>
      </c>
      <c r="F428" t="s">
        <v>2657</v>
      </c>
      <c r="G428" t="s">
        <v>22</v>
      </c>
      <c r="H428" t="s">
        <v>22</v>
      </c>
      <c r="I428" t="s">
        <v>824</v>
      </c>
    </row>
    <row r="429" spans="1:9" ht="11.25" customHeight="1">
      <c r="A429" t="s">
        <v>2383</v>
      </c>
      <c r="B429" t="s">
        <v>16</v>
      </c>
      <c r="C429" s="1030" t="s">
        <v>3786</v>
      </c>
      <c r="D429" s="1030" t="s">
        <v>3787</v>
      </c>
      <c r="E429" t="s">
        <v>3788</v>
      </c>
      <c r="F429" t="s">
        <v>2784</v>
      </c>
      <c r="G429" t="s">
        <v>22</v>
      </c>
      <c r="H429" t="s">
        <v>22</v>
      </c>
      <c r="I429" t="s">
        <v>824</v>
      </c>
    </row>
    <row r="430" spans="1:9" ht="11.25" customHeight="1">
      <c r="A430" t="s">
        <v>2383</v>
      </c>
      <c r="B430" t="s">
        <v>16</v>
      </c>
      <c r="C430" s="1030" t="s">
        <v>3789</v>
      </c>
      <c r="D430" s="1030" t="s">
        <v>3790</v>
      </c>
      <c r="E430" t="s">
        <v>3791</v>
      </c>
      <c r="F430" t="s">
        <v>2769</v>
      </c>
      <c r="G430" t="s">
        <v>3792</v>
      </c>
      <c r="H430" t="s">
        <v>22</v>
      </c>
      <c r="I430" t="s">
        <v>824</v>
      </c>
    </row>
    <row r="431" spans="1:9" ht="11.25" customHeight="1">
      <c r="A431" t="s">
        <v>2383</v>
      </c>
      <c r="B431" t="s">
        <v>16</v>
      </c>
      <c r="C431" s="1030" t="s">
        <v>3793</v>
      </c>
      <c r="D431" s="1030" t="s">
        <v>3794</v>
      </c>
      <c r="E431" t="s">
        <v>3795</v>
      </c>
      <c r="F431" t="s">
        <v>2440</v>
      </c>
      <c r="G431" t="s">
        <v>22</v>
      </c>
      <c r="H431" t="s">
        <v>22</v>
      </c>
      <c r="I431" t="s">
        <v>824</v>
      </c>
    </row>
    <row r="432" spans="1:9" ht="11.25" customHeight="1">
      <c r="A432" t="s">
        <v>2383</v>
      </c>
      <c r="B432" t="s">
        <v>16</v>
      </c>
      <c r="C432" s="1030" t="s">
        <v>3796</v>
      </c>
      <c r="D432" s="1030" t="s">
        <v>3797</v>
      </c>
      <c r="E432" t="s">
        <v>3798</v>
      </c>
      <c r="F432" t="s">
        <v>3442</v>
      </c>
      <c r="G432" t="s">
        <v>22</v>
      </c>
      <c r="H432" t="s">
        <v>22</v>
      </c>
      <c r="I432" t="s">
        <v>824</v>
      </c>
    </row>
    <row r="433" spans="1:9" ht="11.25" customHeight="1">
      <c r="A433" t="s">
        <v>2383</v>
      </c>
      <c r="B433" t="s">
        <v>16</v>
      </c>
      <c r="C433" s="1030" t="s">
        <v>3799</v>
      </c>
      <c r="D433" s="1030" t="s">
        <v>3800</v>
      </c>
      <c r="E433" t="s">
        <v>3801</v>
      </c>
      <c r="F433" t="s">
        <v>3802</v>
      </c>
      <c r="G433" t="s">
        <v>22</v>
      </c>
      <c r="H433" t="s">
        <v>22</v>
      </c>
      <c r="I433" t="s">
        <v>824</v>
      </c>
    </row>
    <row r="434" spans="1:9" ht="11.25" customHeight="1">
      <c r="A434" t="s">
        <v>2383</v>
      </c>
      <c r="B434" t="s">
        <v>16</v>
      </c>
      <c r="C434" s="1030" t="s">
        <v>3803</v>
      </c>
      <c r="D434" s="1030" t="s">
        <v>3804</v>
      </c>
      <c r="E434" t="s">
        <v>2386</v>
      </c>
      <c r="F434" t="s">
        <v>3805</v>
      </c>
      <c r="G434" t="s">
        <v>22</v>
      </c>
      <c r="H434" t="s">
        <v>22</v>
      </c>
      <c r="I434" t="s">
        <v>824</v>
      </c>
    </row>
    <row r="435" spans="1:9" ht="11.25" customHeight="1">
      <c r="A435" t="s">
        <v>2383</v>
      </c>
      <c r="B435" t="s">
        <v>16</v>
      </c>
      <c r="C435" s="1030" t="s">
        <v>3806</v>
      </c>
      <c r="D435" s="1030" t="s">
        <v>3807</v>
      </c>
      <c r="E435" t="s">
        <v>2386</v>
      </c>
      <c r="F435" t="s">
        <v>3808</v>
      </c>
      <c r="G435" t="s">
        <v>22</v>
      </c>
      <c r="H435" t="s">
        <v>22</v>
      </c>
      <c r="I435" t="s">
        <v>824</v>
      </c>
    </row>
    <row r="436" spans="1:9" ht="11.25" customHeight="1">
      <c r="A436" t="s">
        <v>2383</v>
      </c>
      <c r="B436" t="s">
        <v>16</v>
      </c>
      <c r="C436" s="1030" t="s">
        <v>3809</v>
      </c>
      <c r="D436" s="1030" t="s">
        <v>3810</v>
      </c>
      <c r="E436" t="s">
        <v>3811</v>
      </c>
      <c r="F436" t="s">
        <v>3812</v>
      </c>
      <c r="G436" t="s">
        <v>22</v>
      </c>
      <c r="H436" t="s">
        <v>22</v>
      </c>
      <c r="I436" t="s">
        <v>824</v>
      </c>
    </row>
    <row r="437" spans="1:9" ht="11.25" customHeight="1">
      <c r="A437" t="s">
        <v>2383</v>
      </c>
      <c r="B437" t="s">
        <v>16</v>
      </c>
      <c r="C437" s="1030" t="s">
        <v>3813</v>
      </c>
      <c r="D437" s="1030" t="s">
        <v>3814</v>
      </c>
      <c r="E437" t="s">
        <v>3758</v>
      </c>
      <c r="F437" t="s">
        <v>3815</v>
      </c>
      <c r="G437" t="s">
        <v>22</v>
      </c>
      <c r="H437" t="s">
        <v>22</v>
      </c>
      <c r="I437" t="s">
        <v>824</v>
      </c>
    </row>
    <row r="438" spans="1:9" ht="11.25" customHeight="1">
      <c r="A438" t="s">
        <v>2383</v>
      </c>
      <c r="B438" t="s">
        <v>16</v>
      </c>
      <c r="C438" s="1030" t="s">
        <v>3816</v>
      </c>
      <c r="D438" s="1030" t="s">
        <v>3817</v>
      </c>
      <c r="E438" t="s">
        <v>2386</v>
      </c>
      <c r="F438" t="s">
        <v>3818</v>
      </c>
      <c r="G438" t="s">
        <v>22</v>
      </c>
      <c r="H438" t="s">
        <v>22</v>
      </c>
      <c r="I438" t="s">
        <v>824</v>
      </c>
    </row>
    <row r="439" spans="1:9" ht="11.25" customHeight="1">
      <c r="A439" t="s">
        <v>2383</v>
      </c>
      <c r="B439" t="s">
        <v>16</v>
      </c>
      <c r="C439" s="1030" t="s">
        <v>2388</v>
      </c>
      <c r="D439" s="1030" t="s">
        <v>2389</v>
      </c>
      <c r="E439" t="s">
        <v>2390</v>
      </c>
      <c r="F439" t="s">
        <v>2391</v>
      </c>
      <c r="G439" t="s">
        <v>2392</v>
      </c>
      <c r="H439" t="s">
        <v>22</v>
      </c>
      <c r="I439" t="s">
        <v>910</v>
      </c>
    </row>
    <row r="440" spans="1:9" ht="11.25" customHeight="1">
      <c r="A440" t="s">
        <v>2383</v>
      </c>
      <c r="B440" t="s">
        <v>16</v>
      </c>
      <c r="C440" s="1030" t="s">
        <v>2401</v>
      </c>
      <c r="D440" s="1030" t="s">
        <v>2402</v>
      </c>
      <c r="E440" t="s">
        <v>2403</v>
      </c>
      <c r="F440" t="s">
        <v>2404</v>
      </c>
      <c r="G440" t="s">
        <v>22</v>
      </c>
      <c r="H440" t="s">
        <v>22</v>
      </c>
      <c r="I440" t="s">
        <v>910</v>
      </c>
    </row>
    <row r="441" spans="1:9" ht="11.25" customHeight="1">
      <c r="A441" t="s">
        <v>2383</v>
      </c>
      <c r="B441" t="s">
        <v>16</v>
      </c>
      <c r="C441" s="1030" t="s">
        <v>2415</v>
      </c>
      <c r="D441" s="1030" t="s">
        <v>2416</v>
      </c>
      <c r="E441" t="s">
        <v>2417</v>
      </c>
      <c r="F441" t="s">
        <v>2418</v>
      </c>
      <c r="G441" t="s">
        <v>22</v>
      </c>
      <c r="H441" t="s">
        <v>22</v>
      </c>
      <c r="I441" t="s">
        <v>910</v>
      </c>
    </row>
    <row r="442" spans="1:9" ht="11.25" customHeight="1">
      <c r="A442" t="s">
        <v>2383</v>
      </c>
      <c r="B442" t="s">
        <v>16</v>
      </c>
      <c r="C442" s="1030" t="s">
        <v>2422</v>
      </c>
      <c r="D442" s="1030" t="s">
        <v>2423</v>
      </c>
      <c r="E442" t="s">
        <v>2424</v>
      </c>
      <c r="F442" t="s">
        <v>2425</v>
      </c>
      <c r="G442" t="s">
        <v>22</v>
      </c>
      <c r="H442" t="s">
        <v>22</v>
      </c>
      <c r="I442" t="s">
        <v>910</v>
      </c>
    </row>
    <row r="443" spans="1:9" ht="11.25" customHeight="1">
      <c r="A443" t="s">
        <v>2383</v>
      </c>
      <c r="B443" t="s">
        <v>16</v>
      </c>
      <c r="C443" s="1030" t="s">
        <v>2426</v>
      </c>
      <c r="D443" s="1030" t="s">
        <v>2427</v>
      </c>
      <c r="E443" t="s">
        <v>2428</v>
      </c>
      <c r="F443" t="s">
        <v>2418</v>
      </c>
      <c r="G443" t="s">
        <v>22</v>
      </c>
      <c r="H443" t="s">
        <v>22</v>
      </c>
      <c r="I443" t="s">
        <v>910</v>
      </c>
    </row>
    <row r="444" spans="1:9" ht="11.25" customHeight="1">
      <c r="A444" t="s">
        <v>2383</v>
      </c>
      <c r="B444" t="s">
        <v>16</v>
      </c>
      <c r="C444" s="1030" t="s">
        <v>2429</v>
      </c>
      <c r="D444" s="1030" t="s">
        <v>2430</v>
      </c>
      <c r="E444" t="s">
        <v>2431</v>
      </c>
      <c r="F444" t="s">
        <v>2432</v>
      </c>
      <c r="G444" t="s">
        <v>22</v>
      </c>
      <c r="H444" t="s">
        <v>22</v>
      </c>
      <c r="I444" t="s">
        <v>910</v>
      </c>
    </row>
    <row r="445" spans="1:9" ht="11.25" customHeight="1">
      <c r="A445" t="s">
        <v>2383</v>
      </c>
      <c r="B445" t="s">
        <v>16</v>
      </c>
      <c r="C445" s="1030" t="s">
        <v>2433</v>
      </c>
      <c r="D445" s="1030" t="s">
        <v>2434</v>
      </c>
      <c r="E445" t="s">
        <v>2435</v>
      </c>
      <c r="F445" t="s">
        <v>2436</v>
      </c>
      <c r="G445" t="s">
        <v>22</v>
      </c>
      <c r="H445" t="s">
        <v>22</v>
      </c>
      <c r="I445" t="s">
        <v>910</v>
      </c>
    </row>
    <row r="446" spans="1:9" ht="11.25" customHeight="1">
      <c r="A446" t="s">
        <v>2383</v>
      </c>
      <c r="B446" t="s">
        <v>16</v>
      </c>
      <c r="C446" s="1030" t="s">
        <v>2448</v>
      </c>
      <c r="D446" s="1030" t="s">
        <v>2449</v>
      </c>
      <c r="E446" t="s">
        <v>2450</v>
      </c>
      <c r="F446" t="s">
        <v>2451</v>
      </c>
      <c r="G446" t="s">
        <v>22</v>
      </c>
      <c r="H446" t="s">
        <v>22</v>
      </c>
      <c r="I446" t="s">
        <v>910</v>
      </c>
    </row>
    <row r="447" spans="1:9" ht="11.25" customHeight="1">
      <c r="A447" t="s">
        <v>2383</v>
      </c>
      <c r="B447" t="s">
        <v>16</v>
      </c>
      <c r="C447" s="1030" t="s">
        <v>2455</v>
      </c>
      <c r="D447" s="1030" t="s">
        <v>2456</v>
      </c>
      <c r="E447" t="s">
        <v>2457</v>
      </c>
      <c r="F447" t="s">
        <v>2414</v>
      </c>
      <c r="G447" t="s">
        <v>22</v>
      </c>
      <c r="H447" t="s">
        <v>22</v>
      </c>
      <c r="I447" t="s">
        <v>910</v>
      </c>
    </row>
    <row r="448" spans="1:9" ht="11.25" customHeight="1">
      <c r="A448" t="s">
        <v>2383</v>
      </c>
      <c r="B448" t="s">
        <v>16</v>
      </c>
      <c r="C448" s="1030" t="s">
        <v>2469</v>
      </c>
      <c r="D448" s="1030" t="s">
        <v>2470</v>
      </c>
      <c r="E448" t="s">
        <v>2471</v>
      </c>
      <c r="F448" t="s">
        <v>2404</v>
      </c>
      <c r="G448" t="s">
        <v>22</v>
      </c>
      <c r="H448" t="s">
        <v>22</v>
      </c>
      <c r="I448" t="s">
        <v>910</v>
      </c>
    </row>
    <row r="449" spans="1:9" ht="11.25" customHeight="1">
      <c r="A449" t="s">
        <v>2383</v>
      </c>
      <c r="B449" t="s">
        <v>16</v>
      </c>
      <c r="C449" s="1030" t="s">
        <v>2479</v>
      </c>
      <c r="D449" s="1030" t="s">
        <v>2480</v>
      </c>
      <c r="E449" t="s">
        <v>2481</v>
      </c>
      <c r="F449" t="s">
        <v>2482</v>
      </c>
      <c r="G449" t="s">
        <v>2483</v>
      </c>
      <c r="H449" t="s">
        <v>22</v>
      </c>
      <c r="I449" t="s">
        <v>910</v>
      </c>
    </row>
    <row r="450" spans="1:9" ht="11.25" customHeight="1">
      <c r="A450" t="s">
        <v>2383</v>
      </c>
      <c r="B450" t="s">
        <v>16</v>
      </c>
      <c r="C450" s="1030" t="s">
        <v>2490</v>
      </c>
      <c r="D450" s="1030" t="s">
        <v>2491</v>
      </c>
      <c r="E450" t="s">
        <v>2492</v>
      </c>
      <c r="F450" t="s">
        <v>2493</v>
      </c>
      <c r="G450" t="s">
        <v>22</v>
      </c>
      <c r="H450" t="s">
        <v>22</v>
      </c>
      <c r="I450" t="s">
        <v>910</v>
      </c>
    </row>
    <row r="451" spans="1:9" ht="11.25" customHeight="1">
      <c r="A451" t="s">
        <v>2383</v>
      </c>
      <c r="B451" t="s">
        <v>16</v>
      </c>
      <c r="C451" s="1030" t="s">
        <v>2497</v>
      </c>
      <c r="D451" s="1030" t="s">
        <v>2498</v>
      </c>
      <c r="E451" t="s">
        <v>2499</v>
      </c>
      <c r="F451" t="s">
        <v>2451</v>
      </c>
      <c r="G451" t="s">
        <v>22</v>
      </c>
      <c r="H451" t="s">
        <v>22</v>
      </c>
      <c r="I451" t="s">
        <v>910</v>
      </c>
    </row>
    <row r="452" spans="1:9" ht="11.25" customHeight="1">
      <c r="A452" t="s">
        <v>2383</v>
      </c>
      <c r="B452" t="s">
        <v>16</v>
      </c>
      <c r="C452" s="1030" t="s">
        <v>2503</v>
      </c>
      <c r="D452" s="1030" t="s">
        <v>2504</v>
      </c>
      <c r="E452" t="s">
        <v>2505</v>
      </c>
      <c r="F452" t="s">
        <v>2506</v>
      </c>
      <c r="G452" t="s">
        <v>22</v>
      </c>
      <c r="H452" t="s">
        <v>22</v>
      </c>
      <c r="I452" t="s">
        <v>910</v>
      </c>
    </row>
    <row r="453" spans="1:9" ht="11.25" customHeight="1">
      <c r="A453" t="s">
        <v>2383</v>
      </c>
      <c r="B453" t="s">
        <v>16</v>
      </c>
      <c r="C453" s="1030" t="s">
        <v>2525</v>
      </c>
      <c r="D453" s="1030" t="s">
        <v>2526</v>
      </c>
      <c r="E453" t="s">
        <v>2524</v>
      </c>
      <c r="F453" t="s">
        <v>2527</v>
      </c>
      <c r="G453" t="s">
        <v>22</v>
      </c>
      <c r="H453" t="s">
        <v>22</v>
      </c>
      <c r="I453" t="s">
        <v>910</v>
      </c>
    </row>
    <row r="454" spans="1:9" ht="11.25" customHeight="1">
      <c r="A454" t="s">
        <v>2383</v>
      </c>
      <c r="B454" t="s">
        <v>16</v>
      </c>
      <c r="C454" s="1030" t="s">
        <v>2528</v>
      </c>
      <c r="D454" s="1030" t="s">
        <v>2529</v>
      </c>
      <c r="E454" t="s">
        <v>2524</v>
      </c>
      <c r="F454" t="s">
        <v>2530</v>
      </c>
      <c r="G454" t="s">
        <v>22</v>
      </c>
      <c r="H454" t="s">
        <v>22</v>
      </c>
      <c r="I454" t="s">
        <v>910</v>
      </c>
    </row>
    <row r="455" spans="1:9" ht="11.25" customHeight="1">
      <c r="A455" t="s">
        <v>2383</v>
      </c>
      <c r="B455" t="s">
        <v>16</v>
      </c>
      <c r="C455" s="1030" t="s">
        <v>2534</v>
      </c>
      <c r="D455" s="1030" t="s">
        <v>2535</v>
      </c>
      <c r="E455" t="s">
        <v>2524</v>
      </c>
      <c r="F455" t="s">
        <v>2536</v>
      </c>
      <c r="G455" t="s">
        <v>22</v>
      </c>
      <c r="H455" t="s">
        <v>22</v>
      </c>
      <c r="I455" t="s">
        <v>910</v>
      </c>
    </row>
    <row r="456" spans="1:9" ht="11.25" customHeight="1">
      <c r="A456" t="s">
        <v>2383</v>
      </c>
      <c r="B456" t="s">
        <v>16</v>
      </c>
      <c r="C456" s="1030" t="s">
        <v>2537</v>
      </c>
      <c r="D456" s="1030" t="s">
        <v>2538</v>
      </c>
      <c r="E456" t="s">
        <v>2524</v>
      </c>
      <c r="F456" t="s">
        <v>2539</v>
      </c>
      <c r="G456" t="s">
        <v>22</v>
      </c>
      <c r="H456" t="s">
        <v>22</v>
      </c>
      <c r="I456" t="s">
        <v>910</v>
      </c>
    </row>
    <row r="457" spans="1:9" ht="11.25" customHeight="1">
      <c r="A457" t="s">
        <v>2383</v>
      </c>
      <c r="B457" t="s">
        <v>16</v>
      </c>
      <c r="C457" s="1030" t="s">
        <v>2540</v>
      </c>
      <c r="D457" s="1030" t="s">
        <v>2541</v>
      </c>
      <c r="E457" t="s">
        <v>2524</v>
      </c>
      <c r="F457" t="s">
        <v>2542</v>
      </c>
      <c r="G457" t="s">
        <v>22</v>
      </c>
      <c r="H457" t="s">
        <v>22</v>
      </c>
      <c r="I457" t="s">
        <v>910</v>
      </c>
    </row>
    <row r="458" spans="1:9" ht="11.25" customHeight="1">
      <c r="A458" t="s">
        <v>2383</v>
      </c>
      <c r="B458" t="s">
        <v>16</v>
      </c>
      <c r="C458" s="1030" t="s">
        <v>2543</v>
      </c>
      <c r="D458" s="1030" t="s">
        <v>2544</v>
      </c>
      <c r="E458" t="s">
        <v>2524</v>
      </c>
      <c r="F458" t="s">
        <v>2545</v>
      </c>
      <c r="G458" t="s">
        <v>22</v>
      </c>
      <c r="H458" t="s">
        <v>22</v>
      </c>
      <c r="I458" t="s">
        <v>910</v>
      </c>
    </row>
    <row r="459" spans="1:9" ht="11.25" customHeight="1">
      <c r="A459" t="s">
        <v>2383</v>
      </c>
      <c r="B459" t="s">
        <v>16</v>
      </c>
      <c r="C459" s="1030" t="s">
        <v>2559</v>
      </c>
      <c r="D459" s="1030" t="s">
        <v>2560</v>
      </c>
      <c r="E459" t="s">
        <v>2561</v>
      </c>
      <c r="F459" t="s">
        <v>2562</v>
      </c>
      <c r="G459" t="s">
        <v>22</v>
      </c>
      <c r="H459" t="s">
        <v>22</v>
      </c>
      <c r="I459" t="s">
        <v>910</v>
      </c>
    </row>
    <row r="460" spans="1:9" ht="11.25" customHeight="1">
      <c r="A460" t="s">
        <v>2383</v>
      </c>
      <c r="B460" t="s">
        <v>16</v>
      </c>
      <c r="C460" s="1030" t="s">
        <v>2575</v>
      </c>
      <c r="D460" s="1030" t="s">
        <v>2576</v>
      </c>
      <c r="E460" t="s">
        <v>2577</v>
      </c>
      <c r="F460" t="s">
        <v>2399</v>
      </c>
      <c r="G460" t="s">
        <v>22</v>
      </c>
      <c r="H460" t="s">
        <v>22</v>
      </c>
      <c r="I460" t="s">
        <v>910</v>
      </c>
    </row>
    <row r="461" spans="1:9" ht="11.25" customHeight="1">
      <c r="A461" t="s">
        <v>2383</v>
      </c>
      <c r="B461" t="s">
        <v>16</v>
      </c>
      <c r="C461" s="1030" t="s">
        <v>2578</v>
      </c>
      <c r="D461" s="1030" t="s">
        <v>2579</v>
      </c>
      <c r="E461" t="s">
        <v>2580</v>
      </c>
      <c r="F461" t="s">
        <v>2574</v>
      </c>
      <c r="G461" t="s">
        <v>22</v>
      </c>
      <c r="H461" t="s">
        <v>22</v>
      </c>
      <c r="I461" t="s">
        <v>910</v>
      </c>
    </row>
    <row r="462" spans="1:9" ht="11.25" customHeight="1">
      <c r="A462" t="s">
        <v>2383</v>
      </c>
      <c r="B462" t="s">
        <v>16</v>
      </c>
      <c r="C462" s="1030" t="s">
        <v>2589</v>
      </c>
      <c r="D462" s="1030" t="s">
        <v>2590</v>
      </c>
      <c r="E462" t="s">
        <v>2591</v>
      </c>
      <c r="F462" t="s">
        <v>50</v>
      </c>
      <c r="G462" t="s">
        <v>22</v>
      </c>
      <c r="H462" t="s">
        <v>22</v>
      </c>
      <c r="I462" t="s">
        <v>910</v>
      </c>
    </row>
    <row r="463" spans="1:9" ht="11.25" customHeight="1">
      <c r="A463" t="s">
        <v>2383</v>
      </c>
      <c r="B463" t="s">
        <v>16</v>
      </c>
      <c r="C463" s="1030" t="s">
        <v>2597</v>
      </c>
      <c r="D463" s="1030" t="s">
        <v>2598</v>
      </c>
      <c r="E463" t="s">
        <v>2599</v>
      </c>
      <c r="F463" t="s">
        <v>2425</v>
      </c>
      <c r="G463" t="s">
        <v>2600</v>
      </c>
      <c r="H463" t="s">
        <v>22</v>
      </c>
      <c r="I463" t="s">
        <v>910</v>
      </c>
    </row>
    <row r="464" spans="1:9" ht="11.25" customHeight="1">
      <c r="A464" t="s">
        <v>2383</v>
      </c>
      <c r="B464" t="s">
        <v>16</v>
      </c>
      <c r="C464" s="1030" t="s">
        <v>2604</v>
      </c>
      <c r="D464" s="1030" t="s">
        <v>2605</v>
      </c>
      <c r="E464" t="s">
        <v>2606</v>
      </c>
      <c r="F464" t="s">
        <v>2404</v>
      </c>
      <c r="G464" t="s">
        <v>2607</v>
      </c>
      <c r="H464" t="s">
        <v>22</v>
      </c>
      <c r="I464" t="s">
        <v>910</v>
      </c>
    </row>
    <row r="465" spans="1:9" ht="11.25" customHeight="1">
      <c r="A465" t="s">
        <v>2383</v>
      </c>
      <c r="B465" t="s">
        <v>16</v>
      </c>
      <c r="C465" s="1030" t="s">
        <v>2619</v>
      </c>
      <c r="D465" s="1030" t="s">
        <v>2620</v>
      </c>
      <c r="E465" t="s">
        <v>2524</v>
      </c>
      <c r="F465" t="s">
        <v>2621</v>
      </c>
      <c r="G465" t="s">
        <v>22</v>
      </c>
      <c r="H465" t="s">
        <v>22</v>
      </c>
      <c r="I465" t="s">
        <v>910</v>
      </c>
    </row>
    <row r="466" spans="1:9" ht="11.25" customHeight="1">
      <c r="A466" t="s">
        <v>2383</v>
      </c>
      <c r="B466" t="s">
        <v>16</v>
      </c>
      <c r="C466" s="1030" t="s">
        <v>2635</v>
      </c>
      <c r="D466" s="1030" t="s">
        <v>2636</v>
      </c>
      <c r="E466" t="s">
        <v>2637</v>
      </c>
      <c r="F466" t="s">
        <v>2638</v>
      </c>
      <c r="G466" t="s">
        <v>22</v>
      </c>
      <c r="H466" t="s">
        <v>22</v>
      </c>
      <c r="I466" t="s">
        <v>910</v>
      </c>
    </row>
    <row r="467" spans="1:9" ht="11.25" customHeight="1">
      <c r="A467" t="s">
        <v>2383</v>
      </c>
      <c r="B467" t="s">
        <v>16</v>
      </c>
      <c r="C467" s="1030" t="s">
        <v>2662</v>
      </c>
      <c r="D467" s="1030" t="s">
        <v>2663</v>
      </c>
      <c r="E467" t="s">
        <v>2664</v>
      </c>
      <c r="F467" t="s">
        <v>2665</v>
      </c>
      <c r="G467" t="s">
        <v>22</v>
      </c>
      <c r="H467" t="s">
        <v>22</v>
      </c>
      <c r="I467" t="s">
        <v>910</v>
      </c>
    </row>
    <row r="468" spans="1:9" ht="11.25" customHeight="1">
      <c r="A468" t="s">
        <v>2383</v>
      </c>
      <c r="B468" t="s">
        <v>16</v>
      </c>
      <c r="C468" s="1030" t="s">
        <v>2669</v>
      </c>
      <c r="D468" s="1030" t="s">
        <v>2670</v>
      </c>
      <c r="E468" t="s">
        <v>2671</v>
      </c>
      <c r="F468" t="s">
        <v>2672</v>
      </c>
      <c r="G468" t="s">
        <v>22</v>
      </c>
      <c r="H468" t="s">
        <v>22</v>
      </c>
      <c r="I468" t="s">
        <v>910</v>
      </c>
    </row>
    <row r="469" spans="1:9" ht="11.25" customHeight="1">
      <c r="A469" t="s">
        <v>2383</v>
      </c>
      <c r="B469" t="s">
        <v>16</v>
      </c>
      <c r="C469" s="1030" t="s">
        <v>2673</v>
      </c>
      <c r="D469" s="1030" t="s">
        <v>2674</v>
      </c>
      <c r="E469" t="s">
        <v>2675</v>
      </c>
      <c r="F469" t="s">
        <v>2425</v>
      </c>
      <c r="G469" t="s">
        <v>22</v>
      </c>
      <c r="H469" t="s">
        <v>22</v>
      </c>
      <c r="I469" t="s">
        <v>910</v>
      </c>
    </row>
    <row r="470" spans="1:9" ht="11.25" customHeight="1">
      <c r="A470" t="s">
        <v>2383</v>
      </c>
      <c r="B470" t="s">
        <v>16</v>
      </c>
      <c r="C470" s="1030" t="s">
        <v>2682</v>
      </c>
      <c r="D470" s="1030" t="s">
        <v>2683</v>
      </c>
      <c r="E470" t="s">
        <v>2684</v>
      </c>
      <c r="F470" t="s">
        <v>2451</v>
      </c>
      <c r="G470" t="s">
        <v>22</v>
      </c>
      <c r="H470" t="s">
        <v>22</v>
      </c>
      <c r="I470" t="s">
        <v>910</v>
      </c>
    </row>
    <row r="471" spans="1:9" ht="11.25" customHeight="1">
      <c r="A471" t="s">
        <v>2383</v>
      </c>
      <c r="B471" t="s">
        <v>16</v>
      </c>
      <c r="C471" s="1030" t="s">
        <v>2695</v>
      </c>
      <c r="D471" s="1030" t="s">
        <v>2696</v>
      </c>
      <c r="E471" t="s">
        <v>2697</v>
      </c>
      <c r="F471" t="s">
        <v>2698</v>
      </c>
      <c r="G471" t="s">
        <v>22</v>
      </c>
      <c r="H471" t="s">
        <v>22</v>
      </c>
      <c r="I471" t="s">
        <v>910</v>
      </c>
    </row>
    <row r="472" spans="1:9" ht="11.25" customHeight="1">
      <c r="A472" t="s">
        <v>2383</v>
      </c>
      <c r="B472" t="s">
        <v>16</v>
      </c>
      <c r="C472" s="1030" t="s">
        <v>2788</v>
      </c>
      <c r="D472" s="1030" t="s">
        <v>2789</v>
      </c>
      <c r="E472" t="s">
        <v>2790</v>
      </c>
      <c r="F472" t="s">
        <v>2510</v>
      </c>
      <c r="G472" t="s">
        <v>22</v>
      </c>
      <c r="H472" t="s">
        <v>22</v>
      </c>
      <c r="I472" t="s">
        <v>910</v>
      </c>
    </row>
    <row r="473" spans="1:9" ht="11.25" customHeight="1">
      <c r="A473" t="s">
        <v>2383</v>
      </c>
      <c r="B473" t="s">
        <v>16</v>
      </c>
      <c r="C473" s="1030" t="s">
        <v>2794</v>
      </c>
      <c r="D473" s="1030" t="s">
        <v>2795</v>
      </c>
      <c r="E473" t="s">
        <v>2796</v>
      </c>
      <c r="F473" t="s">
        <v>2797</v>
      </c>
      <c r="G473" t="s">
        <v>22</v>
      </c>
      <c r="H473" t="s">
        <v>22</v>
      </c>
      <c r="I473" t="s">
        <v>910</v>
      </c>
    </row>
    <row r="474" spans="1:9" ht="11.25" customHeight="1">
      <c r="A474" t="s">
        <v>2383</v>
      </c>
      <c r="B474" t="s">
        <v>16</v>
      </c>
      <c r="C474" s="1030" t="s">
        <v>2798</v>
      </c>
      <c r="D474" s="1030" t="s">
        <v>2799</v>
      </c>
      <c r="E474" t="s">
        <v>2800</v>
      </c>
      <c r="F474" t="s">
        <v>2414</v>
      </c>
      <c r="G474" t="s">
        <v>22</v>
      </c>
      <c r="H474" t="s">
        <v>22</v>
      </c>
      <c r="I474" t="s">
        <v>910</v>
      </c>
    </row>
    <row r="475" spans="1:9" ht="11.25" customHeight="1">
      <c r="A475" t="s">
        <v>2383</v>
      </c>
      <c r="B475" t="s">
        <v>16</v>
      </c>
      <c r="C475" s="1030" t="s">
        <v>2804</v>
      </c>
      <c r="D475" s="1030" t="s">
        <v>2805</v>
      </c>
      <c r="E475" t="s">
        <v>2806</v>
      </c>
      <c r="F475" t="s">
        <v>2797</v>
      </c>
      <c r="G475" t="s">
        <v>22</v>
      </c>
      <c r="H475" t="s">
        <v>22</v>
      </c>
      <c r="I475" t="s">
        <v>910</v>
      </c>
    </row>
    <row r="476" spans="1:9" ht="11.25" customHeight="1">
      <c r="A476" t="s">
        <v>2383</v>
      </c>
      <c r="B476" t="s">
        <v>16</v>
      </c>
      <c r="C476" s="1030" t="s">
        <v>2807</v>
      </c>
      <c r="D476" s="1030" t="s">
        <v>2808</v>
      </c>
      <c r="E476" t="s">
        <v>2809</v>
      </c>
      <c r="F476" t="s">
        <v>2810</v>
      </c>
      <c r="G476" t="s">
        <v>22</v>
      </c>
      <c r="H476" t="s">
        <v>22</v>
      </c>
      <c r="I476" t="s">
        <v>910</v>
      </c>
    </row>
    <row r="477" spans="1:9" ht="11.25" customHeight="1">
      <c r="A477" t="s">
        <v>2383</v>
      </c>
      <c r="B477" t="s">
        <v>16</v>
      </c>
      <c r="C477" s="1030" t="s">
        <v>2814</v>
      </c>
      <c r="D477" s="1030" t="s">
        <v>2815</v>
      </c>
      <c r="E477" t="s">
        <v>2816</v>
      </c>
      <c r="F477" t="s">
        <v>2817</v>
      </c>
      <c r="G477" t="s">
        <v>2818</v>
      </c>
      <c r="H477" t="s">
        <v>22</v>
      </c>
      <c r="I477" t="s">
        <v>910</v>
      </c>
    </row>
    <row r="478" spans="1:9" ht="11.25" customHeight="1">
      <c r="A478" t="s">
        <v>2383</v>
      </c>
      <c r="B478" t="s">
        <v>16</v>
      </c>
      <c r="C478" s="1030" t="s">
        <v>2819</v>
      </c>
      <c r="D478" s="1030" t="s">
        <v>2820</v>
      </c>
      <c r="E478" t="s">
        <v>2821</v>
      </c>
      <c r="F478" t="s">
        <v>2387</v>
      </c>
      <c r="G478" t="s">
        <v>22</v>
      </c>
      <c r="H478" t="s">
        <v>22</v>
      </c>
      <c r="I478" t="s">
        <v>910</v>
      </c>
    </row>
    <row r="479" spans="1:9" ht="11.25" customHeight="1">
      <c r="A479" t="s">
        <v>2383</v>
      </c>
      <c r="B479" t="s">
        <v>16</v>
      </c>
      <c r="C479" s="1030" t="s">
        <v>2829</v>
      </c>
      <c r="D479" s="1030" t="s">
        <v>2830</v>
      </c>
      <c r="E479" t="s">
        <v>2831</v>
      </c>
      <c r="F479" t="s">
        <v>2432</v>
      </c>
      <c r="G479" t="s">
        <v>22</v>
      </c>
      <c r="H479" t="s">
        <v>22</v>
      </c>
      <c r="I479" t="s">
        <v>910</v>
      </c>
    </row>
    <row r="480" spans="1:9" ht="11.25" customHeight="1">
      <c r="A480" t="s">
        <v>2383</v>
      </c>
      <c r="B480" t="s">
        <v>16</v>
      </c>
      <c r="C480" s="1030" t="s">
        <v>2853</v>
      </c>
      <c r="D480" s="1030" t="s">
        <v>2854</v>
      </c>
      <c r="E480" t="s">
        <v>2855</v>
      </c>
      <c r="F480" t="s">
        <v>2447</v>
      </c>
      <c r="G480" t="s">
        <v>22</v>
      </c>
      <c r="H480" t="s">
        <v>22</v>
      </c>
      <c r="I480" t="s">
        <v>910</v>
      </c>
    </row>
    <row r="481" spans="1:9" ht="11.25" customHeight="1">
      <c r="A481" t="s">
        <v>2383</v>
      </c>
      <c r="B481" t="s">
        <v>16</v>
      </c>
      <c r="C481" s="1030" t="s">
        <v>2859</v>
      </c>
      <c r="D481" s="1030" t="s">
        <v>2860</v>
      </c>
      <c r="E481" t="s">
        <v>2861</v>
      </c>
      <c r="F481" t="s">
        <v>2665</v>
      </c>
      <c r="G481" t="s">
        <v>22</v>
      </c>
      <c r="H481" t="s">
        <v>22</v>
      </c>
      <c r="I481" t="s">
        <v>910</v>
      </c>
    </row>
    <row r="482" spans="1:9" ht="11.25" customHeight="1">
      <c r="A482" t="s">
        <v>2383</v>
      </c>
      <c r="B482" t="s">
        <v>16</v>
      </c>
      <c r="C482" s="1030" t="s">
        <v>2865</v>
      </c>
      <c r="D482" s="1030" t="s">
        <v>2866</v>
      </c>
      <c r="E482" t="s">
        <v>2867</v>
      </c>
      <c r="F482" t="s">
        <v>2817</v>
      </c>
      <c r="G482" t="s">
        <v>22</v>
      </c>
      <c r="H482" t="s">
        <v>22</v>
      </c>
      <c r="I482" t="s">
        <v>910</v>
      </c>
    </row>
    <row r="483" spans="1:9" ht="11.25" customHeight="1">
      <c r="A483" t="s">
        <v>2383</v>
      </c>
      <c r="B483" t="s">
        <v>16</v>
      </c>
      <c r="C483" s="1030" t="s">
        <v>2880</v>
      </c>
      <c r="D483" s="1030" t="s">
        <v>2881</v>
      </c>
      <c r="E483" t="s">
        <v>2882</v>
      </c>
      <c r="F483" t="s">
        <v>2482</v>
      </c>
      <c r="G483" t="s">
        <v>22</v>
      </c>
      <c r="H483" t="s">
        <v>22</v>
      </c>
      <c r="I483" t="s">
        <v>910</v>
      </c>
    </row>
    <row r="484" spans="1:9" ht="11.25" customHeight="1">
      <c r="A484" t="s">
        <v>2383</v>
      </c>
      <c r="B484" t="s">
        <v>16</v>
      </c>
      <c r="C484" s="1030" t="s">
        <v>2886</v>
      </c>
      <c r="D484" s="1030" t="s">
        <v>2887</v>
      </c>
      <c r="E484" t="s">
        <v>2888</v>
      </c>
      <c r="F484" t="s">
        <v>2889</v>
      </c>
      <c r="G484" t="s">
        <v>22</v>
      </c>
      <c r="H484" t="s">
        <v>22</v>
      </c>
      <c r="I484" t="s">
        <v>910</v>
      </c>
    </row>
    <row r="485" spans="1:9" ht="11.25" customHeight="1">
      <c r="A485" t="s">
        <v>2383</v>
      </c>
      <c r="B485" t="s">
        <v>16</v>
      </c>
      <c r="C485" s="1030" t="s">
        <v>2893</v>
      </c>
      <c r="D485" s="1030" t="s">
        <v>2894</v>
      </c>
      <c r="E485" t="s">
        <v>2895</v>
      </c>
      <c r="F485" t="s">
        <v>2896</v>
      </c>
      <c r="G485" t="s">
        <v>22</v>
      </c>
      <c r="H485" t="s">
        <v>22</v>
      </c>
      <c r="I485" t="s">
        <v>910</v>
      </c>
    </row>
    <row r="486" spans="1:9" ht="11.25" customHeight="1">
      <c r="A486" t="s">
        <v>2383</v>
      </c>
      <c r="B486" t="s">
        <v>16</v>
      </c>
      <c r="C486" s="1030" t="s">
        <v>2897</v>
      </c>
      <c r="D486" s="1030" t="s">
        <v>2898</v>
      </c>
      <c r="E486" t="s">
        <v>2899</v>
      </c>
      <c r="F486" t="s">
        <v>2638</v>
      </c>
      <c r="G486" t="s">
        <v>22</v>
      </c>
      <c r="H486" t="s">
        <v>22</v>
      </c>
      <c r="I486" t="s">
        <v>910</v>
      </c>
    </row>
    <row r="487" spans="1:9" ht="11.25" customHeight="1">
      <c r="A487" t="s">
        <v>2383</v>
      </c>
      <c r="B487" t="s">
        <v>16</v>
      </c>
      <c r="C487" s="1030" t="s">
        <v>2910</v>
      </c>
      <c r="D487" s="1030" t="s">
        <v>2911</v>
      </c>
      <c r="E487" t="s">
        <v>2912</v>
      </c>
      <c r="F487" t="s">
        <v>2665</v>
      </c>
      <c r="G487" t="s">
        <v>22</v>
      </c>
      <c r="H487" t="s">
        <v>22</v>
      </c>
      <c r="I487" t="s">
        <v>910</v>
      </c>
    </row>
    <row r="488" spans="1:9" ht="11.25" customHeight="1">
      <c r="A488" t="s">
        <v>2383</v>
      </c>
      <c r="B488" t="s">
        <v>16</v>
      </c>
      <c r="C488" s="1030" t="s">
        <v>2913</v>
      </c>
      <c r="D488" s="1030" t="s">
        <v>2914</v>
      </c>
      <c r="E488" t="s">
        <v>2915</v>
      </c>
      <c r="F488" t="s">
        <v>2404</v>
      </c>
      <c r="G488" t="s">
        <v>22</v>
      </c>
      <c r="H488" t="s">
        <v>22</v>
      </c>
      <c r="I488" t="s">
        <v>910</v>
      </c>
    </row>
    <row r="489" spans="1:9" ht="11.25" customHeight="1">
      <c r="A489" t="s">
        <v>2383</v>
      </c>
      <c r="B489" t="s">
        <v>16</v>
      </c>
      <c r="C489" s="1030" t="s">
        <v>2919</v>
      </c>
      <c r="D489" s="1030" t="s">
        <v>2920</v>
      </c>
      <c r="E489" t="s">
        <v>2921</v>
      </c>
      <c r="F489" t="s">
        <v>2482</v>
      </c>
      <c r="G489" t="s">
        <v>22</v>
      </c>
      <c r="H489" t="s">
        <v>22</v>
      </c>
      <c r="I489" t="s">
        <v>910</v>
      </c>
    </row>
    <row r="490" spans="1:9" ht="11.25" customHeight="1">
      <c r="A490" t="s">
        <v>2383</v>
      </c>
      <c r="B490" t="s">
        <v>16</v>
      </c>
      <c r="C490" s="1030" t="s">
        <v>2940</v>
      </c>
      <c r="D490" s="1030" t="s">
        <v>2941</v>
      </c>
      <c r="E490" t="s">
        <v>2942</v>
      </c>
      <c r="F490" t="s">
        <v>2817</v>
      </c>
      <c r="G490" t="s">
        <v>22</v>
      </c>
      <c r="H490" t="s">
        <v>22</v>
      </c>
      <c r="I490" t="s">
        <v>910</v>
      </c>
    </row>
    <row r="491" spans="1:9" ht="11.25" customHeight="1">
      <c r="A491" t="s">
        <v>2383</v>
      </c>
      <c r="B491" t="s">
        <v>16</v>
      </c>
      <c r="C491" s="1030" t="s">
        <v>2943</v>
      </c>
      <c r="D491" s="1030" t="s">
        <v>2944</v>
      </c>
      <c r="E491" t="s">
        <v>2945</v>
      </c>
      <c r="F491" t="s">
        <v>2946</v>
      </c>
      <c r="G491" t="s">
        <v>22</v>
      </c>
      <c r="H491" t="s">
        <v>22</v>
      </c>
      <c r="I491" t="s">
        <v>910</v>
      </c>
    </row>
    <row r="492" spans="1:9" ht="11.25" customHeight="1">
      <c r="A492" t="s">
        <v>2383</v>
      </c>
      <c r="B492" t="s">
        <v>16</v>
      </c>
      <c r="C492" s="1030" t="s">
        <v>2947</v>
      </c>
      <c r="D492" s="1030" t="s">
        <v>2948</v>
      </c>
      <c r="E492" t="s">
        <v>2949</v>
      </c>
      <c r="F492" t="s">
        <v>2440</v>
      </c>
      <c r="G492" t="s">
        <v>22</v>
      </c>
      <c r="H492" t="s">
        <v>22</v>
      </c>
      <c r="I492" t="s">
        <v>910</v>
      </c>
    </row>
    <row r="493" spans="1:9" ht="11.25" customHeight="1">
      <c r="A493" t="s">
        <v>2383</v>
      </c>
      <c r="B493" t="s">
        <v>16</v>
      </c>
      <c r="C493" s="1030" t="s">
        <v>2954</v>
      </c>
      <c r="D493" s="1030" t="s">
        <v>2955</v>
      </c>
      <c r="E493" t="s">
        <v>2956</v>
      </c>
      <c r="F493" t="s">
        <v>2817</v>
      </c>
      <c r="G493" t="s">
        <v>22</v>
      </c>
      <c r="H493" t="s">
        <v>22</v>
      </c>
      <c r="I493" t="s">
        <v>910</v>
      </c>
    </row>
    <row r="494" spans="1:9" ht="11.25" customHeight="1">
      <c r="A494" t="s">
        <v>2383</v>
      </c>
      <c r="B494" t="s">
        <v>16</v>
      </c>
      <c r="C494" s="1030" t="s">
        <v>2957</v>
      </c>
      <c r="D494" s="1030" t="s">
        <v>2958</v>
      </c>
      <c r="E494" t="s">
        <v>2959</v>
      </c>
      <c r="F494" t="s">
        <v>2672</v>
      </c>
      <c r="G494" t="s">
        <v>22</v>
      </c>
      <c r="H494" t="s">
        <v>22</v>
      </c>
      <c r="I494" t="s">
        <v>910</v>
      </c>
    </row>
    <row r="495" spans="1:9" ht="11.25" customHeight="1">
      <c r="A495" t="s">
        <v>2383</v>
      </c>
      <c r="B495" t="s">
        <v>16</v>
      </c>
      <c r="C495" s="1030" t="s">
        <v>2960</v>
      </c>
      <c r="D495" s="1030" t="s">
        <v>2961</v>
      </c>
      <c r="E495" t="s">
        <v>2962</v>
      </c>
      <c r="F495" t="s">
        <v>2835</v>
      </c>
      <c r="G495" t="s">
        <v>22</v>
      </c>
      <c r="H495" t="s">
        <v>22</v>
      </c>
      <c r="I495" t="s">
        <v>910</v>
      </c>
    </row>
    <row r="496" spans="1:9" ht="11.25" customHeight="1">
      <c r="A496" t="s">
        <v>2383</v>
      </c>
      <c r="B496" t="s">
        <v>16</v>
      </c>
      <c r="C496" s="1030" t="s">
        <v>2970</v>
      </c>
      <c r="D496" s="1030" t="s">
        <v>2971</v>
      </c>
      <c r="E496" t="s">
        <v>2972</v>
      </c>
      <c r="F496" t="s">
        <v>2973</v>
      </c>
      <c r="G496" t="s">
        <v>22</v>
      </c>
      <c r="H496" t="s">
        <v>22</v>
      </c>
      <c r="I496" t="s">
        <v>910</v>
      </c>
    </row>
    <row r="497" spans="1:9" ht="11.25" customHeight="1">
      <c r="A497" t="s">
        <v>2383</v>
      </c>
      <c r="B497" t="s">
        <v>16</v>
      </c>
      <c r="C497" s="1030" t="s">
        <v>2974</v>
      </c>
      <c r="D497" s="1030" t="s">
        <v>2975</v>
      </c>
      <c r="E497" t="s">
        <v>2976</v>
      </c>
      <c r="F497" t="s">
        <v>2451</v>
      </c>
      <c r="G497" t="s">
        <v>22</v>
      </c>
      <c r="H497" t="s">
        <v>22</v>
      </c>
      <c r="I497" t="s">
        <v>910</v>
      </c>
    </row>
    <row r="498" spans="1:9" ht="11.25" customHeight="1">
      <c r="A498" t="s">
        <v>2383</v>
      </c>
      <c r="B498" t="s">
        <v>16</v>
      </c>
      <c r="C498" s="1030" t="s">
        <v>2977</v>
      </c>
      <c r="D498" s="1030" t="s">
        <v>2978</v>
      </c>
      <c r="E498" t="s">
        <v>2979</v>
      </c>
      <c r="F498" t="s">
        <v>2649</v>
      </c>
      <c r="G498" t="s">
        <v>22</v>
      </c>
      <c r="H498" t="s">
        <v>22</v>
      </c>
      <c r="I498" t="s">
        <v>910</v>
      </c>
    </row>
    <row r="499" spans="1:9" ht="11.25" customHeight="1">
      <c r="A499" t="s">
        <v>2383</v>
      </c>
      <c r="B499" t="s">
        <v>16</v>
      </c>
      <c r="C499" s="1030" t="s">
        <v>2980</v>
      </c>
      <c r="D499" s="1030" t="s">
        <v>2981</v>
      </c>
      <c r="E499" t="s">
        <v>2982</v>
      </c>
      <c r="F499" t="s">
        <v>2769</v>
      </c>
      <c r="G499" t="s">
        <v>2983</v>
      </c>
      <c r="H499" t="s">
        <v>22</v>
      </c>
      <c r="I499" t="s">
        <v>910</v>
      </c>
    </row>
    <row r="500" spans="1:9" ht="11.25" customHeight="1">
      <c r="A500" t="s">
        <v>2383</v>
      </c>
      <c r="B500" t="s">
        <v>16</v>
      </c>
      <c r="C500" s="1030" t="s">
        <v>2984</v>
      </c>
      <c r="D500" s="1030" t="s">
        <v>2985</v>
      </c>
      <c r="E500" t="s">
        <v>2986</v>
      </c>
      <c r="F500" t="s">
        <v>2828</v>
      </c>
      <c r="G500" t="s">
        <v>22</v>
      </c>
      <c r="H500" t="s">
        <v>22</v>
      </c>
      <c r="I500" t="s">
        <v>910</v>
      </c>
    </row>
    <row r="501" spans="1:9" ht="11.25" customHeight="1">
      <c r="A501" t="s">
        <v>2383</v>
      </c>
      <c r="B501" t="s">
        <v>16</v>
      </c>
      <c r="C501" s="1030" t="s">
        <v>3001</v>
      </c>
      <c r="D501" s="1030" t="s">
        <v>3002</v>
      </c>
      <c r="E501" t="s">
        <v>3003</v>
      </c>
      <c r="F501" t="s">
        <v>2665</v>
      </c>
      <c r="G501" t="s">
        <v>3004</v>
      </c>
      <c r="H501" t="s">
        <v>22</v>
      </c>
      <c r="I501" t="s">
        <v>910</v>
      </c>
    </row>
    <row r="502" spans="1:9" ht="11.25" customHeight="1">
      <c r="A502" t="s">
        <v>2383</v>
      </c>
      <c r="B502" t="s">
        <v>16</v>
      </c>
      <c r="C502" s="1030" t="s">
        <v>3005</v>
      </c>
      <c r="D502" s="1030" t="s">
        <v>3006</v>
      </c>
      <c r="E502" t="s">
        <v>3007</v>
      </c>
      <c r="F502" t="s">
        <v>2665</v>
      </c>
      <c r="G502" t="s">
        <v>22</v>
      </c>
      <c r="H502" t="s">
        <v>22</v>
      </c>
      <c r="I502" t="s">
        <v>910</v>
      </c>
    </row>
    <row r="503" spans="1:9" ht="11.25" customHeight="1">
      <c r="A503" t="s">
        <v>2383</v>
      </c>
      <c r="B503" t="s">
        <v>16</v>
      </c>
      <c r="C503" s="1030" t="s">
        <v>3044</v>
      </c>
      <c r="D503" s="1030" t="s">
        <v>3045</v>
      </c>
      <c r="E503" t="s">
        <v>2624</v>
      </c>
      <c r="F503" t="s">
        <v>2688</v>
      </c>
      <c r="G503" t="s">
        <v>22</v>
      </c>
      <c r="H503" t="s">
        <v>22</v>
      </c>
      <c r="I503" t="s">
        <v>910</v>
      </c>
    </row>
    <row r="504" spans="1:9" ht="11.25" customHeight="1">
      <c r="A504" t="s">
        <v>2383</v>
      </c>
      <c r="B504" t="s">
        <v>16</v>
      </c>
      <c r="C504" s="1030" t="s">
        <v>3090</v>
      </c>
      <c r="D504" s="1030" t="s">
        <v>3091</v>
      </c>
      <c r="E504" t="s">
        <v>3092</v>
      </c>
      <c r="F504" t="s">
        <v>2506</v>
      </c>
      <c r="G504" t="s">
        <v>22</v>
      </c>
      <c r="H504" t="s">
        <v>22</v>
      </c>
      <c r="I504" t="s">
        <v>910</v>
      </c>
    </row>
    <row r="505" spans="1:9" ht="11.25" customHeight="1">
      <c r="A505" t="s">
        <v>2383</v>
      </c>
      <c r="B505" t="s">
        <v>16</v>
      </c>
      <c r="C505" s="1030" t="s">
        <v>3122</v>
      </c>
      <c r="D505" s="1030" t="s">
        <v>3123</v>
      </c>
      <c r="E505" t="s">
        <v>3124</v>
      </c>
      <c r="F505" t="s">
        <v>2797</v>
      </c>
      <c r="G505" t="s">
        <v>22</v>
      </c>
      <c r="H505" t="s">
        <v>22</v>
      </c>
      <c r="I505" t="s">
        <v>910</v>
      </c>
    </row>
    <row r="506" spans="1:9" ht="11.25" customHeight="1">
      <c r="A506" t="s">
        <v>2383</v>
      </c>
      <c r="B506" t="s">
        <v>16</v>
      </c>
      <c r="C506" s="1030" t="s">
        <v>3125</v>
      </c>
      <c r="D506" s="1030" t="s">
        <v>3126</v>
      </c>
      <c r="E506" t="s">
        <v>2697</v>
      </c>
      <c r="F506" t="s">
        <v>3127</v>
      </c>
      <c r="G506" t="s">
        <v>22</v>
      </c>
      <c r="H506" t="s">
        <v>22</v>
      </c>
      <c r="I506" t="s">
        <v>910</v>
      </c>
    </row>
    <row r="507" spans="1:9" ht="11.25" customHeight="1">
      <c r="A507" t="s">
        <v>2383</v>
      </c>
      <c r="B507" t="s">
        <v>16</v>
      </c>
      <c r="C507" s="1030" t="s">
        <v>3131</v>
      </c>
      <c r="D507" s="1030" t="s">
        <v>3132</v>
      </c>
      <c r="E507" t="s">
        <v>3133</v>
      </c>
      <c r="F507" t="s">
        <v>2404</v>
      </c>
      <c r="G507" t="s">
        <v>22</v>
      </c>
      <c r="H507" t="s">
        <v>22</v>
      </c>
      <c r="I507" t="s">
        <v>910</v>
      </c>
    </row>
    <row r="508" spans="1:9" ht="11.25" customHeight="1">
      <c r="A508" t="s">
        <v>2383</v>
      </c>
      <c r="B508" t="s">
        <v>16</v>
      </c>
      <c r="C508" s="1030" t="s">
        <v>3137</v>
      </c>
      <c r="D508" s="1030" t="s">
        <v>3138</v>
      </c>
      <c r="E508" t="s">
        <v>3139</v>
      </c>
      <c r="F508" t="s">
        <v>2391</v>
      </c>
      <c r="G508" t="s">
        <v>22</v>
      </c>
      <c r="H508" t="s">
        <v>22</v>
      </c>
      <c r="I508" t="s">
        <v>910</v>
      </c>
    </row>
    <row r="509" spans="1:9" ht="11.25" customHeight="1">
      <c r="A509" t="s">
        <v>2383</v>
      </c>
      <c r="B509" t="s">
        <v>16</v>
      </c>
      <c r="C509" s="1030" t="s">
        <v>3140</v>
      </c>
      <c r="D509" s="1030" t="s">
        <v>3141</v>
      </c>
      <c r="E509" t="s">
        <v>3142</v>
      </c>
      <c r="F509" t="s">
        <v>2649</v>
      </c>
      <c r="G509" t="s">
        <v>22</v>
      </c>
      <c r="H509" t="s">
        <v>22</v>
      </c>
      <c r="I509" t="s">
        <v>910</v>
      </c>
    </row>
    <row r="510" spans="1:9" ht="11.25" customHeight="1">
      <c r="A510" t="s">
        <v>2383</v>
      </c>
      <c r="B510" t="s">
        <v>16</v>
      </c>
      <c r="C510" s="1030" t="s">
        <v>3156</v>
      </c>
      <c r="D510" s="1030" t="s">
        <v>3157</v>
      </c>
      <c r="E510" t="s">
        <v>3158</v>
      </c>
      <c r="F510" t="s">
        <v>2425</v>
      </c>
      <c r="G510" t="s">
        <v>22</v>
      </c>
      <c r="H510" t="s">
        <v>22</v>
      </c>
      <c r="I510" t="s">
        <v>910</v>
      </c>
    </row>
    <row r="511" spans="1:9" ht="11.25" customHeight="1">
      <c r="A511" t="s">
        <v>2383</v>
      </c>
      <c r="B511" t="s">
        <v>16</v>
      </c>
      <c r="C511" s="1030" t="s">
        <v>3165</v>
      </c>
      <c r="D511" s="1030" t="s">
        <v>3166</v>
      </c>
      <c r="E511" t="s">
        <v>3167</v>
      </c>
      <c r="F511" t="s">
        <v>2391</v>
      </c>
      <c r="G511" t="s">
        <v>22</v>
      </c>
      <c r="H511" t="s">
        <v>22</v>
      </c>
      <c r="I511" t="s">
        <v>910</v>
      </c>
    </row>
    <row r="512" spans="1:9" ht="11.25" customHeight="1">
      <c r="A512" t="s">
        <v>2383</v>
      </c>
      <c r="B512" t="s">
        <v>16</v>
      </c>
      <c r="C512" s="1030" t="s">
        <v>3170</v>
      </c>
      <c r="D512" s="1030" t="s">
        <v>3171</v>
      </c>
      <c r="E512" t="s">
        <v>3172</v>
      </c>
      <c r="F512" t="s">
        <v>2506</v>
      </c>
      <c r="G512" t="s">
        <v>22</v>
      </c>
      <c r="H512" t="s">
        <v>22</v>
      </c>
      <c r="I512" t="s">
        <v>910</v>
      </c>
    </row>
    <row r="513" spans="1:9" ht="11.25" customHeight="1">
      <c r="A513" t="s">
        <v>2383</v>
      </c>
      <c r="B513" t="s">
        <v>16</v>
      </c>
      <c r="C513" s="1030" t="s">
        <v>3176</v>
      </c>
      <c r="D513" s="1030" t="s">
        <v>3177</v>
      </c>
      <c r="E513" t="s">
        <v>3178</v>
      </c>
      <c r="F513" t="s">
        <v>2414</v>
      </c>
      <c r="G513" t="s">
        <v>22</v>
      </c>
      <c r="H513" t="s">
        <v>22</v>
      </c>
      <c r="I513" t="s">
        <v>910</v>
      </c>
    </row>
    <row r="514" spans="1:9" ht="11.25" customHeight="1">
      <c r="A514" t="s">
        <v>2383</v>
      </c>
      <c r="B514" t="s">
        <v>16</v>
      </c>
      <c r="C514" s="1030" t="s">
        <v>3179</v>
      </c>
      <c r="D514" s="1030" t="s">
        <v>3180</v>
      </c>
      <c r="E514" t="s">
        <v>3181</v>
      </c>
      <c r="F514" t="s">
        <v>2414</v>
      </c>
      <c r="G514" t="s">
        <v>22</v>
      </c>
      <c r="H514" t="s">
        <v>22</v>
      </c>
      <c r="I514" t="s">
        <v>910</v>
      </c>
    </row>
    <row r="515" spans="1:9" ht="11.25" customHeight="1">
      <c r="A515" t="s">
        <v>2383</v>
      </c>
      <c r="B515" t="s">
        <v>16</v>
      </c>
      <c r="C515" s="1030" t="s">
        <v>3191</v>
      </c>
      <c r="D515" s="1030" t="s">
        <v>3192</v>
      </c>
      <c r="E515" t="s">
        <v>3193</v>
      </c>
      <c r="F515" t="s">
        <v>2414</v>
      </c>
      <c r="G515" t="s">
        <v>22</v>
      </c>
      <c r="H515" t="s">
        <v>22</v>
      </c>
      <c r="I515" t="s">
        <v>910</v>
      </c>
    </row>
    <row r="516" spans="1:9" ht="11.25" customHeight="1">
      <c r="A516" t="s">
        <v>2383</v>
      </c>
      <c r="B516" t="s">
        <v>16</v>
      </c>
      <c r="C516" s="1030" t="s">
        <v>3194</v>
      </c>
      <c r="D516" s="1030" t="s">
        <v>3195</v>
      </c>
      <c r="E516" t="s">
        <v>3196</v>
      </c>
      <c r="F516" t="s">
        <v>2414</v>
      </c>
      <c r="G516" t="s">
        <v>22</v>
      </c>
      <c r="H516" t="s">
        <v>22</v>
      </c>
      <c r="I516" t="s">
        <v>910</v>
      </c>
    </row>
    <row r="517" spans="1:9" ht="11.25" customHeight="1">
      <c r="A517" t="s">
        <v>2383</v>
      </c>
      <c r="B517" t="s">
        <v>16</v>
      </c>
      <c r="C517" s="1030" t="s">
        <v>3197</v>
      </c>
      <c r="D517" s="1030" t="s">
        <v>3198</v>
      </c>
      <c r="E517" t="s">
        <v>3199</v>
      </c>
      <c r="F517" t="s">
        <v>2414</v>
      </c>
      <c r="G517" t="s">
        <v>22</v>
      </c>
      <c r="H517" t="s">
        <v>22</v>
      </c>
      <c r="I517" t="s">
        <v>910</v>
      </c>
    </row>
    <row r="518" spans="1:9" ht="11.25" customHeight="1">
      <c r="A518" t="s">
        <v>2383</v>
      </c>
      <c r="B518" t="s">
        <v>16</v>
      </c>
      <c r="C518" s="1030" t="s">
        <v>3205</v>
      </c>
      <c r="D518" s="1030" t="s">
        <v>3206</v>
      </c>
      <c r="E518" t="s">
        <v>3207</v>
      </c>
      <c r="F518" t="s">
        <v>3208</v>
      </c>
      <c r="G518" t="s">
        <v>22</v>
      </c>
      <c r="H518" t="s">
        <v>22</v>
      </c>
      <c r="I518" t="s">
        <v>910</v>
      </c>
    </row>
    <row r="519" spans="1:9" ht="11.25" customHeight="1">
      <c r="A519" t="s">
        <v>2383</v>
      </c>
      <c r="B519" t="s">
        <v>16</v>
      </c>
      <c r="C519" s="1030" t="s">
        <v>3215</v>
      </c>
      <c r="D519" s="1030" t="s">
        <v>3216</v>
      </c>
      <c r="E519" t="s">
        <v>3217</v>
      </c>
      <c r="F519" t="s">
        <v>2432</v>
      </c>
      <c r="G519" t="s">
        <v>22</v>
      </c>
      <c r="H519" t="s">
        <v>22</v>
      </c>
      <c r="I519" t="s">
        <v>910</v>
      </c>
    </row>
    <row r="520" spans="1:9" ht="11.25" customHeight="1">
      <c r="A520" t="s">
        <v>2383</v>
      </c>
      <c r="B520" t="s">
        <v>16</v>
      </c>
      <c r="C520" s="1030" t="s">
        <v>3221</v>
      </c>
      <c r="D520" s="1030" t="s">
        <v>3222</v>
      </c>
      <c r="E520" t="s">
        <v>3223</v>
      </c>
      <c r="F520" t="s">
        <v>50</v>
      </c>
      <c r="G520" t="s">
        <v>3224</v>
      </c>
      <c r="H520" t="s">
        <v>22</v>
      </c>
      <c r="I520" t="s">
        <v>910</v>
      </c>
    </row>
    <row r="521" spans="1:9" ht="11.25" customHeight="1">
      <c r="A521" t="s">
        <v>2383</v>
      </c>
      <c r="B521" t="s">
        <v>16</v>
      </c>
      <c r="C521" s="1030" t="s">
        <v>3246</v>
      </c>
      <c r="D521" s="1030" t="s">
        <v>3247</v>
      </c>
      <c r="E521" t="s">
        <v>3248</v>
      </c>
      <c r="F521" t="s">
        <v>2611</v>
      </c>
      <c r="G521" t="s">
        <v>22</v>
      </c>
      <c r="H521" t="s">
        <v>22</v>
      </c>
      <c r="I521" t="s">
        <v>910</v>
      </c>
    </row>
    <row r="522" spans="1:9" ht="11.25" customHeight="1">
      <c r="A522" t="s">
        <v>2383</v>
      </c>
      <c r="B522" t="s">
        <v>16</v>
      </c>
      <c r="C522" s="1030" t="s">
        <v>3249</v>
      </c>
      <c r="D522" s="1030" t="s">
        <v>3250</v>
      </c>
      <c r="E522" t="s">
        <v>3251</v>
      </c>
      <c r="F522" t="s">
        <v>2451</v>
      </c>
      <c r="G522" t="s">
        <v>22</v>
      </c>
      <c r="H522" t="s">
        <v>22</v>
      </c>
      <c r="I522" t="s">
        <v>910</v>
      </c>
    </row>
    <row r="523" spans="1:9" ht="11.25" customHeight="1">
      <c r="A523" t="s">
        <v>2383</v>
      </c>
      <c r="B523" t="s">
        <v>16</v>
      </c>
      <c r="C523" s="1030" t="s">
        <v>3255</v>
      </c>
      <c r="D523" s="1030" t="s">
        <v>3256</v>
      </c>
      <c r="E523" t="s">
        <v>3257</v>
      </c>
      <c r="F523" t="s">
        <v>2391</v>
      </c>
      <c r="G523" t="s">
        <v>22</v>
      </c>
      <c r="H523" t="s">
        <v>22</v>
      </c>
      <c r="I523" t="s">
        <v>910</v>
      </c>
    </row>
    <row r="524" spans="1:9" ht="11.25" customHeight="1">
      <c r="A524" t="s">
        <v>2383</v>
      </c>
      <c r="B524" t="s">
        <v>16</v>
      </c>
      <c r="C524" s="1030" t="s">
        <v>3258</v>
      </c>
      <c r="D524" s="1030" t="s">
        <v>3259</v>
      </c>
      <c r="E524" t="s">
        <v>3260</v>
      </c>
      <c r="F524" t="s">
        <v>2391</v>
      </c>
      <c r="G524" t="s">
        <v>22</v>
      </c>
      <c r="H524" t="s">
        <v>22</v>
      </c>
      <c r="I524" t="s">
        <v>910</v>
      </c>
    </row>
    <row r="525" spans="1:9" ht="11.25" customHeight="1">
      <c r="A525" t="s">
        <v>2383</v>
      </c>
      <c r="B525" t="s">
        <v>16</v>
      </c>
      <c r="C525" s="1030" t="s">
        <v>3264</v>
      </c>
      <c r="D525" s="1030" t="s">
        <v>3265</v>
      </c>
      <c r="E525" t="s">
        <v>3266</v>
      </c>
      <c r="F525" t="s">
        <v>2447</v>
      </c>
      <c r="G525" t="s">
        <v>22</v>
      </c>
      <c r="H525" t="s">
        <v>22</v>
      </c>
      <c r="I525" t="s">
        <v>910</v>
      </c>
    </row>
    <row r="526" spans="1:9" ht="11.25" customHeight="1">
      <c r="A526" t="s">
        <v>2383</v>
      </c>
      <c r="B526" t="s">
        <v>16</v>
      </c>
      <c r="C526" s="1030" t="s">
        <v>3280</v>
      </c>
      <c r="D526" s="1030" t="s">
        <v>3281</v>
      </c>
      <c r="E526" t="s">
        <v>3282</v>
      </c>
      <c r="F526" t="s">
        <v>2399</v>
      </c>
      <c r="G526" t="s">
        <v>22</v>
      </c>
      <c r="H526" t="s">
        <v>22</v>
      </c>
      <c r="I526" t="s">
        <v>910</v>
      </c>
    </row>
    <row r="527" spans="1:9" ht="11.25" customHeight="1">
      <c r="A527" t="s">
        <v>2383</v>
      </c>
      <c r="B527" t="s">
        <v>16</v>
      </c>
      <c r="C527" s="1030" t="s">
        <v>3286</v>
      </c>
      <c r="D527" s="1030" t="s">
        <v>3287</v>
      </c>
      <c r="E527" t="s">
        <v>3288</v>
      </c>
      <c r="F527" t="s">
        <v>2414</v>
      </c>
      <c r="G527" t="s">
        <v>3289</v>
      </c>
      <c r="H527" t="s">
        <v>22</v>
      </c>
      <c r="I527" t="s">
        <v>910</v>
      </c>
    </row>
    <row r="528" spans="1:9" ht="11.25" customHeight="1">
      <c r="A528" t="s">
        <v>2383</v>
      </c>
      <c r="B528" t="s">
        <v>16</v>
      </c>
      <c r="C528" s="1030" t="s">
        <v>3290</v>
      </c>
      <c r="D528" s="1030" t="s">
        <v>3291</v>
      </c>
      <c r="E528" t="s">
        <v>3292</v>
      </c>
      <c r="F528" t="s">
        <v>2414</v>
      </c>
      <c r="G528" t="s">
        <v>22</v>
      </c>
      <c r="H528" t="s">
        <v>22</v>
      </c>
      <c r="I528" t="s">
        <v>910</v>
      </c>
    </row>
    <row r="529" spans="1:9" ht="11.25" customHeight="1">
      <c r="A529" t="s">
        <v>2383</v>
      </c>
      <c r="B529" t="s">
        <v>16</v>
      </c>
      <c r="C529" s="1030" t="s">
        <v>3293</v>
      </c>
      <c r="D529" s="1030" t="s">
        <v>3294</v>
      </c>
      <c r="E529" t="s">
        <v>3295</v>
      </c>
      <c r="F529" t="s">
        <v>3100</v>
      </c>
      <c r="G529" t="s">
        <v>22</v>
      </c>
      <c r="H529" t="s">
        <v>22</v>
      </c>
      <c r="I529" t="s">
        <v>910</v>
      </c>
    </row>
    <row r="530" spans="1:9" ht="11.25" customHeight="1">
      <c r="A530" t="s">
        <v>2383</v>
      </c>
      <c r="B530" t="s">
        <v>16</v>
      </c>
      <c r="C530" s="1030" t="s">
        <v>3296</v>
      </c>
      <c r="D530" s="1030" t="s">
        <v>3297</v>
      </c>
      <c r="E530" t="s">
        <v>3298</v>
      </c>
      <c r="F530" t="s">
        <v>2520</v>
      </c>
      <c r="G530" t="s">
        <v>22</v>
      </c>
      <c r="H530" t="s">
        <v>22</v>
      </c>
      <c r="I530" t="s">
        <v>910</v>
      </c>
    </row>
    <row r="531" spans="1:9" ht="11.25" customHeight="1">
      <c r="A531" t="s">
        <v>2383</v>
      </c>
      <c r="B531" t="s">
        <v>16</v>
      </c>
      <c r="C531" s="1030" t="s">
        <v>3305</v>
      </c>
      <c r="D531" s="1030" t="s">
        <v>3306</v>
      </c>
      <c r="E531" t="s">
        <v>3307</v>
      </c>
      <c r="F531" t="s">
        <v>2520</v>
      </c>
      <c r="G531" t="s">
        <v>3308</v>
      </c>
      <c r="H531" t="s">
        <v>22</v>
      </c>
      <c r="I531" t="s">
        <v>910</v>
      </c>
    </row>
    <row r="532" spans="1:9" ht="11.25" customHeight="1">
      <c r="A532" t="s">
        <v>2383</v>
      </c>
      <c r="B532" t="s">
        <v>16</v>
      </c>
      <c r="C532" s="1030" t="s">
        <v>3318</v>
      </c>
      <c r="D532" s="1030" t="s">
        <v>3319</v>
      </c>
      <c r="E532" t="s">
        <v>3320</v>
      </c>
      <c r="F532" t="s">
        <v>2896</v>
      </c>
      <c r="G532" t="s">
        <v>22</v>
      </c>
      <c r="H532" t="s">
        <v>22</v>
      </c>
      <c r="I532" t="s">
        <v>910</v>
      </c>
    </row>
    <row r="533" spans="1:9" ht="11.25" customHeight="1">
      <c r="A533" t="s">
        <v>2383</v>
      </c>
      <c r="B533" t="s">
        <v>16</v>
      </c>
      <c r="C533" s="1030" t="s">
        <v>3329</v>
      </c>
      <c r="D533" s="1030" t="s">
        <v>3330</v>
      </c>
      <c r="E533" t="s">
        <v>3331</v>
      </c>
      <c r="F533" t="s">
        <v>2520</v>
      </c>
      <c r="G533" t="s">
        <v>22</v>
      </c>
      <c r="H533" t="s">
        <v>22</v>
      </c>
      <c r="I533" t="s">
        <v>910</v>
      </c>
    </row>
    <row r="534" spans="1:9" ht="11.25" customHeight="1">
      <c r="A534" t="s">
        <v>2383</v>
      </c>
      <c r="B534" t="s">
        <v>16</v>
      </c>
      <c r="C534" s="1030" t="s">
        <v>3348</v>
      </c>
      <c r="D534" s="1030" t="s">
        <v>3349</v>
      </c>
      <c r="E534" t="s">
        <v>3350</v>
      </c>
      <c r="F534" t="s">
        <v>2946</v>
      </c>
      <c r="G534" t="s">
        <v>3351</v>
      </c>
      <c r="H534" t="s">
        <v>22</v>
      </c>
      <c r="I534" t="s">
        <v>910</v>
      </c>
    </row>
    <row r="535" spans="1:9" ht="11.25" customHeight="1">
      <c r="A535" t="s">
        <v>2383</v>
      </c>
      <c r="B535" t="s">
        <v>16</v>
      </c>
      <c r="C535" s="1030" t="s">
        <v>3352</v>
      </c>
      <c r="D535" s="1030" t="s">
        <v>3353</v>
      </c>
      <c r="E535" t="s">
        <v>3354</v>
      </c>
      <c r="F535" t="s">
        <v>2688</v>
      </c>
      <c r="G535" t="s">
        <v>3355</v>
      </c>
      <c r="H535" t="s">
        <v>22</v>
      </c>
      <c r="I535" t="s">
        <v>910</v>
      </c>
    </row>
    <row r="536" spans="1:9" ht="11.25" customHeight="1">
      <c r="A536" t="s">
        <v>2383</v>
      </c>
      <c r="B536" t="s">
        <v>16</v>
      </c>
      <c r="C536" s="1030" t="s">
        <v>3360</v>
      </c>
      <c r="D536" s="1030" t="s">
        <v>3361</v>
      </c>
      <c r="E536" t="s">
        <v>3362</v>
      </c>
      <c r="F536" t="s">
        <v>2391</v>
      </c>
      <c r="G536" t="s">
        <v>22</v>
      </c>
      <c r="H536" t="s">
        <v>22</v>
      </c>
      <c r="I536" t="s">
        <v>910</v>
      </c>
    </row>
    <row r="537" spans="1:9" ht="11.25" customHeight="1">
      <c r="A537" t="s">
        <v>2383</v>
      </c>
      <c r="B537" t="s">
        <v>16</v>
      </c>
      <c r="C537" s="1030" t="s">
        <v>3367</v>
      </c>
      <c r="D537" s="1030" t="s">
        <v>3368</v>
      </c>
      <c r="E537" t="s">
        <v>3369</v>
      </c>
      <c r="F537" t="s">
        <v>2510</v>
      </c>
      <c r="G537" t="s">
        <v>3370</v>
      </c>
      <c r="H537" t="s">
        <v>22</v>
      </c>
      <c r="I537" t="s">
        <v>910</v>
      </c>
    </row>
    <row r="538" spans="1:9" ht="11.25" customHeight="1">
      <c r="A538" t="s">
        <v>2383</v>
      </c>
      <c r="B538" t="s">
        <v>16</v>
      </c>
      <c r="C538" s="1030" t="s">
        <v>3374</v>
      </c>
      <c r="D538" s="1030" t="s">
        <v>3375</v>
      </c>
      <c r="E538" t="s">
        <v>3376</v>
      </c>
      <c r="F538" t="s">
        <v>2688</v>
      </c>
      <c r="G538" t="s">
        <v>22</v>
      </c>
      <c r="H538" t="s">
        <v>22</v>
      </c>
      <c r="I538" t="s">
        <v>910</v>
      </c>
    </row>
    <row r="539" spans="1:9" ht="11.25" customHeight="1">
      <c r="A539" t="s">
        <v>2383</v>
      </c>
      <c r="B539" t="s">
        <v>16</v>
      </c>
      <c r="C539" s="1030" t="s">
        <v>3377</v>
      </c>
      <c r="D539" s="1030" t="s">
        <v>3378</v>
      </c>
      <c r="E539" t="s">
        <v>3379</v>
      </c>
      <c r="F539" t="s">
        <v>2391</v>
      </c>
      <c r="G539" t="s">
        <v>22</v>
      </c>
      <c r="H539" t="s">
        <v>22</v>
      </c>
      <c r="I539" t="s">
        <v>910</v>
      </c>
    </row>
    <row r="540" spans="1:9" ht="11.25" customHeight="1">
      <c r="A540" t="s">
        <v>2383</v>
      </c>
      <c r="B540" t="s">
        <v>16</v>
      </c>
      <c r="C540" s="1030" t="s">
        <v>3387</v>
      </c>
      <c r="D540" s="1030" t="s">
        <v>3388</v>
      </c>
      <c r="E540" t="s">
        <v>3389</v>
      </c>
      <c r="F540" t="s">
        <v>2665</v>
      </c>
      <c r="G540" t="s">
        <v>22</v>
      </c>
      <c r="H540" t="s">
        <v>22</v>
      </c>
      <c r="I540" t="s">
        <v>910</v>
      </c>
    </row>
    <row r="541" spans="1:9" ht="11.25" customHeight="1">
      <c r="A541" t="s">
        <v>2383</v>
      </c>
      <c r="B541" t="s">
        <v>16</v>
      </c>
      <c r="C541" s="1030" t="s">
        <v>3390</v>
      </c>
      <c r="D541" s="1030" t="s">
        <v>3391</v>
      </c>
      <c r="E541" t="s">
        <v>3392</v>
      </c>
      <c r="F541" t="s">
        <v>2506</v>
      </c>
      <c r="G541" t="s">
        <v>22</v>
      </c>
      <c r="H541" t="s">
        <v>22</v>
      </c>
      <c r="I541" t="s">
        <v>910</v>
      </c>
    </row>
    <row r="542" spans="1:9" ht="11.25" customHeight="1">
      <c r="A542" t="s">
        <v>2383</v>
      </c>
      <c r="B542" t="s">
        <v>16</v>
      </c>
      <c r="C542" s="1030" t="s">
        <v>3406</v>
      </c>
      <c r="D542" s="1030" t="s">
        <v>3407</v>
      </c>
      <c r="E542" t="s">
        <v>3408</v>
      </c>
      <c r="F542" t="s">
        <v>2404</v>
      </c>
      <c r="G542" t="s">
        <v>22</v>
      </c>
      <c r="H542" t="s">
        <v>22</v>
      </c>
      <c r="I542" t="s">
        <v>910</v>
      </c>
    </row>
    <row r="543" spans="1:9" ht="11.25" customHeight="1">
      <c r="A543" t="s">
        <v>2383</v>
      </c>
      <c r="B543" t="s">
        <v>16</v>
      </c>
      <c r="C543" s="1030" t="s">
        <v>3409</v>
      </c>
      <c r="D543" s="1030" t="s">
        <v>3410</v>
      </c>
      <c r="E543" t="s">
        <v>3411</v>
      </c>
      <c r="F543" t="s">
        <v>2461</v>
      </c>
      <c r="G543" t="s">
        <v>22</v>
      </c>
      <c r="H543" t="s">
        <v>22</v>
      </c>
      <c r="I543" t="s">
        <v>910</v>
      </c>
    </row>
    <row r="544" spans="1:9" ht="11.25" customHeight="1">
      <c r="A544" t="s">
        <v>2383</v>
      </c>
      <c r="B544" t="s">
        <v>16</v>
      </c>
      <c r="C544" s="1030" t="s">
        <v>3412</v>
      </c>
      <c r="D544" s="1030" t="s">
        <v>3413</v>
      </c>
      <c r="E544" t="s">
        <v>3414</v>
      </c>
      <c r="F544" t="s">
        <v>2432</v>
      </c>
      <c r="G544" t="s">
        <v>22</v>
      </c>
      <c r="H544" t="s">
        <v>22</v>
      </c>
      <c r="I544" t="s">
        <v>910</v>
      </c>
    </row>
    <row r="545" spans="1:9" ht="11.25" customHeight="1">
      <c r="A545" t="s">
        <v>2383</v>
      </c>
      <c r="B545" t="s">
        <v>16</v>
      </c>
      <c r="C545" s="1030" t="s">
        <v>3415</v>
      </c>
      <c r="D545" s="1030" t="s">
        <v>3416</v>
      </c>
      <c r="E545" t="s">
        <v>3417</v>
      </c>
      <c r="F545" t="s">
        <v>2520</v>
      </c>
      <c r="G545" t="s">
        <v>22</v>
      </c>
      <c r="H545" t="s">
        <v>22</v>
      </c>
      <c r="I545" t="s">
        <v>910</v>
      </c>
    </row>
    <row r="546" spans="1:9" ht="11.25" customHeight="1">
      <c r="A546" t="s">
        <v>2383</v>
      </c>
      <c r="B546" t="s">
        <v>16</v>
      </c>
      <c r="C546" s="1030" t="s">
        <v>3425</v>
      </c>
      <c r="D546" s="1030" t="s">
        <v>3426</v>
      </c>
      <c r="E546" t="s">
        <v>3427</v>
      </c>
      <c r="F546" t="s">
        <v>2828</v>
      </c>
      <c r="G546" t="s">
        <v>22</v>
      </c>
      <c r="H546" t="s">
        <v>3428</v>
      </c>
      <c r="I546" t="s">
        <v>910</v>
      </c>
    </row>
    <row r="547" spans="1:9" ht="11.25" customHeight="1">
      <c r="A547" t="s">
        <v>2383</v>
      </c>
      <c r="B547" t="s">
        <v>16</v>
      </c>
      <c r="C547" s="1030" t="s">
        <v>3432</v>
      </c>
      <c r="D547" s="1030" t="s">
        <v>3433</v>
      </c>
      <c r="E547" t="s">
        <v>3434</v>
      </c>
      <c r="F547" t="s">
        <v>2761</v>
      </c>
      <c r="G547" t="s">
        <v>22</v>
      </c>
      <c r="H547" t="s">
        <v>22</v>
      </c>
      <c r="I547" t="s">
        <v>910</v>
      </c>
    </row>
    <row r="548" spans="1:9" ht="11.25" customHeight="1">
      <c r="A548" t="s">
        <v>2383</v>
      </c>
      <c r="B548" t="s">
        <v>16</v>
      </c>
      <c r="C548" s="1030" t="s">
        <v>3443</v>
      </c>
      <c r="D548" s="1030" t="s">
        <v>3444</v>
      </c>
      <c r="E548" t="s">
        <v>3445</v>
      </c>
      <c r="F548" t="s">
        <v>3446</v>
      </c>
      <c r="G548" t="s">
        <v>22</v>
      </c>
      <c r="H548" t="s">
        <v>22</v>
      </c>
      <c r="I548" t="s">
        <v>910</v>
      </c>
    </row>
    <row r="549" spans="1:9" ht="11.25" customHeight="1">
      <c r="A549" t="s">
        <v>2383</v>
      </c>
      <c r="B549" t="s">
        <v>16</v>
      </c>
      <c r="C549" s="1030" t="s">
        <v>3453</v>
      </c>
      <c r="D549" s="1030" t="s">
        <v>3454</v>
      </c>
      <c r="E549" t="s">
        <v>3455</v>
      </c>
      <c r="F549" t="s">
        <v>3456</v>
      </c>
      <c r="G549" t="s">
        <v>22</v>
      </c>
      <c r="H549" t="s">
        <v>22</v>
      </c>
      <c r="I549" t="s">
        <v>910</v>
      </c>
    </row>
    <row r="550" spans="1:9" ht="11.25" customHeight="1">
      <c r="A550" t="s">
        <v>2383</v>
      </c>
      <c r="B550" t="s">
        <v>16</v>
      </c>
      <c r="C550" s="1030" t="s">
        <v>3457</v>
      </c>
      <c r="D550" s="1030" t="s">
        <v>3458</v>
      </c>
      <c r="E550" t="s">
        <v>3459</v>
      </c>
      <c r="F550" t="s">
        <v>2461</v>
      </c>
      <c r="G550" t="s">
        <v>22</v>
      </c>
      <c r="H550" t="s">
        <v>22</v>
      </c>
      <c r="I550" t="s">
        <v>910</v>
      </c>
    </row>
    <row r="551" spans="1:9" ht="11.25" customHeight="1">
      <c r="A551" t="s">
        <v>2383</v>
      </c>
      <c r="B551" t="s">
        <v>16</v>
      </c>
      <c r="C551" s="1030" t="s">
        <v>3467</v>
      </c>
      <c r="D551" s="1030" t="s">
        <v>3468</v>
      </c>
      <c r="E551" t="s">
        <v>3469</v>
      </c>
      <c r="F551" t="s">
        <v>2638</v>
      </c>
      <c r="G551" t="s">
        <v>22</v>
      </c>
      <c r="H551" t="s">
        <v>22</v>
      </c>
      <c r="I551" t="s">
        <v>910</v>
      </c>
    </row>
    <row r="552" spans="1:9" ht="11.25" customHeight="1">
      <c r="A552" t="s">
        <v>2383</v>
      </c>
      <c r="B552" t="s">
        <v>16</v>
      </c>
      <c r="C552" s="1030" t="s">
        <v>3473</v>
      </c>
      <c r="D552" s="1030" t="s">
        <v>3474</v>
      </c>
      <c r="E552" t="s">
        <v>3475</v>
      </c>
      <c r="F552" t="s">
        <v>2797</v>
      </c>
      <c r="G552" t="s">
        <v>22</v>
      </c>
      <c r="H552" t="s">
        <v>22</v>
      </c>
      <c r="I552" t="s">
        <v>910</v>
      </c>
    </row>
    <row r="553" spans="1:9" ht="11.25" customHeight="1">
      <c r="A553" t="s">
        <v>2383</v>
      </c>
      <c r="B553" t="s">
        <v>16</v>
      </c>
      <c r="C553" s="1030" t="s">
        <v>3476</v>
      </c>
      <c r="D553" s="1030" t="s">
        <v>3477</v>
      </c>
      <c r="E553" t="s">
        <v>3478</v>
      </c>
      <c r="F553" t="s">
        <v>50</v>
      </c>
      <c r="G553" t="s">
        <v>22</v>
      </c>
      <c r="H553" t="s">
        <v>22</v>
      </c>
      <c r="I553" t="s">
        <v>910</v>
      </c>
    </row>
    <row r="554" spans="1:9" ht="11.25" customHeight="1">
      <c r="A554" t="s">
        <v>2383</v>
      </c>
      <c r="B554" t="s">
        <v>16</v>
      </c>
      <c r="C554" s="1030" t="s">
        <v>3485</v>
      </c>
      <c r="D554" s="1030" t="s">
        <v>3486</v>
      </c>
      <c r="E554" t="s">
        <v>3487</v>
      </c>
      <c r="F554" t="s">
        <v>3488</v>
      </c>
      <c r="G554" t="s">
        <v>3489</v>
      </c>
      <c r="H554" t="s">
        <v>22</v>
      </c>
      <c r="I554" t="s">
        <v>910</v>
      </c>
    </row>
    <row r="555" spans="1:9" ht="11.25" customHeight="1">
      <c r="A555" t="s">
        <v>2383</v>
      </c>
      <c r="B555" t="s">
        <v>16</v>
      </c>
      <c r="C555" s="1030" t="s">
        <v>3490</v>
      </c>
      <c r="D555" s="1030" t="s">
        <v>3491</v>
      </c>
      <c r="E555" t="s">
        <v>3492</v>
      </c>
      <c r="F555" t="s">
        <v>2817</v>
      </c>
      <c r="G555" t="s">
        <v>3493</v>
      </c>
      <c r="H555" t="s">
        <v>22</v>
      </c>
      <c r="I555" t="s">
        <v>910</v>
      </c>
    </row>
    <row r="556" spans="1:9" ht="11.25" customHeight="1">
      <c r="A556" t="s">
        <v>2383</v>
      </c>
      <c r="B556" t="s">
        <v>16</v>
      </c>
      <c r="C556" s="1030" t="s">
        <v>3512</v>
      </c>
      <c r="D556" s="1030" t="s">
        <v>3513</v>
      </c>
      <c r="E556" t="s">
        <v>3514</v>
      </c>
      <c r="F556" t="s">
        <v>2688</v>
      </c>
      <c r="G556" t="s">
        <v>22</v>
      </c>
      <c r="H556" t="s">
        <v>22</v>
      </c>
      <c r="I556" t="s">
        <v>910</v>
      </c>
    </row>
    <row r="557" spans="1:9" ht="11.25" customHeight="1">
      <c r="A557" t="s">
        <v>2383</v>
      </c>
      <c r="B557" t="s">
        <v>16</v>
      </c>
      <c r="C557" s="1030" t="s">
        <v>3521</v>
      </c>
      <c r="D557" s="1030" t="s">
        <v>3522</v>
      </c>
      <c r="E557" t="s">
        <v>3523</v>
      </c>
      <c r="F557" t="s">
        <v>2391</v>
      </c>
      <c r="G557" t="s">
        <v>22</v>
      </c>
      <c r="H557" t="s">
        <v>22</v>
      </c>
      <c r="I557" t="s">
        <v>910</v>
      </c>
    </row>
    <row r="558" spans="1:9" ht="11.25" customHeight="1">
      <c r="A558" t="s">
        <v>2383</v>
      </c>
      <c r="B558" t="s">
        <v>16</v>
      </c>
      <c r="C558" s="1030" t="s">
        <v>3524</v>
      </c>
      <c r="D558" s="1030" t="s">
        <v>3525</v>
      </c>
      <c r="E558" t="s">
        <v>3526</v>
      </c>
      <c r="F558" t="s">
        <v>2447</v>
      </c>
      <c r="G558" t="s">
        <v>22</v>
      </c>
      <c r="H558" t="s">
        <v>22</v>
      </c>
      <c r="I558" t="s">
        <v>910</v>
      </c>
    </row>
    <row r="559" spans="1:9" ht="11.25" customHeight="1">
      <c r="A559" t="s">
        <v>2383</v>
      </c>
      <c r="B559" t="s">
        <v>16</v>
      </c>
      <c r="C559" s="1030" t="s">
        <v>3536</v>
      </c>
      <c r="D559" s="1030" t="s">
        <v>3537</v>
      </c>
      <c r="E559" t="s">
        <v>3538</v>
      </c>
      <c r="F559" t="s">
        <v>3025</v>
      </c>
      <c r="G559" t="s">
        <v>22</v>
      </c>
      <c r="H559" t="s">
        <v>22</v>
      </c>
      <c r="I559" t="s">
        <v>910</v>
      </c>
    </row>
    <row r="560" spans="1:9" ht="11.25" customHeight="1">
      <c r="A560" t="s">
        <v>2383</v>
      </c>
      <c r="B560" t="s">
        <v>16</v>
      </c>
      <c r="C560" s="1030" t="s">
        <v>3539</v>
      </c>
      <c r="D560" s="1030" t="s">
        <v>3540</v>
      </c>
      <c r="E560" t="s">
        <v>3541</v>
      </c>
      <c r="F560" t="s">
        <v>2688</v>
      </c>
      <c r="G560" t="s">
        <v>22</v>
      </c>
      <c r="H560" t="s">
        <v>22</v>
      </c>
      <c r="I560" t="s">
        <v>910</v>
      </c>
    </row>
    <row r="561" spans="1:9" ht="11.25" customHeight="1">
      <c r="A561" t="s">
        <v>2383</v>
      </c>
      <c r="B561" t="s">
        <v>16</v>
      </c>
      <c r="C561" s="1030" t="s">
        <v>3545</v>
      </c>
      <c r="D561" s="1030" t="s">
        <v>3546</v>
      </c>
      <c r="E561" t="s">
        <v>3547</v>
      </c>
      <c r="F561" t="s">
        <v>2414</v>
      </c>
      <c r="G561" t="s">
        <v>22</v>
      </c>
      <c r="H561" t="s">
        <v>22</v>
      </c>
      <c r="I561" t="s">
        <v>910</v>
      </c>
    </row>
    <row r="562" spans="1:9" ht="11.25" customHeight="1">
      <c r="A562" t="s">
        <v>2383</v>
      </c>
      <c r="B562" t="s">
        <v>16</v>
      </c>
      <c r="C562" s="1030" t="s">
        <v>3548</v>
      </c>
      <c r="D562" s="1030" t="s">
        <v>3549</v>
      </c>
      <c r="E562" t="s">
        <v>3550</v>
      </c>
      <c r="F562" t="s">
        <v>3438</v>
      </c>
      <c r="G562" t="s">
        <v>22</v>
      </c>
      <c r="H562" t="s">
        <v>22</v>
      </c>
      <c r="I562" t="s">
        <v>910</v>
      </c>
    </row>
    <row r="563" spans="1:9" ht="11.25" customHeight="1">
      <c r="A563" t="s">
        <v>2383</v>
      </c>
      <c r="B563" t="s">
        <v>16</v>
      </c>
      <c r="C563" s="1030" t="s">
        <v>3551</v>
      </c>
      <c r="D563" s="1030" t="s">
        <v>3552</v>
      </c>
      <c r="E563" t="s">
        <v>3553</v>
      </c>
      <c r="F563" t="s">
        <v>2946</v>
      </c>
      <c r="G563" t="s">
        <v>22</v>
      </c>
      <c r="H563" t="s">
        <v>22</v>
      </c>
      <c r="I563" t="s">
        <v>910</v>
      </c>
    </row>
    <row r="564" spans="1:9" ht="11.25" customHeight="1">
      <c r="A564" t="s">
        <v>2383</v>
      </c>
      <c r="B564" t="s">
        <v>16</v>
      </c>
      <c r="C564" s="1030" t="s">
        <v>3554</v>
      </c>
      <c r="D564" s="1030" t="s">
        <v>3555</v>
      </c>
      <c r="E564" t="s">
        <v>3556</v>
      </c>
      <c r="F564" t="s">
        <v>2425</v>
      </c>
      <c r="G564" t="s">
        <v>22</v>
      </c>
      <c r="H564" t="s">
        <v>22</v>
      </c>
      <c r="I564" t="s">
        <v>910</v>
      </c>
    </row>
    <row r="565" spans="1:9" ht="11.25" customHeight="1">
      <c r="A565" t="s">
        <v>2383</v>
      </c>
      <c r="B565" t="s">
        <v>16</v>
      </c>
      <c r="C565" s="1030" t="s">
        <v>3557</v>
      </c>
      <c r="D565" s="1030" t="s">
        <v>3558</v>
      </c>
      <c r="E565" t="s">
        <v>3559</v>
      </c>
      <c r="F565" t="s">
        <v>3000</v>
      </c>
      <c r="G565" t="s">
        <v>22</v>
      </c>
      <c r="H565" t="s">
        <v>22</v>
      </c>
      <c r="I565" t="s">
        <v>910</v>
      </c>
    </row>
    <row r="566" spans="1:9" ht="11.25" customHeight="1">
      <c r="A566" t="s">
        <v>2383</v>
      </c>
      <c r="B566" t="s">
        <v>16</v>
      </c>
      <c r="C566" s="1030" t="s">
        <v>3560</v>
      </c>
      <c r="D566" s="1030" t="s">
        <v>3561</v>
      </c>
      <c r="E566" t="s">
        <v>3562</v>
      </c>
      <c r="F566" t="s">
        <v>3100</v>
      </c>
      <c r="G566" t="s">
        <v>22</v>
      </c>
      <c r="H566" t="s">
        <v>22</v>
      </c>
      <c r="I566" t="s">
        <v>910</v>
      </c>
    </row>
    <row r="567" spans="1:9" ht="11.25" customHeight="1">
      <c r="A567" t="s">
        <v>2383</v>
      </c>
      <c r="B567" t="s">
        <v>16</v>
      </c>
      <c r="C567" s="1030" t="s">
        <v>3563</v>
      </c>
      <c r="D567" s="1030" t="s">
        <v>3564</v>
      </c>
      <c r="E567" t="s">
        <v>3565</v>
      </c>
      <c r="F567" t="s">
        <v>3566</v>
      </c>
      <c r="G567" t="s">
        <v>3567</v>
      </c>
      <c r="H567" t="s">
        <v>22</v>
      </c>
      <c r="I567" t="s">
        <v>910</v>
      </c>
    </row>
    <row r="568" spans="1:9" ht="11.25" customHeight="1">
      <c r="A568" t="s">
        <v>2383</v>
      </c>
      <c r="B568" t="s">
        <v>16</v>
      </c>
      <c r="C568" s="1030" t="s">
        <v>3568</v>
      </c>
      <c r="D568" s="1030" t="s">
        <v>3569</v>
      </c>
      <c r="E568" t="s">
        <v>3570</v>
      </c>
      <c r="F568" t="s">
        <v>2414</v>
      </c>
      <c r="G568" t="s">
        <v>22</v>
      </c>
      <c r="H568" t="s">
        <v>22</v>
      </c>
      <c r="I568" t="s">
        <v>910</v>
      </c>
    </row>
    <row r="569" spans="1:9" ht="11.25" customHeight="1">
      <c r="A569" t="s">
        <v>2383</v>
      </c>
      <c r="B569" t="s">
        <v>16</v>
      </c>
      <c r="C569" s="1030" t="s">
        <v>3574</v>
      </c>
      <c r="D569" s="1030" t="s">
        <v>3575</v>
      </c>
      <c r="E569" t="s">
        <v>3576</v>
      </c>
      <c r="F569" t="s">
        <v>3577</v>
      </c>
      <c r="G569" t="s">
        <v>22</v>
      </c>
      <c r="H569" t="s">
        <v>22</v>
      </c>
      <c r="I569" t="s">
        <v>910</v>
      </c>
    </row>
    <row r="570" spans="1:9" ht="11.25" customHeight="1">
      <c r="A570" t="s">
        <v>2383</v>
      </c>
      <c r="B570" t="s">
        <v>16</v>
      </c>
      <c r="C570" s="1030" t="s">
        <v>3578</v>
      </c>
      <c r="D570" s="1030" t="s">
        <v>3579</v>
      </c>
      <c r="E570" t="s">
        <v>3580</v>
      </c>
      <c r="F570" t="s">
        <v>2665</v>
      </c>
      <c r="G570" t="s">
        <v>22</v>
      </c>
      <c r="H570" t="s">
        <v>22</v>
      </c>
      <c r="I570" t="s">
        <v>910</v>
      </c>
    </row>
    <row r="571" spans="1:9" ht="11.25" customHeight="1">
      <c r="A571" t="s">
        <v>2383</v>
      </c>
      <c r="B571" t="s">
        <v>16</v>
      </c>
      <c r="C571" s="1030" t="s">
        <v>3590</v>
      </c>
      <c r="D571" s="1030" t="s">
        <v>3591</v>
      </c>
      <c r="E571" t="s">
        <v>3592</v>
      </c>
      <c r="F571" t="s">
        <v>2440</v>
      </c>
      <c r="G571" t="s">
        <v>22</v>
      </c>
      <c r="H571" t="s">
        <v>22</v>
      </c>
      <c r="I571" t="s">
        <v>910</v>
      </c>
    </row>
    <row r="572" spans="1:9" ht="11.25" customHeight="1">
      <c r="A572" t="s">
        <v>2383</v>
      </c>
      <c r="B572" t="s">
        <v>16</v>
      </c>
      <c r="C572" s="1030" t="s">
        <v>3596</v>
      </c>
      <c r="D572" s="1030" t="s">
        <v>3597</v>
      </c>
      <c r="E572" t="s">
        <v>3598</v>
      </c>
      <c r="F572" t="s">
        <v>2461</v>
      </c>
      <c r="G572" t="s">
        <v>22</v>
      </c>
      <c r="H572" t="s">
        <v>22</v>
      </c>
      <c r="I572" t="s">
        <v>910</v>
      </c>
    </row>
    <row r="573" spans="1:9" ht="11.25" customHeight="1">
      <c r="A573" t="s">
        <v>2383</v>
      </c>
      <c r="B573" t="s">
        <v>16</v>
      </c>
      <c r="C573" s="1030" t="s">
        <v>3599</v>
      </c>
      <c r="D573" s="1030" t="s">
        <v>3600</v>
      </c>
      <c r="E573" t="s">
        <v>3601</v>
      </c>
      <c r="F573" t="s">
        <v>2461</v>
      </c>
      <c r="G573" t="s">
        <v>22</v>
      </c>
      <c r="H573" t="s">
        <v>22</v>
      </c>
      <c r="I573" t="s">
        <v>910</v>
      </c>
    </row>
    <row r="574" spans="1:9" ht="11.25" customHeight="1">
      <c r="A574" t="s">
        <v>2383</v>
      </c>
      <c r="B574" t="s">
        <v>16</v>
      </c>
      <c r="C574" s="1030" t="s">
        <v>3605</v>
      </c>
      <c r="D574" s="1030" t="s">
        <v>3606</v>
      </c>
      <c r="E574" t="s">
        <v>3607</v>
      </c>
      <c r="F574" t="s">
        <v>2391</v>
      </c>
      <c r="G574" t="s">
        <v>22</v>
      </c>
      <c r="H574" t="s">
        <v>22</v>
      </c>
      <c r="I574" t="s">
        <v>910</v>
      </c>
    </row>
    <row r="575" spans="1:9" ht="11.25" customHeight="1">
      <c r="A575" t="s">
        <v>2383</v>
      </c>
      <c r="B575" t="s">
        <v>16</v>
      </c>
      <c r="C575" s="1030" t="s">
        <v>3619</v>
      </c>
      <c r="D575" s="1030" t="s">
        <v>3620</v>
      </c>
      <c r="E575" t="s">
        <v>3621</v>
      </c>
      <c r="F575" t="s">
        <v>2391</v>
      </c>
      <c r="G575" t="s">
        <v>22</v>
      </c>
      <c r="H575" t="s">
        <v>22</v>
      </c>
      <c r="I575" t="s">
        <v>910</v>
      </c>
    </row>
    <row r="576" spans="1:9" ht="11.25" customHeight="1">
      <c r="A576" t="s">
        <v>2383</v>
      </c>
      <c r="B576" t="s">
        <v>16</v>
      </c>
      <c r="C576" s="1030" t="s">
        <v>3625</v>
      </c>
      <c r="D576" s="1030" t="s">
        <v>3626</v>
      </c>
      <c r="E576" t="s">
        <v>3627</v>
      </c>
      <c r="F576" t="s">
        <v>2451</v>
      </c>
      <c r="G576" t="s">
        <v>22</v>
      </c>
      <c r="H576" t="s">
        <v>22</v>
      </c>
      <c r="I576" t="s">
        <v>910</v>
      </c>
    </row>
    <row r="577" spans="1:9" ht="11.25" customHeight="1">
      <c r="A577" t="s">
        <v>2383</v>
      </c>
      <c r="B577" t="s">
        <v>16</v>
      </c>
      <c r="C577" s="1030" t="s">
        <v>3634</v>
      </c>
      <c r="D577" s="1030" t="s">
        <v>3635</v>
      </c>
      <c r="E577" t="s">
        <v>3636</v>
      </c>
      <c r="F577" t="s">
        <v>2391</v>
      </c>
      <c r="G577" t="s">
        <v>22</v>
      </c>
      <c r="H577" t="s">
        <v>22</v>
      </c>
      <c r="I577" t="s">
        <v>910</v>
      </c>
    </row>
    <row r="578" spans="1:9" ht="11.25" customHeight="1">
      <c r="A578" t="s">
        <v>2383</v>
      </c>
      <c r="B578" t="s">
        <v>16</v>
      </c>
      <c r="C578" s="1030" t="s">
        <v>3640</v>
      </c>
      <c r="D578" s="1030" t="s">
        <v>3641</v>
      </c>
      <c r="E578" t="s">
        <v>3642</v>
      </c>
      <c r="F578" t="s">
        <v>2391</v>
      </c>
      <c r="G578" t="s">
        <v>3643</v>
      </c>
      <c r="H578" t="s">
        <v>22</v>
      </c>
      <c r="I578" t="s">
        <v>910</v>
      </c>
    </row>
    <row r="579" spans="1:9" ht="11.25" customHeight="1">
      <c r="A579" t="s">
        <v>2383</v>
      </c>
      <c r="B579" t="s">
        <v>16</v>
      </c>
      <c r="C579" s="1030" t="s">
        <v>3644</v>
      </c>
      <c r="D579" s="1030" t="s">
        <v>3645</v>
      </c>
      <c r="E579" t="s">
        <v>3646</v>
      </c>
      <c r="F579" t="s">
        <v>2432</v>
      </c>
      <c r="G579" t="s">
        <v>22</v>
      </c>
      <c r="H579" t="s">
        <v>22</v>
      </c>
      <c r="I579" t="s">
        <v>910</v>
      </c>
    </row>
    <row r="580" spans="1:9" ht="11.25" customHeight="1">
      <c r="A580" t="s">
        <v>2383</v>
      </c>
      <c r="B580" t="s">
        <v>16</v>
      </c>
      <c r="C580" s="1030" t="s">
        <v>3656</v>
      </c>
      <c r="D580" s="1030" t="s">
        <v>3657</v>
      </c>
      <c r="E580" t="s">
        <v>3658</v>
      </c>
      <c r="F580" t="s">
        <v>2611</v>
      </c>
      <c r="G580" t="s">
        <v>22</v>
      </c>
      <c r="H580" t="s">
        <v>22</v>
      </c>
      <c r="I580" t="s">
        <v>910</v>
      </c>
    </row>
    <row r="581" spans="1:9" ht="11.25" customHeight="1">
      <c r="A581" t="s">
        <v>2383</v>
      </c>
      <c r="B581" t="s">
        <v>16</v>
      </c>
      <c r="C581" s="1030" t="s">
        <v>3662</v>
      </c>
      <c r="D581" s="1030" t="s">
        <v>3663</v>
      </c>
      <c r="E581" t="s">
        <v>3664</v>
      </c>
      <c r="F581" t="s">
        <v>2611</v>
      </c>
      <c r="G581" t="s">
        <v>22</v>
      </c>
      <c r="H581" t="s">
        <v>22</v>
      </c>
      <c r="I581" t="s">
        <v>910</v>
      </c>
    </row>
    <row r="582" spans="1:9" ht="11.25" customHeight="1">
      <c r="A582" t="s">
        <v>2383</v>
      </c>
      <c r="B582" t="s">
        <v>16</v>
      </c>
      <c r="C582" s="1030" t="s">
        <v>3668</v>
      </c>
      <c r="D582" s="1030" t="s">
        <v>3669</v>
      </c>
      <c r="E582" t="s">
        <v>3670</v>
      </c>
      <c r="F582" t="s">
        <v>2946</v>
      </c>
      <c r="G582" t="s">
        <v>22</v>
      </c>
      <c r="H582" t="s">
        <v>22</v>
      </c>
      <c r="I582" t="s">
        <v>910</v>
      </c>
    </row>
    <row r="583" spans="1:9" ht="11.25" customHeight="1">
      <c r="A583" t="s">
        <v>2383</v>
      </c>
      <c r="B583" t="s">
        <v>16</v>
      </c>
      <c r="C583" s="1030" t="s">
        <v>3671</v>
      </c>
      <c r="D583" s="1030" t="s">
        <v>3672</v>
      </c>
      <c r="E583" t="s">
        <v>3673</v>
      </c>
      <c r="F583" t="s">
        <v>2391</v>
      </c>
      <c r="G583" t="s">
        <v>3674</v>
      </c>
      <c r="H583" t="s">
        <v>22</v>
      </c>
      <c r="I583" t="s">
        <v>910</v>
      </c>
    </row>
    <row r="584" spans="1:9" ht="11.25" customHeight="1">
      <c r="A584" t="s">
        <v>2383</v>
      </c>
      <c r="B584" t="s">
        <v>16</v>
      </c>
      <c r="C584" s="1030" t="s">
        <v>3684</v>
      </c>
      <c r="D584" s="1030" t="s">
        <v>3685</v>
      </c>
      <c r="E584" t="s">
        <v>2435</v>
      </c>
      <c r="F584" t="s">
        <v>3686</v>
      </c>
      <c r="G584" t="s">
        <v>22</v>
      </c>
      <c r="H584" t="s">
        <v>22</v>
      </c>
      <c r="I584" t="s">
        <v>910</v>
      </c>
    </row>
    <row r="585" spans="1:9" ht="11.25" customHeight="1">
      <c r="A585" t="s">
        <v>2383</v>
      </c>
      <c r="B585" t="s">
        <v>16</v>
      </c>
      <c r="C585" s="1030" t="s">
        <v>3710</v>
      </c>
      <c r="D585" s="1030" t="s">
        <v>3711</v>
      </c>
      <c r="E585" t="s">
        <v>3712</v>
      </c>
      <c r="F585" t="s">
        <v>2440</v>
      </c>
      <c r="G585" t="s">
        <v>22</v>
      </c>
      <c r="H585" t="s">
        <v>22</v>
      </c>
      <c r="I585" t="s">
        <v>910</v>
      </c>
    </row>
    <row r="586" spans="1:9" ht="11.25" customHeight="1">
      <c r="A586" t="s">
        <v>2383</v>
      </c>
      <c r="B586" t="s">
        <v>16</v>
      </c>
      <c r="C586" s="1030" t="s">
        <v>3725</v>
      </c>
      <c r="D586" s="1030" t="s">
        <v>3726</v>
      </c>
      <c r="E586" t="s">
        <v>3727</v>
      </c>
      <c r="F586" t="s">
        <v>2584</v>
      </c>
      <c r="G586" t="s">
        <v>22</v>
      </c>
      <c r="H586" t="s">
        <v>22</v>
      </c>
      <c r="I586" t="s">
        <v>910</v>
      </c>
    </row>
    <row r="587" spans="1:9" ht="11.25" customHeight="1">
      <c r="A587" t="s">
        <v>2383</v>
      </c>
      <c r="B587" t="s">
        <v>16</v>
      </c>
      <c r="C587" s="1030" t="s">
        <v>22</v>
      </c>
      <c r="D587" s="1030" t="s">
        <v>3731</v>
      </c>
      <c r="E587" t="s">
        <v>3732</v>
      </c>
      <c r="F587" t="s">
        <v>2391</v>
      </c>
      <c r="G587" t="s">
        <v>22</v>
      </c>
      <c r="H587" t="s">
        <v>22</v>
      </c>
      <c r="I587" t="s">
        <v>910</v>
      </c>
    </row>
    <row r="588" spans="1:9" ht="11.25" customHeight="1">
      <c r="A588" t="s">
        <v>2383</v>
      </c>
      <c r="B588" t="s">
        <v>16</v>
      </c>
      <c r="C588" s="1030" t="s">
        <v>3743</v>
      </c>
      <c r="D588" s="1030" t="s">
        <v>3744</v>
      </c>
      <c r="E588" t="s">
        <v>3745</v>
      </c>
      <c r="F588" t="s">
        <v>2391</v>
      </c>
      <c r="G588" t="s">
        <v>22</v>
      </c>
      <c r="H588" t="s">
        <v>22</v>
      </c>
      <c r="I588" t="s">
        <v>910</v>
      </c>
    </row>
    <row r="589" spans="1:9" ht="11.25" customHeight="1">
      <c r="A589" t="s">
        <v>2383</v>
      </c>
      <c r="B589" t="s">
        <v>16</v>
      </c>
      <c r="C589" s="1030" t="s">
        <v>3752</v>
      </c>
      <c r="D589" s="1030" t="s">
        <v>3753</v>
      </c>
      <c r="E589" t="s">
        <v>3754</v>
      </c>
      <c r="F589" t="s">
        <v>3686</v>
      </c>
      <c r="G589" t="s">
        <v>22</v>
      </c>
      <c r="H589" t="s">
        <v>22</v>
      </c>
      <c r="I589" t="s">
        <v>910</v>
      </c>
    </row>
    <row r="590" spans="1:9" ht="11.25" customHeight="1">
      <c r="A590" t="s">
        <v>2383</v>
      </c>
      <c r="B590" t="s">
        <v>16</v>
      </c>
      <c r="C590" s="1030" t="s">
        <v>3755</v>
      </c>
      <c r="D590" s="1030" t="s">
        <v>3753</v>
      </c>
      <c r="E590" t="s">
        <v>3754</v>
      </c>
      <c r="F590" t="s">
        <v>2566</v>
      </c>
      <c r="G590" t="s">
        <v>22</v>
      </c>
      <c r="H590" t="s">
        <v>22</v>
      </c>
      <c r="I590" t="s">
        <v>910</v>
      </c>
    </row>
    <row r="591" spans="1:9" ht="11.25" customHeight="1">
      <c r="A591" t="s">
        <v>2383</v>
      </c>
      <c r="B591" t="s">
        <v>16</v>
      </c>
      <c r="C591" s="1030" t="s">
        <v>3763</v>
      </c>
      <c r="D591" s="1030" t="s">
        <v>3764</v>
      </c>
      <c r="E591" t="s">
        <v>3765</v>
      </c>
      <c r="F591" t="s">
        <v>2447</v>
      </c>
      <c r="G591" t="s">
        <v>22</v>
      </c>
      <c r="H591" t="s">
        <v>22</v>
      </c>
      <c r="I591" t="s">
        <v>910</v>
      </c>
    </row>
    <row r="592" spans="1:9" ht="11.25" customHeight="1">
      <c r="A592" t="s">
        <v>2383</v>
      </c>
      <c r="B592" t="s">
        <v>16</v>
      </c>
      <c r="C592" s="1030" t="s">
        <v>3786</v>
      </c>
      <c r="D592" s="1030" t="s">
        <v>3787</v>
      </c>
      <c r="E592" t="s">
        <v>3788</v>
      </c>
      <c r="F592" t="s">
        <v>2784</v>
      </c>
      <c r="G592" t="s">
        <v>22</v>
      </c>
      <c r="H592" t="s">
        <v>22</v>
      </c>
      <c r="I592" t="s">
        <v>910</v>
      </c>
    </row>
    <row r="593" spans="1:9" ht="11.25" customHeight="1">
      <c r="A593" t="s">
        <v>2383</v>
      </c>
      <c r="B593" t="s">
        <v>16</v>
      </c>
      <c r="C593" s="1030" t="s">
        <v>3789</v>
      </c>
      <c r="D593" s="1030" t="s">
        <v>3790</v>
      </c>
      <c r="E593" t="s">
        <v>3791</v>
      </c>
      <c r="F593" t="s">
        <v>2769</v>
      </c>
      <c r="G593" t="s">
        <v>3792</v>
      </c>
      <c r="H593" t="s">
        <v>22</v>
      </c>
      <c r="I593" t="s">
        <v>910</v>
      </c>
    </row>
    <row r="594" spans="1:9" ht="11.25" customHeight="1">
      <c r="A594" t="s">
        <v>2383</v>
      </c>
      <c r="B594" t="s">
        <v>16</v>
      </c>
      <c r="C594" s="1030" t="s">
        <v>3796</v>
      </c>
      <c r="D594" s="1030" t="s">
        <v>3797</v>
      </c>
      <c r="E594" t="s">
        <v>3798</v>
      </c>
      <c r="F594" t="s">
        <v>3442</v>
      </c>
      <c r="G594" t="s">
        <v>22</v>
      </c>
      <c r="H594" t="s">
        <v>22</v>
      </c>
      <c r="I594" t="s">
        <v>910</v>
      </c>
    </row>
    <row r="595" spans="1:9" ht="11.25" customHeight="1">
      <c r="A595" t="s">
        <v>2383</v>
      </c>
      <c r="B595" t="s">
        <v>16</v>
      </c>
      <c r="C595" s="1030" t="s">
        <v>3799</v>
      </c>
      <c r="D595" s="1030" t="s">
        <v>3800</v>
      </c>
      <c r="E595" t="s">
        <v>3801</v>
      </c>
      <c r="F595" t="s">
        <v>3802</v>
      </c>
      <c r="G595" t="s">
        <v>22</v>
      </c>
      <c r="H595" t="s">
        <v>22</v>
      </c>
      <c r="I595" t="s">
        <v>910</v>
      </c>
    </row>
    <row r="596" spans="1:9" ht="11.25" customHeight="1">
      <c r="A596" t="s">
        <v>2383</v>
      </c>
      <c r="B596" t="s">
        <v>16</v>
      </c>
      <c r="C596" s="1030" t="s">
        <v>3803</v>
      </c>
      <c r="D596" s="1030" t="s">
        <v>3804</v>
      </c>
      <c r="E596" t="s">
        <v>2386</v>
      </c>
      <c r="F596" t="s">
        <v>3805</v>
      </c>
      <c r="G596" t="s">
        <v>22</v>
      </c>
      <c r="H596" t="s">
        <v>22</v>
      </c>
      <c r="I596" t="s">
        <v>910</v>
      </c>
    </row>
    <row r="597" spans="1:9" ht="11.25" customHeight="1">
      <c r="A597" t="s">
        <v>2383</v>
      </c>
      <c r="B597" t="s">
        <v>16</v>
      </c>
      <c r="C597" s="1030" t="s">
        <v>3819</v>
      </c>
      <c r="D597" s="1030" t="s">
        <v>3820</v>
      </c>
      <c r="E597" t="s">
        <v>3821</v>
      </c>
      <c r="F597" t="s">
        <v>3822</v>
      </c>
      <c r="G597" t="s">
        <v>22</v>
      </c>
      <c r="H597" t="s">
        <v>22</v>
      </c>
      <c r="I597" t="s">
        <v>870</v>
      </c>
    </row>
    <row r="598" spans="1:9" ht="11.25" customHeight="1">
      <c r="A598" t="s">
        <v>2383</v>
      </c>
      <c r="B598" t="s">
        <v>16</v>
      </c>
      <c r="C598" s="1030" t="s">
        <v>2411</v>
      </c>
      <c r="D598" s="1030" t="s">
        <v>2412</v>
      </c>
      <c r="E598" t="s">
        <v>2413</v>
      </c>
      <c r="F598" t="s">
        <v>2414</v>
      </c>
      <c r="G598" t="s">
        <v>22</v>
      </c>
      <c r="H598" t="s">
        <v>22</v>
      </c>
      <c r="I598" t="s">
        <v>870</v>
      </c>
    </row>
    <row r="599" spans="1:9" ht="11.25" customHeight="1">
      <c r="A599" t="s">
        <v>2383</v>
      </c>
      <c r="B599" t="s">
        <v>16</v>
      </c>
      <c r="C599" s="1030" t="s">
        <v>3823</v>
      </c>
      <c r="D599" s="1030" t="s">
        <v>3824</v>
      </c>
      <c r="E599" t="s">
        <v>3825</v>
      </c>
      <c r="F599" t="s">
        <v>2414</v>
      </c>
      <c r="G599" t="s">
        <v>22</v>
      </c>
      <c r="H599" t="s">
        <v>22</v>
      </c>
      <c r="I599" t="s">
        <v>870</v>
      </c>
    </row>
    <row r="600" spans="1:9" ht="11.25" customHeight="1">
      <c r="A600" t="s">
        <v>2383</v>
      </c>
      <c r="B600" t="s">
        <v>16</v>
      </c>
      <c r="C600" s="1030" t="s">
        <v>2415</v>
      </c>
      <c r="D600" s="1030" t="s">
        <v>2416</v>
      </c>
      <c r="E600" t="s">
        <v>2417</v>
      </c>
      <c r="F600" t="s">
        <v>2418</v>
      </c>
      <c r="G600" t="s">
        <v>22</v>
      </c>
      <c r="H600" t="s">
        <v>22</v>
      </c>
      <c r="I600" t="s">
        <v>870</v>
      </c>
    </row>
    <row r="601" spans="1:9" ht="11.25" customHeight="1">
      <c r="A601" t="s">
        <v>2383</v>
      </c>
      <c r="B601" t="s">
        <v>16</v>
      </c>
      <c r="C601" s="1030" t="s">
        <v>3826</v>
      </c>
      <c r="D601" s="1030" t="s">
        <v>3827</v>
      </c>
      <c r="E601" t="s">
        <v>3828</v>
      </c>
      <c r="F601" t="s">
        <v>2418</v>
      </c>
      <c r="G601" t="s">
        <v>22</v>
      </c>
      <c r="H601" t="s">
        <v>22</v>
      </c>
      <c r="I601" t="s">
        <v>870</v>
      </c>
    </row>
    <row r="602" spans="1:9" ht="11.25" customHeight="1">
      <c r="A602" t="s">
        <v>2383</v>
      </c>
      <c r="B602" t="s">
        <v>16</v>
      </c>
      <c r="C602" s="1030" t="s">
        <v>2429</v>
      </c>
      <c r="D602" s="1030" t="s">
        <v>2430</v>
      </c>
      <c r="E602" t="s">
        <v>2431</v>
      </c>
      <c r="F602" t="s">
        <v>2432</v>
      </c>
      <c r="G602" t="s">
        <v>22</v>
      </c>
      <c r="H602" t="s">
        <v>22</v>
      </c>
      <c r="I602" t="s">
        <v>870</v>
      </c>
    </row>
    <row r="603" spans="1:9" ht="11.25" customHeight="1">
      <c r="A603" t="s">
        <v>2383</v>
      </c>
      <c r="B603" t="s">
        <v>16</v>
      </c>
      <c r="C603" s="1030" t="s">
        <v>3829</v>
      </c>
      <c r="D603" s="1030" t="s">
        <v>2434</v>
      </c>
      <c r="E603" t="s">
        <v>2435</v>
      </c>
      <c r="F603" t="s">
        <v>3830</v>
      </c>
      <c r="G603" t="s">
        <v>3831</v>
      </c>
      <c r="H603" t="s">
        <v>22</v>
      </c>
      <c r="I603" t="s">
        <v>870</v>
      </c>
    </row>
    <row r="604" spans="1:9" ht="11.25" customHeight="1">
      <c r="A604" t="s">
        <v>2383</v>
      </c>
      <c r="B604" t="s">
        <v>16</v>
      </c>
      <c r="C604" s="1030" t="s">
        <v>3832</v>
      </c>
      <c r="D604" s="1030" t="s">
        <v>3833</v>
      </c>
      <c r="E604" t="s">
        <v>3834</v>
      </c>
      <c r="F604" t="s">
        <v>2447</v>
      </c>
      <c r="G604" t="s">
        <v>22</v>
      </c>
      <c r="H604" t="s">
        <v>22</v>
      </c>
      <c r="I604" t="s">
        <v>870</v>
      </c>
    </row>
    <row r="605" spans="1:9" ht="11.25" customHeight="1">
      <c r="A605" t="s">
        <v>2383</v>
      </c>
      <c r="B605" t="s">
        <v>16</v>
      </c>
      <c r="C605" s="1030" t="s">
        <v>2441</v>
      </c>
      <c r="D605" s="1030" t="s">
        <v>2442</v>
      </c>
      <c r="E605" t="s">
        <v>2443</v>
      </c>
      <c r="F605" t="s">
        <v>2418</v>
      </c>
      <c r="G605" t="s">
        <v>22</v>
      </c>
      <c r="H605" t="s">
        <v>22</v>
      </c>
      <c r="I605" t="s">
        <v>870</v>
      </c>
    </row>
    <row r="606" spans="1:9" ht="11.25" customHeight="1">
      <c r="A606" t="s">
        <v>2383</v>
      </c>
      <c r="B606" t="s">
        <v>16</v>
      </c>
      <c r="C606" s="1030" t="s">
        <v>2444</v>
      </c>
      <c r="D606" s="1030" t="s">
        <v>2445</v>
      </c>
      <c r="E606" t="s">
        <v>2446</v>
      </c>
      <c r="F606" t="s">
        <v>2447</v>
      </c>
      <c r="G606" t="s">
        <v>22</v>
      </c>
      <c r="H606" t="s">
        <v>22</v>
      </c>
      <c r="I606" t="s">
        <v>870</v>
      </c>
    </row>
    <row r="607" spans="1:9" ht="11.25" customHeight="1">
      <c r="A607" t="s">
        <v>2383</v>
      </c>
      <c r="B607" t="s">
        <v>16</v>
      </c>
      <c r="C607" s="1030" t="s">
        <v>2452</v>
      </c>
      <c r="D607" s="1030" t="s">
        <v>2453</v>
      </c>
      <c r="E607" t="s">
        <v>2454</v>
      </c>
      <c r="F607" t="s">
        <v>2447</v>
      </c>
      <c r="G607" t="s">
        <v>22</v>
      </c>
      <c r="H607" t="s">
        <v>22</v>
      </c>
      <c r="I607" t="s">
        <v>870</v>
      </c>
    </row>
    <row r="608" spans="1:9" ht="11.25" customHeight="1">
      <c r="A608" t="s">
        <v>2383</v>
      </c>
      <c r="B608" t="s">
        <v>16</v>
      </c>
      <c r="C608" s="1030" t="s">
        <v>2455</v>
      </c>
      <c r="D608" s="1030" t="s">
        <v>2456</v>
      </c>
      <c r="E608" t="s">
        <v>2457</v>
      </c>
      <c r="F608" t="s">
        <v>2414</v>
      </c>
      <c r="G608" t="s">
        <v>22</v>
      </c>
      <c r="H608" t="s">
        <v>22</v>
      </c>
      <c r="I608" t="s">
        <v>870</v>
      </c>
    </row>
    <row r="609" spans="1:9" ht="11.25" customHeight="1">
      <c r="A609" t="s">
        <v>2383</v>
      </c>
      <c r="B609" t="s">
        <v>16</v>
      </c>
      <c r="C609" s="1030" t="s">
        <v>3835</v>
      </c>
      <c r="D609" s="1030" t="s">
        <v>3836</v>
      </c>
      <c r="E609" t="s">
        <v>3837</v>
      </c>
      <c r="F609" t="s">
        <v>2611</v>
      </c>
      <c r="G609" t="s">
        <v>22</v>
      </c>
      <c r="H609" t="s">
        <v>22</v>
      </c>
      <c r="I609" t="s">
        <v>870</v>
      </c>
    </row>
    <row r="610" spans="1:9" ht="11.25" customHeight="1">
      <c r="A610" t="s">
        <v>2383</v>
      </c>
      <c r="B610" t="s">
        <v>16</v>
      </c>
      <c r="C610" s="1030" t="s">
        <v>3838</v>
      </c>
      <c r="D610" s="1030" t="s">
        <v>3839</v>
      </c>
      <c r="E610" t="s">
        <v>3840</v>
      </c>
      <c r="F610" t="s">
        <v>2506</v>
      </c>
      <c r="G610" t="s">
        <v>22</v>
      </c>
      <c r="H610" t="s">
        <v>22</v>
      </c>
      <c r="I610" t="s">
        <v>870</v>
      </c>
    </row>
    <row r="611" spans="1:9" ht="11.25" customHeight="1">
      <c r="A611" t="s">
        <v>2383</v>
      </c>
      <c r="B611" t="s">
        <v>16</v>
      </c>
      <c r="C611" s="1030" t="s">
        <v>2466</v>
      </c>
      <c r="D611" s="1030" t="s">
        <v>2467</v>
      </c>
      <c r="E611" t="s">
        <v>2468</v>
      </c>
      <c r="F611" t="s">
        <v>2447</v>
      </c>
      <c r="G611" t="s">
        <v>22</v>
      </c>
      <c r="H611" t="s">
        <v>22</v>
      </c>
      <c r="I611" t="s">
        <v>870</v>
      </c>
    </row>
    <row r="612" spans="1:9" ht="11.25" customHeight="1">
      <c r="A612" t="s">
        <v>2383</v>
      </c>
      <c r="B612" t="s">
        <v>16</v>
      </c>
      <c r="C612" s="1030" t="s">
        <v>2476</v>
      </c>
      <c r="D612" s="1030" t="s">
        <v>2477</v>
      </c>
      <c r="E612" t="s">
        <v>2478</v>
      </c>
      <c r="F612" t="s">
        <v>2414</v>
      </c>
      <c r="G612" t="s">
        <v>22</v>
      </c>
      <c r="H612" t="s">
        <v>22</v>
      </c>
      <c r="I612" t="s">
        <v>870</v>
      </c>
    </row>
    <row r="613" spans="1:9" ht="11.25" customHeight="1">
      <c r="A613" t="s">
        <v>2383</v>
      </c>
      <c r="B613" t="s">
        <v>16</v>
      </c>
      <c r="C613" s="1030" t="s">
        <v>2479</v>
      </c>
      <c r="D613" s="1030" t="s">
        <v>2480</v>
      </c>
      <c r="E613" t="s">
        <v>2481</v>
      </c>
      <c r="F613" t="s">
        <v>2482</v>
      </c>
      <c r="G613" t="s">
        <v>2483</v>
      </c>
      <c r="H613" t="s">
        <v>22</v>
      </c>
      <c r="I613" t="s">
        <v>870</v>
      </c>
    </row>
    <row r="614" spans="1:9" ht="11.25" customHeight="1">
      <c r="A614" t="s">
        <v>2383</v>
      </c>
      <c r="B614" t="s">
        <v>16</v>
      </c>
      <c r="C614" s="1030" t="s">
        <v>2494</v>
      </c>
      <c r="D614" s="1030" t="s">
        <v>2495</v>
      </c>
      <c r="E614" t="s">
        <v>2496</v>
      </c>
      <c r="F614" t="s">
        <v>2425</v>
      </c>
      <c r="G614" t="s">
        <v>22</v>
      </c>
      <c r="H614" t="s">
        <v>22</v>
      </c>
      <c r="I614" t="s">
        <v>870</v>
      </c>
    </row>
    <row r="615" spans="1:9" ht="11.25" customHeight="1">
      <c r="A615" t="s">
        <v>2383</v>
      </c>
      <c r="B615" t="s">
        <v>16</v>
      </c>
      <c r="C615" s="1030" t="s">
        <v>2497</v>
      </c>
      <c r="D615" s="1030" t="s">
        <v>2498</v>
      </c>
      <c r="E615" t="s">
        <v>2499</v>
      </c>
      <c r="F615" t="s">
        <v>2451</v>
      </c>
      <c r="G615" t="s">
        <v>22</v>
      </c>
      <c r="H615" t="s">
        <v>22</v>
      </c>
      <c r="I615" t="s">
        <v>870</v>
      </c>
    </row>
    <row r="616" spans="1:9" ht="11.25" customHeight="1">
      <c r="A616" t="s">
        <v>2383</v>
      </c>
      <c r="B616" t="s">
        <v>16</v>
      </c>
      <c r="C616" s="1030" t="s">
        <v>2503</v>
      </c>
      <c r="D616" s="1030" t="s">
        <v>2504</v>
      </c>
      <c r="E616" t="s">
        <v>2505</v>
      </c>
      <c r="F616" t="s">
        <v>2506</v>
      </c>
      <c r="G616" t="s">
        <v>22</v>
      </c>
      <c r="H616" t="s">
        <v>22</v>
      </c>
      <c r="I616" t="s">
        <v>870</v>
      </c>
    </row>
    <row r="617" spans="1:9" ht="11.25" customHeight="1">
      <c r="A617" t="s">
        <v>2383</v>
      </c>
      <c r="B617" t="s">
        <v>16</v>
      </c>
      <c r="C617" s="1030" t="s">
        <v>13</v>
      </c>
      <c r="D617" s="1030" t="s">
        <v>45</v>
      </c>
      <c r="E617" t="s">
        <v>48</v>
      </c>
      <c r="F617" t="s">
        <v>50</v>
      </c>
      <c r="G617" t="s">
        <v>22</v>
      </c>
      <c r="H617" t="s">
        <v>22</v>
      </c>
      <c r="I617" t="s">
        <v>870</v>
      </c>
    </row>
    <row r="618" spans="1:9" ht="11.25" customHeight="1">
      <c r="A618" t="s">
        <v>2383</v>
      </c>
      <c r="B618" t="s">
        <v>16</v>
      </c>
      <c r="C618" s="1030" t="s">
        <v>2525</v>
      </c>
      <c r="D618" s="1030" t="s">
        <v>2526</v>
      </c>
      <c r="E618" t="s">
        <v>2524</v>
      </c>
      <c r="F618" t="s">
        <v>2527</v>
      </c>
      <c r="G618" t="s">
        <v>22</v>
      </c>
      <c r="H618" t="s">
        <v>22</v>
      </c>
      <c r="I618" t="s">
        <v>870</v>
      </c>
    </row>
    <row r="619" spans="1:9" ht="11.25" customHeight="1">
      <c r="A619" t="s">
        <v>2383</v>
      </c>
      <c r="B619" t="s">
        <v>16</v>
      </c>
      <c r="C619" s="1030" t="s">
        <v>2534</v>
      </c>
      <c r="D619" s="1030" t="s">
        <v>2535</v>
      </c>
      <c r="E619" t="s">
        <v>2524</v>
      </c>
      <c r="F619" t="s">
        <v>2536</v>
      </c>
      <c r="G619" t="s">
        <v>22</v>
      </c>
      <c r="H619" t="s">
        <v>22</v>
      </c>
      <c r="I619" t="s">
        <v>870</v>
      </c>
    </row>
    <row r="620" spans="1:9" ht="11.25" customHeight="1">
      <c r="A620" t="s">
        <v>2383</v>
      </c>
      <c r="B620" t="s">
        <v>16</v>
      </c>
      <c r="C620" s="1030" t="s">
        <v>2540</v>
      </c>
      <c r="D620" s="1030" t="s">
        <v>2541</v>
      </c>
      <c r="E620" t="s">
        <v>2524</v>
      </c>
      <c r="F620" t="s">
        <v>2542</v>
      </c>
      <c r="G620" t="s">
        <v>22</v>
      </c>
      <c r="H620" t="s">
        <v>22</v>
      </c>
      <c r="I620" t="s">
        <v>870</v>
      </c>
    </row>
    <row r="621" spans="1:9" ht="11.25" customHeight="1">
      <c r="A621" t="s">
        <v>2383</v>
      </c>
      <c r="B621" t="s">
        <v>16</v>
      </c>
      <c r="C621" s="1030" t="s">
        <v>3841</v>
      </c>
      <c r="D621" s="1030" t="s">
        <v>3842</v>
      </c>
      <c r="E621" t="s">
        <v>3843</v>
      </c>
      <c r="F621" t="s">
        <v>2432</v>
      </c>
      <c r="G621" t="s">
        <v>22</v>
      </c>
      <c r="H621" t="s">
        <v>22</v>
      </c>
      <c r="I621" t="s">
        <v>870</v>
      </c>
    </row>
    <row r="622" spans="1:9" ht="11.25" customHeight="1">
      <c r="A622" t="s">
        <v>2383</v>
      </c>
      <c r="B622" t="s">
        <v>16</v>
      </c>
      <c r="C622" s="1030" t="s">
        <v>3844</v>
      </c>
      <c r="D622" s="1030" t="s">
        <v>3845</v>
      </c>
      <c r="E622" t="s">
        <v>3846</v>
      </c>
      <c r="F622" t="s">
        <v>3847</v>
      </c>
      <c r="G622" t="s">
        <v>3848</v>
      </c>
      <c r="H622" t="s">
        <v>22</v>
      </c>
      <c r="I622" t="s">
        <v>870</v>
      </c>
    </row>
    <row r="623" spans="1:9" ht="11.25" customHeight="1">
      <c r="A623" t="s">
        <v>2383</v>
      </c>
      <c r="B623" t="s">
        <v>16</v>
      </c>
      <c r="C623" s="1030" t="s">
        <v>2571</v>
      </c>
      <c r="D623" s="1030" t="s">
        <v>2572</v>
      </c>
      <c r="E623" t="s">
        <v>2573</v>
      </c>
      <c r="F623" t="s">
        <v>2574</v>
      </c>
      <c r="G623" t="s">
        <v>22</v>
      </c>
      <c r="H623" t="s">
        <v>22</v>
      </c>
      <c r="I623" t="s">
        <v>870</v>
      </c>
    </row>
    <row r="624" spans="1:9" ht="11.25" customHeight="1">
      <c r="A624" t="s">
        <v>2383</v>
      </c>
      <c r="B624" t="s">
        <v>16</v>
      </c>
      <c r="C624" s="1030" t="s">
        <v>2575</v>
      </c>
      <c r="D624" s="1030" t="s">
        <v>2576</v>
      </c>
      <c r="E624" t="s">
        <v>2577</v>
      </c>
      <c r="F624" t="s">
        <v>2399</v>
      </c>
      <c r="G624" t="s">
        <v>22</v>
      </c>
      <c r="H624" t="s">
        <v>22</v>
      </c>
      <c r="I624" t="s">
        <v>870</v>
      </c>
    </row>
    <row r="625" spans="1:9" ht="11.25" customHeight="1">
      <c r="A625" t="s">
        <v>2383</v>
      </c>
      <c r="B625" t="s">
        <v>16</v>
      </c>
      <c r="C625" s="1030" t="s">
        <v>2585</v>
      </c>
      <c r="D625" s="1030" t="s">
        <v>2586</v>
      </c>
      <c r="E625" t="s">
        <v>2587</v>
      </c>
      <c r="F625" t="s">
        <v>2461</v>
      </c>
      <c r="G625" t="s">
        <v>2588</v>
      </c>
      <c r="H625" t="s">
        <v>22</v>
      </c>
      <c r="I625" t="s">
        <v>870</v>
      </c>
    </row>
    <row r="626" spans="1:9" ht="11.25" customHeight="1">
      <c r="A626" t="s">
        <v>2383</v>
      </c>
      <c r="B626" t="s">
        <v>16</v>
      </c>
      <c r="C626" s="1030" t="s">
        <v>3849</v>
      </c>
      <c r="D626" s="1030" t="s">
        <v>3850</v>
      </c>
      <c r="E626" t="s">
        <v>2701</v>
      </c>
      <c r="F626" t="s">
        <v>2391</v>
      </c>
      <c r="G626" t="s">
        <v>22</v>
      </c>
      <c r="H626" t="s">
        <v>22</v>
      </c>
      <c r="I626" t="s">
        <v>870</v>
      </c>
    </row>
    <row r="627" spans="1:9" ht="11.25" customHeight="1">
      <c r="A627" t="s">
        <v>2383</v>
      </c>
      <c r="B627" t="s">
        <v>16</v>
      </c>
      <c r="C627" s="1030" t="s">
        <v>3851</v>
      </c>
      <c r="D627" s="1030" t="s">
        <v>3852</v>
      </c>
      <c r="E627" t="s">
        <v>3853</v>
      </c>
      <c r="F627" t="s">
        <v>2418</v>
      </c>
      <c r="G627" t="s">
        <v>22</v>
      </c>
      <c r="H627" t="s">
        <v>22</v>
      </c>
      <c r="I627" t="s">
        <v>870</v>
      </c>
    </row>
    <row r="628" spans="1:9" ht="11.25" customHeight="1">
      <c r="A628" t="s">
        <v>2383</v>
      </c>
      <c r="B628" t="s">
        <v>16</v>
      </c>
      <c r="C628" s="1030" t="s">
        <v>3854</v>
      </c>
      <c r="D628" s="1030" t="s">
        <v>3855</v>
      </c>
      <c r="E628" t="s">
        <v>3856</v>
      </c>
      <c r="F628" t="s">
        <v>2399</v>
      </c>
      <c r="G628" t="s">
        <v>22</v>
      </c>
      <c r="H628" t="s">
        <v>22</v>
      </c>
      <c r="I628" t="s">
        <v>870</v>
      </c>
    </row>
    <row r="629" spans="1:9" ht="11.25" customHeight="1">
      <c r="A629" t="s">
        <v>2383</v>
      </c>
      <c r="B629" t="s">
        <v>16</v>
      </c>
      <c r="C629" s="1030" t="s">
        <v>2601</v>
      </c>
      <c r="D629" s="1030" t="s">
        <v>2602</v>
      </c>
      <c r="E629" t="s">
        <v>2603</v>
      </c>
      <c r="F629" t="s">
        <v>2584</v>
      </c>
      <c r="G629" t="s">
        <v>22</v>
      </c>
      <c r="H629" t="s">
        <v>22</v>
      </c>
      <c r="I629" t="s">
        <v>870</v>
      </c>
    </row>
    <row r="630" spans="1:9" ht="11.25" customHeight="1">
      <c r="A630" t="s">
        <v>2383</v>
      </c>
      <c r="B630" t="s">
        <v>16</v>
      </c>
      <c r="C630" s="1030" t="s">
        <v>2608</v>
      </c>
      <c r="D630" s="1030" t="s">
        <v>2609</v>
      </c>
      <c r="E630" t="s">
        <v>2610</v>
      </c>
      <c r="F630" t="s">
        <v>2611</v>
      </c>
      <c r="G630" t="s">
        <v>2612</v>
      </c>
      <c r="H630" t="s">
        <v>22</v>
      </c>
      <c r="I630" t="s">
        <v>870</v>
      </c>
    </row>
    <row r="631" spans="1:9" ht="11.25" customHeight="1">
      <c r="A631" t="s">
        <v>2383</v>
      </c>
      <c r="B631" t="s">
        <v>16</v>
      </c>
      <c r="C631" s="1030" t="s">
        <v>3857</v>
      </c>
      <c r="D631" s="1030" t="s">
        <v>3858</v>
      </c>
      <c r="E631" t="s">
        <v>3859</v>
      </c>
      <c r="F631" t="s">
        <v>3860</v>
      </c>
      <c r="G631" t="s">
        <v>22</v>
      </c>
      <c r="H631" t="s">
        <v>22</v>
      </c>
      <c r="I631" t="s">
        <v>870</v>
      </c>
    </row>
    <row r="632" spans="1:9" ht="11.25" customHeight="1">
      <c r="A632" t="s">
        <v>2383</v>
      </c>
      <c r="B632" t="s">
        <v>16</v>
      </c>
      <c r="C632" s="1030" t="s">
        <v>3861</v>
      </c>
      <c r="D632" s="1030" t="s">
        <v>3862</v>
      </c>
      <c r="E632" t="s">
        <v>3863</v>
      </c>
      <c r="F632" t="s">
        <v>2645</v>
      </c>
      <c r="G632" t="s">
        <v>22</v>
      </c>
      <c r="H632" t="s">
        <v>22</v>
      </c>
      <c r="I632" t="s">
        <v>870</v>
      </c>
    </row>
    <row r="633" spans="1:9" ht="11.25" customHeight="1">
      <c r="A633" t="s">
        <v>2383</v>
      </c>
      <c r="B633" t="s">
        <v>16</v>
      </c>
      <c r="C633" s="1030" t="s">
        <v>3864</v>
      </c>
      <c r="D633" s="1030" t="s">
        <v>3865</v>
      </c>
      <c r="E633" t="s">
        <v>3866</v>
      </c>
      <c r="F633" t="s">
        <v>2828</v>
      </c>
      <c r="G633" t="s">
        <v>22</v>
      </c>
      <c r="H633" t="s">
        <v>22</v>
      </c>
      <c r="I633" t="s">
        <v>870</v>
      </c>
    </row>
    <row r="634" spans="1:9" ht="11.25" customHeight="1">
      <c r="A634" t="s">
        <v>2383</v>
      </c>
      <c r="B634" t="s">
        <v>16</v>
      </c>
      <c r="C634" s="1030" t="s">
        <v>2626</v>
      </c>
      <c r="D634" s="1030" t="s">
        <v>2627</v>
      </c>
      <c r="E634" t="s">
        <v>2628</v>
      </c>
      <c r="F634" t="s">
        <v>2629</v>
      </c>
      <c r="G634" t="s">
        <v>2630</v>
      </c>
      <c r="H634" t="s">
        <v>22</v>
      </c>
      <c r="I634" t="s">
        <v>870</v>
      </c>
    </row>
    <row r="635" spans="1:9" ht="11.25" customHeight="1">
      <c r="A635" t="s">
        <v>2383</v>
      </c>
      <c r="B635" t="s">
        <v>16</v>
      </c>
      <c r="C635" s="1030" t="s">
        <v>2654</v>
      </c>
      <c r="D635" s="1030" t="s">
        <v>2655</v>
      </c>
      <c r="E635" t="s">
        <v>2656</v>
      </c>
      <c r="F635" t="s">
        <v>2657</v>
      </c>
      <c r="G635" t="s">
        <v>22</v>
      </c>
      <c r="H635" t="s">
        <v>22</v>
      </c>
      <c r="I635" t="s">
        <v>870</v>
      </c>
    </row>
    <row r="636" spans="1:9" ht="11.25" customHeight="1">
      <c r="A636" t="s">
        <v>2383</v>
      </c>
      <c r="B636" t="s">
        <v>16</v>
      </c>
      <c r="C636" s="1030" t="s">
        <v>2658</v>
      </c>
      <c r="D636" s="1030" t="s">
        <v>2659</v>
      </c>
      <c r="E636" t="s">
        <v>2660</v>
      </c>
      <c r="F636" t="s">
        <v>2661</v>
      </c>
      <c r="G636" t="s">
        <v>22</v>
      </c>
      <c r="H636" t="s">
        <v>22</v>
      </c>
      <c r="I636" t="s">
        <v>870</v>
      </c>
    </row>
    <row r="637" spans="1:9" ht="11.25" customHeight="1">
      <c r="A637" t="s">
        <v>2383</v>
      </c>
      <c r="B637" t="s">
        <v>16</v>
      </c>
      <c r="C637" s="1030" t="s">
        <v>2669</v>
      </c>
      <c r="D637" s="1030" t="s">
        <v>2670</v>
      </c>
      <c r="E637" t="s">
        <v>2671</v>
      </c>
      <c r="F637" t="s">
        <v>2672</v>
      </c>
      <c r="G637" t="s">
        <v>22</v>
      </c>
      <c r="H637" t="s">
        <v>22</v>
      </c>
      <c r="I637" t="s">
        <v>870</v>
      </c>
    </row>
    <row r="638" spans="1:9" ht="11.25" customHeight="1">
      <c r="A638" t="s">
        <v>2383</v>
      </c>
      <c r="B638" t="s">
        <v>16</v>
      </c>
      <c r="C638" s="1030" t="s">
        <v>2676</v>
      </c>
      <c r="D638" s="1030" t="s">
        <v>2677</v>
      </c>
      <c r="E638" t="s">
        <v>2678</v>
      </c>
      <c r="F638" t="s">
        <v>2414</v>
      </c>
      <c r="G638" t="s">
        <v>22</v>
      </c>
      <c r="H638" t="s">
        <v>22</v>
      </c>
      <c r="I638" t="s">
        <v>870</v>
      </c>
    </row>
    <row r="639" spans="1:9" ht="11.25" customHeight="1">
      <c r="A639" t="s">
        <v>2383</v>
      </c>
      <c r="B639" t="s">
        <v>16</v>
      </c>
      <c r="C639" s="1030" t="s">
        <v>2689</v>
      </c>
      <c r="D639" s="1030" t="s">
        <v>2690</v>
      </c>
      <c r="E639" t="s">
        <v>2691</v>
      </c>
      <c r="F639" t="s">
        <v>2520</v>
      </c>
      <c r="G639" t="s">
        <v>22</v>
      </c>
      <c r="H639" t="s">
        <v>22</v>
      </c>
      <c r="I639" t="s">
        <v>870</v>
      </c>
    </row>
    <row r="640" spans="1:9" ht="11.25" customHeight="1">
      <c r="A640" t="s">
        <v>2383</v>
      </c>
      <c r="B640" t="s">
        <v>16</v>
      </c>
      <c r="C640" s="1030" t="s">
        <v>2695</v>
      </c>
      <c r="D640" s="1030" t="s">
        <v>2696</v>
      </c>
      <c r="E640" t="s">
        <v>2697</v>
      </c>
      <c r="F640" t="s">
        <v>2698</v>
      </c>
      <c r="G640" t="s">
        <v>22</v>
      </c>
      <c r="H640" t="s">
        <v>22</v>
      </c>
      <c r="I640" t="s">
        <v>870</v>
      </c>
    </row>
    <row r="641" spans="1:9" ht="11.25" customHeight="1">
      <c r="A641" t="s">
        <v>2383</v>
      </c>
      <c r="B641" t="s">
        <v>16</v>
      </c>
      <c r="C641" s="1030" t="s">
        <v>2699</v>
      </c>
      <c r="D641" s="1030" t="s">
        <v>2700</v>
      </c>
      <c r="E641" t="s">
        <v>2701</v>
      </c>
      <c r="F641" t="s">
        <v>2702</v>
      </c>
      <c r="G641" t="s">
        <v>22</v>
      </c>
      <c r="H641" t="s">
        <v>22</v>
      </c>
      <c r="I641" t="s">
        <v>870</v>
      </c>
    </row>
    <row r="642" spans="1:9" ht="11.25" customHeight="1">
      <c r="A642" t="s">
        <v>2383</v>
      </c>
      <c r="B642" t="s">
        <v>16</v>
      </c>
      <c r="C642" s="1030" t="s">
        <v>2706</v>
      </c>
      <c r="D642" s="1030" t="s">
        <v>2707</v>
      </c>
      <c r="E642" t="s">
        <v>2708</v>
      </c>
      <c r="F642" t="s">
        <v>2629</v>
      </c>
      <c r="G642" t="s">
        <v>22</v>
      </c>
      <c r="H642" t="s">
        <v>22</v>
      </c>
      <c r="I642" t="s">
        <v>870</v>
      </c>
    </row>
    <row r="643" spans="1:9" ht="11.25" customHeight="1">
      <c r="A643" t="s">
        <v>2383</v>
      </c>
      <c r="B643" t="s">
        <v>16</v>
      </c>
      <c r="C643" s="1030" t="s">
        <v>2712</v>
      </c>
      <c r="D643" s="1030" t="s">
        <v>2713</v>
      </c>
      <c r="E643" t="s">
        <v>2714</v>
      </c>
      <c r="F643" t="s">
        <v>2672</v>
      </c>
      <c r="G643" t="s">
        <v>22</v>
      </c>
      <c r="H643" t="s">
        <v>22</v>
      </c>
      <c r="I643" t="s">
        <v>870</v>
      </c>
    </row>
    <row r="644" spans="1:9" ht="11.25" customHeight="1">
      <c r="A644" t="s">
        <v>2383</v>
      </c>
      <c r="B644" t="s">
        <v>16</v>
      </c>
      <c r="C644" s="1030" t="s">
        <v>3867</v>
      </c>
      <c r="D644" s="1030" t="s">
        <v>3868</v>
      </c>
      <c r="E644" t="s">
        <v>3869</v>
      </c>
      <c r="F644" t="s">
        <v>2399</v>
      </c>
      <c r="G644" t="s">
        <v>22</v>
      </c>
      <c r="H644" t="s">
        <v>22</v>
      </c>
      <c r="I644" t="s">
        <v>870</v>
      </c>
    </row>
    <row r="645" spans="1:9" ht="11.25" customHeight="1">
      <c r="A645" t="s">
        <v>2383</v>
      </c>
      <c r="B645" t="s">
        <v>16</v>
      </c>
      <c r="C645" s="1030" t="s">
        <v>2718</v>
      </c>
      <c r="D645" s="1030" t="s">
        <v>2719</v>
      </c>
      <c r="E645" t="s">
        <v>2720</v>
      </c>
      <c r="F645" t="s">
        <v>2520</v>
      </c>
      <c r="G645" t="s">
        <v>22</v>
      </c>
      <c r="H645" t="s">
        <v>22</v>
      </c>
      <c r="I645" t="s">
        <v>870</v>
      </c>
    </row>
    <row r="646" spans="1:9" ht="11.25" customHeight="1">
      <c r="A646" t="s">
        <v>2383</v>
      </c>
      <c r="B646" t="s">
        <v>16</v>
      </c>
      <c r="C646" s="1030" t="s">
        <v>2742</v>
      </c>
      <c r="D646" s="1030" t="s">
        <v>2743</v>
      </c>
      <c r="E646" t="s">
        <v>2744</v>
      </c>
      <c r="F646" t="s">
        <v>583</v>
      </c>
      <c r="G646" t="s">
        <v>22</v>
      </c>
      <c r="H646" t="s">
        <v>22</v>
      </c>
      <c r="I646" t="s">
        <v>870</v>
      </c>
    </row>
    <row r="647" spans="1:9" ht="11.25" customHeight="1">
      <c r="A647" t="s">
        <v>2383</v>
      </c>
      <c r="B647" t="s">
        <v>16</v>
      </c>
      <c r="C647" s="1030" t="s">
        <v>2748</v>
      </c>
      <c r="D647" s="1030" t="s">
        <v>2749</v>
      </c>
      <c r="E647" t="s">
        <v>2750</v>
      </c>
      <c r="F647" t="s">
        <v>2751</v>
      </c>
      <c r="G647" t="s">
        <v>22</v>
      </c>
      <c r="H647" t="s">
        <v>22</v>
      </c>
      <c r="I647" t="s">
        <v>870</v>
      </c>
    </row>
    <row r="648" spans="1:9" ht="11.25" customHeight="1">
      <c r="A648" t="s">
        <v>2383</v>
      </c>
      <c r="B648" t="s">
        <v>16</v>
      </c>
      <c r="C648" s="1030" t="s">
        <v>3870</v>
      </c>
      <c r="D648" s="1030" t="s">
        <v>3871</v>
      </c>
      <c r="E648" t="s">
        <v>3872</v>
      </c>
      <c r="F648" t="s">
        <v>2828</v>
      </c>
      <c r="G648" t="s">
        <v>22</v>
      </c>
      <c r="H648" t="s">
        <v>22</v>
      </c>
      <c r="I648" t="s">
        <v>870</v>
      </c>
    </row>
    <row r="649" spans="1:9" ht="11.25" customHeight="1">
      <c r="A649" t="s">
        <v>2383</v>
      </c>
      <c r="B649" t="s">
        <v>16</v>
      </c>
      <c r="C649" s="1030" t="s">
        <v>2766</v>
      </c>
      <c r="D649" s="1030" t="s">
        <v>2767</v>
      </c>
      <c r="E649" t="s">
        <v>2768</v>
      </c>
      <c r="F649" t="s">
        <v>2769</v>
      </c>
      <c r="G649" t="s">
        <v>2770</v>
      </c>
      <c r="H649" t="s">
        <v>22</v>
      </c>
      <c r="I649" t="s">
        <v>870</v>
      </c>
    </row>
    <row r="650" spans="1:9" ht="11.25" customHeight="1">
      <c r="A650" t="s">
        <v>2383</v>
      </c>
      <c r="B650" t="s">
        <v>16</v>
      </c>
      <c r="C650" s="1030" t="s">
        <v>3873</v>
      </c>
      <c r="D650" s="1030" t="s">
        <v>3874</v>
      </c>
      <c r="E650" t="s">
        <v>3875</v>
      </c>
      <c r="F650" t="s">
        <v>3245</v>
      </c>
      <c r="G650" t="s">
        <v>22</v>
      </c>
      <c r="H650" t="s">
        <v>22</v>
      </c>
      <c r="I650" t="s">
        <v>870</v>
      </c>
    </row>
    <row r="651" spans="1:9" ht="11.25" customHeight="1">
      <c r="A651" t="s">
        <v>2383</v>
      </c>
      <c r="B651" t="s">
        <v>16</v>
      </c>
      <c r="C651" s="1030" t="s">
        <v>3876</v>
      </c>
      <c r="D651" s="1030" t="s">
        <v>3877</v>
      </c>
      <c r="E651" t="s">
        <v>3878</v>
      </c>
      <c r="F651" t="s">
        <v>3245</v>
      </c>
      <c r="G651" t="s">
        <v>22</v>
      </c>
      <c r="H651" t="s">
        <v>22</v>
      </c>
      <c r="I651" t="s">
        <v>870</v>
      </c>
    </row>
    <row r="652" spans="1:9" ht="11.25" customHeight="1">
      <c r="A652" t="s">
        <v>2383</v>
      </c>
      <c r="B652" t="s">
        <v>16</v>
      </c>
      <c r="C652" s="1030" t="s">
        <v>3879</v>
      </c>
      <c r="D652" s="1030" t="s">
        <v>3880</v>
      </c>
      <c r="E652" t="s">
        <v>3881</v>
      </c>
      <c r="F652" t="s">
        <v>3245</v>
      </c>
      <c r="G652" t="s">
        <v>22</v>
      </c>
      <c r="H652" t="s">
        <v>22</v>
      </c>
      <c r="I652" t="s">
        <v>870</v>
      </c>
    </row>
    <row r="653" spans="1:9" ht="11.25" customHeight="1">
      <c r="A653" t="s">
        <v>2383</v>
      </c>
      <c r="B653" t="s">
        <v>16</v>
      </c>
      <c r="C653" s="1030" t="s">
        <v>3882</v>
      </c>
      <c r="D653" s="1030" t="s">
        <v>3883</v>
      </c>
      <c r="E653" t="s">
        <v>3884</v>
      </c>
      <c r="F653" t="s">
        <v>3245</v>
      </c>
      <c r="G653" t="s">
        <v>22</v>
      </c>
      <c r="H653" t="s">
        <v>22</v>
      </c>
      <c r="I653" t="s">
        <v>870</v>
      </c>
    </row>
    <row r="654" spans="1:9" ht="11.25" customHeight="1">
      <c r="A654" t="s">
        <v>2383</v>
      </c>
      <c r="B654" t="s">
        <v>16</v>
      </c>
      <c r="C654" s="1030" t="s">
        <v>3885</v>
      </c>
      <c r="D654" s="1030" t="s">
        <v>3886</v>
      </c>
      <c r="E654" t="s">
        <v>3887</v>
      </c>
      <c r="F654" t="s">
        <v>3245</v>
      </c>
      <c r="G654" t="s">
        <v>22</v>
      </c>
      <c r="H654" t="s">
        <v>22</v>
      </c>
      <c r="I654" t="s">
        <v>870</v>
      </c>
    </row>
    <row r="655" spans="1:9" ht="11.25" customHeight="1">
      <c r="A655" t="s">
        <v>2383</v>
      </c>
      <c r="B655" t="s">
        <v>16</v>
      </c>
      <c r="C655" s="1030" t="s">
        <v>2781</v>
      </c>
      <c r="D655" s="1030" t="s">
        <v>2782</v>
      </c>
      <c r="E655" t="s">
        <v>2783</v>
      </c>
      <c r="F655" t="s">
        <v>2784</v>
      </c>
      <c r="G655" t="s">
        <v>22</v>
      </c>
      <c r="H655" t="s">
        <v>22</v>
      </c>
      <c r="I655" t="s">
        <v>870</v>
      </c>
    </row>
    <row r="656" spans="1:9" ht="11.25" customHeight="1">
      <c r="A656" t="s">
        <v>2383</v>
      </c>
      <c r="B656" t="s">
        <v>16</v>
      </c>
      <c r="C656" s="1030" t="s">
        <v>3888</v>
      </c>
      <c r="D656" s="1030" t="s">
        <v>3889</v>
      </c>
      <c r="E656" t="s">
        <v>3890</v>
      </c>
      <c r="F656" t="s">
        <v>3146</v>
      </c>
      <c r="G656" t="s">
        <v>3891</v>
      </c>
      <c r="H656" t="s">
        <v>22</v>
      </c>
      <c r="I656" t="s">
        <v>870</v>
      </c>
    </row>
    <row r="657" spans="1:9" ht="11.25" customHeight="1">
      <c r="A657" t="s">
        <v>2383</v>
      </c>
      <c r="B657" t="s">
        <v>16</v>
      </c>
      <c r="C657" s="1030" t="s">
        <v>3892</v>
      </c>
      <c r="D657" s="1030" t="s">
        <v>3889</v>
      </c>
      <c r="E657" t="s">
        <v>3893</v>
      </c>
      <c r="F657" t="s">
        <v>2810</v>
      </c>
      <c r="G657" t="s">
        <v>22</v>
      </c>
      <c r="H657" t="s">
        <v>22</v>
      </c>
      <c r="I657" t="s">
        <v>870</v>
      </c>
    </row>
    <row r="658" spans="1:9" ht="11.25" customHeight="1">
      <c r="A658" t="s">
        <v>2383</v>
      </c>
      <c r="B658" t="s">
        <v>16</v>
      </c>
      <c r="C658" s="1030" t="s">
        <v>2785</v>
      </c>
      <c r="D658" s="1030" t="s">
        <v>2786</v>
      </c>
      <c r="E658" t="s">
        <v>2787</v>
      </c>
      <c r="F658" t="s">
        <v>2584</v>
      </c>
      <c r="G658" t="s">
        <v>22</v>
      </c>
      <c r="H658" t="s">
        <v>22</v>
      </c>
      <c r="I658" t="s">
        <v>870</v>
      </c>
    </row>
    <row r="659" spans="1:9" ht="11.25" customHeight="1">
      <c r="A659" t="s">
        <v>2383</v>
      </c>
      <c r="B659" t="s">
        <v>16</v>
      </c>
      <c r="C659" s="1030" t="s">
        <v>3894</v>
      </c>
      <c r="D659" s="1030" t="s">
        <v>3895</v>
      </c>
      <c r="E659" t="s">
        <v>3896</v>
      </c>
      <c r="F659" t="s">
        <v>2797</v>
      </c>
      <c r="G659" t="s">
        <v>22</v>
      </c>
      <c r="H659" t="s">
        <v>22</v>
      </c>
      <c r="I659" t="s">
        <v>870</v>
      </c>
    </row>
    <row r="660" spans="1:9" ht="11.25" customHeight="1">
      <c r="A660" t="s">
        <v>2383</v>
      </c>
      <c r="B660" t="s">
        <v>16</v>
      </c>
      <c r="C660" s="1030" t="s">
        <v>2788</v>
      </c>
      <c r="D660" s="1030" t="s">
        <v>2789</v>
      </c>
      <c r="E660" t="s">
        <v>2790</v>
      </c>
      <c r="F660" t="s">
        <v>2510</v>
      </c>
      <c r="G660" t="s">
        <v>22</v>
      </c>
      <c r="H660" t="s">
        <v>22</v>
      </c>
      <c r="I660" t="s">
        <v>870</v>
      </c>
    </row>
    <row r="661" spans="1:9" ht="11.25" customHeight="1">
      <c r="A661" t="s">
        <v>2383</v>
      </c>
      <c r="B661" t="s">
        <v>16</v>
      </c>
      <c r="C661" s="1030" t="s">
        <v>2791</v>
      </c>
      <c r="D661" s="1030" t="s">
        <v>2792</v>
      </c>
      <c r="E661" t="s">
        <v>2793</v>
      </c>
      <c r="F661" t="s">
        <v>2584</v>
      </c>
      <c r="G661" t="s">
        <v>22</v>
      </c>
      <c r="H661" t="s">
        <v>22</v>
      </c>
      <c r="I661" t="s">
        <v>870</v>
      </c>
    </row>
    <row r="662" spans="1:9" ht="11.25" customHeight="1">
      <c r="A662" t="s">
        <v>2383</v>
      </c>
      <c r="B662" t="s">
        <v>16</v>
      </c>
      <c r="C662" s="1030" t="s">
        <v>2794</v>
      </c>
      <c r="D662" s="1030" t="s">
        <v>2795</v>
      </c>
      <c r="E662" t="s">
        <v>2796</v>
      </c>
      <c r="F662" t="s">
        <v>2797</v>
      </c>
      <c r="G662" t="s">
        <v>22</v>
      </c>
      <c r="H662" t="s">
        <v>22</v>
      </c>
      <c r="I662" t="s">
        <v>870</v>
      </c>
    </row>
    <row r="663" spans="1:9" ht="11.25" customHeight="1">
      <c r="A663" t="s">
        <v>2383</v>
      </c>
      <c r="B663" t="s">
        <v>16</v>
      </c>
      <c r="C663" s="1030" t="s">
        <v>2798</v>
      </c>
      <c r="D663" s="1030" t="s">
        <v>2799</v>
      </c>
      <c r="E663" t="s">
        <v>2800</v>
      </c>
      <c r="F663" t="s">
        <v>2414</v>
      </c>
      <c r="G663" t="s">
        <v>22</v>
      </c>
      <c r="H663" t="s">
        <v>22</v>
      </c>
      <c r="I663" t="s">
        <v>870</v>
      </c>
    </row>
    <row r="664" spans="1:9" ht="11.25" customHeight="1">
      <c r="A664" t="s">
        <v>2383</v>
      </c>
      <c r="B664" t="s">
        <v>16</v>
      </c>
      <c r="C664" s="1030" t="s">
        <v>2801</v>
      </c>
      <c r="D664" s="1030" t="s">
        <v>2802</v>
      </c>
      <c r="E664" t="s">
        <v>2803</v>
      </c>
      <c r="F664" t="s">
        <v>2595</v>
      </c>
      <c r="G664" t="s">
        <v>22</v>
      </c>
      <c r="H664" t="s">
        <v>22</v>
      </c>
      <c r="I664" t="s">
        <v>870</v>
      </c>
    </row>
    <row r="665" spans="1:9" ht="11.25" customHeight="1">
      <c r="A665" t="s">
        <v>2383</v>
      </c>
      <c r="B665" t="s">
        <v>16</v>
      </c>
      <c r="C665" s="1030" t="s">
        <v>2804</v>
      </c>
      <c r="D665" s="1030" t="s">
        <v>2805</v>
      </c>
      <c r="E665" t="s">
        <v>2806</v>
      </c>
      <c r="F665" t="s">
        <v>2797</v>
      </c>
      <c r="G665" t="s">
        <v>22</v>
      </c>
      <c r="H665" t="s">
        <v>22</v>
      </c>
      <c r="I665" t="s">
        <v>870</v>
      </c>
    </row>
    <row r="666" spans="1:9" ht="11.25" customHeight="1">
      <c r="A666" t="s">
        <v>2383</v>
      </c>
      <c r="B666" t="s">
        <v>16</v>
      </c>
      <c r="C666" s="1030" t="s">
        <v>2814</v>
      </c>
      <c r="D666" s="1030" t="s">
        <v>2815</v>
      </c>
      <c r="E666" t="s">
        <v>2816</v>
      </c>
      <c r="F666" t="s">
        <v>2817</v>
      </c>
      <c r="G666" t="s">
        <v>2818</v>
      </c>
      <c r="H666" t="s">
        <v>22</v>
      </c>
      <c r="I666" t="s">
        <v>870</v>
      </c>
    </row>
    <row r="667" spans="1:9" ht="11.25" customHeight="1">
      <c r="A667" t="s">
        <v>2383</v>
      </c>
      <c r="B667" t="s">
        <v>16</v>
      </c>
      <c r="C667" s="1030" t="s">
        <v>3897</v>
      </c>
      <c r="D667" s="1030" t="s">
        <v>3898</v>
      </c>
      <c r="E667" t="s">
        <v>3899</v>
      </c>
      <c r="F667" t="s">
        <v>3900</v>
      </c>
      <c r="G667" t="s">
        <v>3901</v>
      </c>
      <c r="H667" t="s">
        <v>22</v>
      </c>
      <c r="I667" t="s">
        <v>870</v>
      </c>
    </row>
    <row r="668" spans="1:9" ht="11.25" customHeight="1">
      <c r="A668" t="s">
        <v>2383</v>
      </c>
      <c r="B668" t="s">
        <v>16</v>
      </c>
      <c r="C668" s="1030" t="s">
        <v>3902</v>
      </c>
      <c r="D668" s="1030" t="s">
        <v>3903</v>
      </c>
      <c r="E668" t="s">
        <v>3904</v>
      </c>
      <c r="F668" t="s">
        <v>2629</v>
      </c>
      <c r="G668" t="s">
        <v>22</v>
      </c>
      <c r="H668" t="s">
        <v>22</v>
      </c>
      <c r="I668" t="s">
        <v>870</v>
      </c>
    </row>
    <row r="669" spans="1:9" ht="11.25" customHeight="1">
      <c r="A669" t="s">
        <v>2383</v>
      </c>
      <c r="B669" t="s">
        <v>16</v>
      </c>
      <c r="C669" s="1030" t="s">
        <v>3905</v>
      </c>
      <c r="D669" s="1030" t="s">
        <v>3906</v>
      </c>
      <c r="E669" t="s">
        <v>3907</v>
      </c>
      <c r="F669" t="s">
        <v>2661</v>
      </c>
      <c r="G669" t="s">
        <v>22</v>
      </c>
      <c r="H669" t="s">
        <v>22</v>
      </c>
      <c r="I669" t="s">
        <v>870</v>
      </c>
    </row>
    <row r="670" spans="1:9" ht="11.25" customHeight="1">
      <c r="A670" t="s">
        <v>2383</v>
      </c>
      <c r="B670" t="s">
        <v>16</v>
      </c>
      <c r="C670" s="1030" t="s">
        <v>3908</v>
      </c>
      <c r="D670" s="1030" t="s">
        <v>3909</v>
      </c>
      <c r="E670" t="s">
        <v>3910</v>
      </c>
      <c r="F670" t="s">
        <v>3146</v>
      </c>
      <c r="G670" t="s">
        <v>22</v>
      </c>
      <c r="H670" t="s">
        <v>22</v>
      </c>
      <c r="I670" t="s">
        <v>870</v>
      </c>
    </row>
    <row r="671" spans="1:9" ht="11.25" customHeight="1">
      <c r="A671" t="s">
        <v>2383</v>
      </c>
      <c r="B671" t="s">
        <v>16</v>
      </c>
      <c r="C671" s="1030" t="s">
        <v>2829</v>
      </c>
      <c r="D671" s="1030" t="s">
        <v>2830</v>
      </c>
      <c r="E671" t="s">
        <v>2831</v>
      </c>
      <c r="F671" t="s">
        <v>2432</v>
      </c>
      <c r="G671" t="s">
        <v>22</v>
      </c>
      <c r="H671" t="s">
        <v>22</v>
      </c>
      <c r="I671" t="s">
        <v>870</v>
      </c>
    </row>
    <row r="672" spans="1:9" ht="11.25" customHeight="1">
      <c r="A672" t="s">
        <v>2383</v>
      </c>
      <c r="B672" t="s">
        <v>16</v>
      </c>
      <c r="C672" s="1030" t="s">
        <v>2832</v>
      </c>
      <c r="D672" s="1030" t="s">
        <v>2833</v>
      </c>
      <c r="E672" t="s">
        <v>2834</v>
      </c>
      <c r="F672" t="s">
        <v>2835</v>
      </c>
      <c r="G672" t="s">
        <v>22</v>
      </c>
      <c r="H672" t="s">
        <v>22</v>
      </c>
      <c r="I672" t="s">
        <v>870</v>
      </c>
    </row>
    <row r="673" spans="1:9" ht="11.25" customHeight="1">
      <c r="A673" t="s">
        <v>2383</v>
      </c>
      <c r="B673" t="s">
        <v>16</v>
      </c>
      <c r="C673" s="1030" t="s">
        <v>2836</v>
      </c>
      <c r="D673" s="1030" t="s">
        <v>2837</v>
      </c>
      <c r="E673" t="s">
        <v>2838</v>
      </c>
      <c r="F673" t="s">
        <v>2839</v>
      </c>
      <c r="G673" t="s">
        <v>22</v>
      </c>
      <c r="H673" t="s">
        <v>22</v>
      </c>
      <c r="I673" t="s">
        <v>870</v>
      </c>
    </row>
    <row r="674" spans="1:9" ht="11.25" customHeight="1">
      <c r="A674" t="s">
        <v>2383</v>
      </c>
      <c r="B674" t="s">
        <v>16</v>
      </c>
      <c r="C674" s="1030" t="s">
        <v>3911</v>
      </c>
      <c r="D674" s="1030" t="s">
        <v>3912</v>
      </c>
      <c r="E674" t="s">
        <v>3913</v>
      </c>
      <c r="F674" t="s">
        <v>2440</v>
      </c>
      <c r="G674" t="s">
        <v>22</v>
      </c>
      <c r="H674" t="s">
        <v>22</v>
      </c>
      <c r="I674" t="s">
        <v>870</v>
      </c>
    </row>
    <row r="675" spans="1:9" ht="11.25" customHeight="1">
      <c r="A675" t="s">
        <v>2383</v>
      </c>
      <c r="B675" t="s">
        <v>16</v>
      </c>
      <c r="C675" s="1030" t="s">
        <v>3914</v>
      </c>
      <c r="D675" s="1030" t="s">
        <v>3915</v>
      </c>
      <c r="E675" t="s">
        <v>3916</v>
      </c>
      <c r="F675" t="s">
        <v>3438</v>
      </c>
      <c r="G675" t="s">
        <v>22</v>
      </c>
      <c r="H675" t="s">
        <v>22</v>
      </c>
      <c r="I675" t="s">
        <v>870</v>
      </c>
    </row>
    <row r="676" spans="1:9" ht="11.25" customHeight="1">
      <c r="A676" t="s">
        <v>2383</v>
      </c>
      <c r="B676" t="s">
        <v>16</v>
      </c>
      <c r="C676" s="1030" t="s">
        <v>3917</v>
      </c>
      <c r="D676" s="1030" t="s">
        <v>3918</v>
      </c>
      <c r="E676" t="s">
        <v>3919</v>
      </c>
      <c r="F676" t="s">
        <v>2657</v>
      </c>
      <c r="G676" t="s">
        <v>3920</v>
      </c>
      <c r="H676" t="s">
        <v>22</v>
      </c>
      <c r="I676" t="s">
        <v>870</v>
      </c>
    </row>
    <row r="677" spans="1:9" ht="11.25" customHeight="1">
      <c r="A677" t="s">
        <v>2383</v>
      </c>
      <c r="B677" t="s">
        <v>16</v>
      </c>
      <c r="C677" s="1030" t="s">
        <v>2840</v>
      </c>
      <c r="D677" s="1030" t="s">
        <v>2841</v>
      </c>
      <c r="E677" t="s">
        <v>2842</v>
      </c>
      <c r="F677" t="s">
        <v>2843</v>
      </c>
      <c r="G677" t="s">
        <v>22</v>
      </c>
      <c r="H677" t="s">
        <v>22</v>
      </c>
      <c r="I677" t="s">
        <v>870</v>
      </c>
    </row>
    <row r="678" spans="1:9" ht="11.25" customHeight="1">
      <c r="A678" t="s">
        <v>2383</v>
      </c>
      <c r="B678" t="s">
        <v>16</v>
      </c>
      <c r="C678" s="1030" t="s">
        <v>3921</v>
      </c>
      <c r="D678" s="1030" t="s">
        <v>3922</v>
      </c>
      <c r="E678" t="s">
        <v>3923</v>
      </c>
      <c r="F678" t="s">
        <v>2946</v>
      </c>
      <c r="G678" t="s">
        <v>22</v>
      </c>
      <c r="H678" t="s">
        <v>22</v>
      </c>
      <c r="I678" t="s">
        <v>870</v>
      </c>
    </row>
    <row r="679" spans="1:9" ht="11.25" customHeight="1">
      <c r="A679" t="s">
        <v>2383</v>
      </c>
      <c r="B679" t="s">
        <v>16</v>
      </c>
      <c r="C679" s="1030" t="s">
        <v>2844</v>
      </c>
      <c r="D679" s="1030" t="s">
        <v>2845</v>
      </c>
      <c r="E679" t="s">
        <v>2846</v>
      </c>
      <c r="F679" t="s">
        <v>2657</v>
      </c>
      <c r="G679" t="s">
        <v>22</v>
      </c>
      <c r="H679" t="s">
        <v>22</v>
      </c>
      <c r="I679" t="s">
        <v>870</v>
      </c>
    </row>
    <row r="680" spans="1:9" ht="11.25" customHeight="1">
      <c r="A680" t="s">
        <v>2383</v>
      </c>
      <c r="B680" t="s">
        <v>16</v>
      </c>
      <c r="C680" s="1030" t="s">
        <v>3924</v>
      </c>
      <c r="D680" s="1030" t="s">
        <v>3925</v>
      </c>
      <c r="E680" t="s">
        <v>3926</v>
      </c>
      <c r="F680" t="s">
        <v>2672</v>
      </c>
      <c r="G680" t="s">
        <v>22</v>
      </c>
      <c r="H680" t="s">
        <v>22</v>
      </c>
      <c r="I680" t="s">
        <v>870</v>
      </c>
    </row>
    <row r="681" spans="1:9" ht="11.25" customHeight="1">
      <c r="A681" t="s">
        <v>2383</v>
      </c>
      <c r="B681" t="s">
        <v>16</v>
      </c>
      <c r="C681" s="1030" t="s">
        <v>2847</v>
      </c>
      <c r="D681" s="1030" t="s">
        <v>2848</v>
      </c>
      <c r="E681" t="s">
        <v>2849</v>
      </c>
      <c r="F681" t="s">
        <v>2451</v>
      </c>
      <c r="G681" t="s">
        <v>22</v>
      </c>
      <c r="H681" t="s">
        <v>22</v>
      </c>
      <c r="I681" t="s">
        <v>870</v>
      </c>
    </row>
    <row r="682" spans="1:9" ht="11.25" customHeight="1">
      <c r="A682" t="s">
        <v>2383</v>
      </c>
      <c r="B682" t="s">
        <v>16</v>
      </c>
      <c r="C682" s="1030" t="s">
        <v>3927</v>
      </c>
      <c r="D682" s="1030" t="s">
        <v>2848</v>
      </c>
      <c r="E682" t="s">
        <v>3928</v>
      </c>
      <c r="F682" t="s">
        <v>3100</v>
      </c>
      <c r="G682" t="s">
        <v>22</v>
      </c>
      <c r="H682" t="s">
        <v>22</v>
      </c>
      <c r="I682" t="s">
        <v>870</v>
      </c>
    </row>
    <row r="683" spans="1:9" ht="11.25" customHeight="1">
      <c r="A683" t="s">
        <v>2383</v>
      </c>
      <c r="B683" t="s">
        <v>16</v>
      </c>
      <c r="C683" s="1030" t="s">
        <v>3929</v>
      </c>
      <c r="D683" s="1030" t="s">
        <v>3930</v>
      </c>
      <c r="E683" t="s">
        <v>3931</v>
      </c>
      <c r="F683" t="s">
        <v>2661</v>
      </c>
      <c r="G683" t="s">
        <v>22</v>
      </c>
      <c r="H683" t="s">
        <v>22</v>
      </c>
      <c r="I683" t="s">
        <v>870</v>
      </c>
    </row>
    <row r="684" spans="1:9" ht="11.25" customHeight="1">
      <c r="A684" t="s">
        <v>2383</v>
      </c>
      <c r="B684" t="s">
        <v>16</v>
      </c>
      <c r="C684" s="1030" t="s">
        <v>2850</v>
      </c>
      <c r="D684" s="1030" t="s">
        <v>2851</v>
      </c>
      <c r="E684" t="s">
        <v>2852</v>
      </c>
      <c r="F684" t="s">
        <v>2661</v>
      </c>
      <c r="G684" t="s">
        <v>22</v>
      </c>
      <c r="H684" t="s">
        <v>22</v>
      </c>
      <c r="I684" t="s">
        <v>870</v>
      </c>
    </row>
    <row r="685" spans="1:9" ht="11.25" customHeight="1">
      <c r="A685" t="s">
        <v>2383</v>
      </c>
      <c r="B685" t="s">
        <v>16</v>
      </c>
      <c r="C685" s="1030" t="s">
        <v>3932</v>
      </c>
      <c r="D685" s="1030" t="s">
        <v>3933</v>
      </c>
      <c r="E685" t="s">
        <v>3934</v>
      </c>
      <c r="F685" t="s">
        <v>2432</v>
      </c>
      <c r="G685" t="s">
        <v>3935</v>
      </c>
      <c r="H685" t="s">
        <v>22</v>
      </c>
      <c r="I685" t="s">
        <v>870</v>
      </c>
    </row>
    <row r="686" spans="1:9" ht="11.25" customHeight="1">
      <c r="A686" t="s">
        <v>2383</v>
      </c>
      <c r="B686" t="s">
        <v>16</v>
      </c>
      <c r="C686" s="1030" t="s">
        <v>3936</v>
      </c>
      <c r="D686" s="1030" t="s">
        <v>3937</v>
      </c>
      <c r="E686" t="s">
        <v>3938</v>
      </c>
      <c r="F686" t="s">
        <v>2574</v>
      </c>
      <c r="G686" t="s">
        <v>22</v>
      </c>
      <c r="H686" t="s">
        <v>22</v>
      </c>
      <c r="I686" t="s">
        <v>870</v>
      </c>
    </row>
    <row r="687" spans="1:9" ht="11.25" customHeight="1">
      <c r="A687" t="s">
        <v>2383</v>
      </c>
      <c r="B687" t="s">
        <v>16</v>
      </c>
      <c r="C687" s="1030" t="s">
        <v>3939</v>
      </c>
      <c r="D687" s="1030" t="s">
        <v>3940</v>
      </c>
      <c r="E687" t="s">
        <v>3941</v>
      </c>
      <c r="F687" t="s">
        <v>3100</v>
      </c>
      <c r="G687" t="s">
        <v>22</v>
      </c>
      <c r="H687" t="s">
        <v>22</v>
      </c>
      <c r="I687" t="s">
        <v>870</v>
      </c>
    </row>
    <row r="688" spans="1:9" ht="11.25" customHeight="1">
      <c r="A688" t="s">
        <v>2383</v>
      </c>
      <c r="B688" t="s">
        <v>16</v>
      </c>
      <c r="C688" s="1030" t="s">
        <v>3942</v>
      </c>
      <c r="D688" s="1030" t="s">
        <v>3943</v>
      </c>
      <c r="E688" t="s">
        <v>3944</v>
      </c>
      <c r="F688" t="s">
        <v>2909</v>
      </c>
      <c r="G688" t="s">
        <v>22</v>
      </c>
      <c r="H688" t="s">
        <v>22</v>
      </c>
      <c r="I688" t="s">
        <v>870</v>
      </c>
    </row>
    <row r="689" spans="1:9" ht="11.25" customHeight="1">
      <c r="A689" t="s">
        <v>2383</v>
      </c>
      <c r="B689" t="s">
        <v>16</v>
      </c>
      <c r="C689" s="1030" t="s">
        <v>2856</v>
      </c>
      <c r="D689" s="1030" t="s">
        <v>2857</v>
      </c>
      <c r="E689" t="s">
        <v>2858</v>
      </c>
      <c r="F689" t="s">
        <v>2835</v>
      </c>
      <c r="G689" t="s">
        <v>22</v>
      </c>
      <c r="H689" t="s">
        <v>22</v>
      </c>
      <c r="I689" t="s">
        <v>870</v>
      </c>
    </row>
    <row r="690" spans="1:9" ht="11.25" customHeight="1">
      <c r="A690" t="s">
        <v>2383</v>
      </c>
      <c r="B690" t="s">
        <v>16</v>
      </c>
      <c r="C690" s="1030" t="s">
        <v>2859</v>
      </c>
      <c r="D690" s="1030" t="s">
        <v>2860</v>
      </c>
      <c r="E690" t="s">
        <v>2861</v>
      </c>
      <c r="F690" t="s">
        <v>2665</v>
      </c>
      <c r="G690" t="s">
        <v>22</v>
      </c>
      <c r="H690" t="s">
        <v>22</v>
      </c>
      <c r="I690" t="s">
        <v>870</v>
      </c>
    </row>
    <row r="691" spans="1:9" ht="11.25" customHeight="1">
      <c r="A691" t="s">
        <v>2383</v>
      </c>
      <c r="B691" t="s">
        <v>16</v>
      </c>
      <c r="C691" s="1030" t="s">
        <v>2862</v>
      </c>
      <c r="D691" s="1030" t="s">
        <v>2863</v>
      </c>
      <c r="E691" t="s">
        <v>2864</v>
      </c>
      <c r="F691" t="s">
        <v>2817</v>
      </c>
      <c r="G691" t="s">
        <v>22</v>
      </c>
      <c r="H691" t="s">
        <v>22</v>
      </c>
      <c r="I691" t="s">
        <v>870</v>
      </c>
    </row>
    <row r="692" spans="1:9" ht="11.25" customHeight="1">
      <c r="A692" t="s">
        <v>2383</v>
      </c>
      <c r="B692" t="s">
        <v>16</v>
      </c>
      <c r="C692" s="1030" t="s">
        <v>2865</v>
      </c>
      <c r="D692" s="1030" t="s">
        <v>2866</v>
      </c>
      <c r="E692" t="s">
        <v>2867</v>
      </c>
      <c r="F692" t="s">
        <v>2817</v>
      </c>
      <c r="G692" t="s">
        <v>22</v>
      </c>
      <c r="H692" t="s">
        <v>22</v>
      </c>
      <c r="I692" t="s">
        <v>870</v>
      </c>
    </row>
    <row r="693" spans="1:9" ht="11.25" customHeight="1">
      <c r="A693" t="s">
        <v>2383</v>
      </c>
      <c r="B693" t="s">
        <v>16</v>
      </c>
      <c r="C693" s="1030" t="s">
        <v>2868</v>
      </c>
      <c r="D693" s="1030" t="s">
        <v>2869</v>
      </c>
      <c r="E693" t="s">
        <v>2870</v>
      </c>
      <c r="F693" t="s">
        <v>2817</v>
      </c>
      <c r="G693" t="s">
        <v>22</v>
      </c>
      <c r="H693" t="s">
        <v>22</v>
      </c>
      <c r="I693" t="s">
        <v>870</v>
      </c>
    </row>
    <row r="694" spans="1:9" ht="11.25" customHeight="1">
      <c r="A694" t="s">
        <v>2383</v>
      </c>
      <c r="B694" t="s">
        <v>16</v>
      </c>
      <c r="C694" s="1030" t="s">
        <v>2871</v>
      </c>
      <c r="D694" s="1030" t="s">
        <v>2872</v>
      </c>
      <c r="E694" t="s">
        <v>2873</v>
      </c>
      <c r="F694" t="s">
        <v>2817</v>
      </c>
      <c r="G694" t="s">
        <v>22</v>
      </c>
      <c r="H694" t="s">
        <v>22</v>
      </c>
      <c r="I694" t="s">
        <v>870</v>
      </c>
    </row>
    <row r="695" spans="1:9" ht="11.25" customHeight="1">
      <c r="A695" t="s">
        <v>2383</v>
      </c>
      <c r="B695" t="s">
        <v>16</v>
      </c>
      <c r="C695" s="1030" t="s">
        <v>2874</v>
      </c>
      <c r="D695" s="1030" t="s">
        <v>2875</v>
      </c>
      <c r="E695" t="s">
        <v>2876</v>
      </c>
      <c r="F695" t="s">
        <v>2817</v>
      </c>
      <c r="G695" t="s">
        <v>22</v>
      </c>
      <c r="H695" t="s">
        <v>22</v>
      </c>
      <c r="I695" t="s">
        <v>870</v>
      </c>
    </row>
    <row r="696" spans="1:9" ht="11.25" customHeight="1">
      <c r="A696" t="s">
        <v>2383</v>
      </c>
      <c r="B696" t="s">
        <v>16</v>
      </c>
      <c r="C696" s="1030" t="s">
        <v>2877</v>
      </c>
      <c r="D696" s="1030" t="s">
        <v>2878</v>
      </c>
      <c r="E696" t="s">
        <v>2879</v>
      </c>
      <c r="F696" t="s">
        <v>2817</v>
      </c>
      <c r="G696" t="s">
        <v>22</v>
      </c>
      <c r="H696" t="s">
        <v>22</v>
      </c>
      <c r="I696" t="s">
        <v>870</v>
      </c>
    </row>
    <row r="697" spans="1:9" ht="11.25" customHeight="1">
      <c r="A697" t="s">
        <v>2383</v>
      </c>
      <c r="B697" t="s">
        <v>16</v>
      </c>
      <c r="C697" s="1030" t="s">
        <v>2880</v>
      </c>
      <c r="D697" s="1030" t="s">
        <v>2881</v>
      </c>
      <c r="E697" t="s">
        <v>2882</v>
      </c>
      <c r="F697" t="s">
        <v>2482</v>
      </c>
      <c r="G697" t="s">
        <v>22</v>
      </c>
      <c r="H697" t="s">
        <v>22</v>
      </c>
      <c r="I697" t="s">
        <v>870</v>
      </c>
    </row>
    <row r="698" spans="1:9" ht="11.25" customHeight="1">
      <c r="A698" t="s">
        <v>2383</v>
      </c>
      <c r="B698" t="s">
        <v>16</v>
      </c>
      <c r="C698" s="1030" t="s">
        <v>2883</v>
      </c>
      <c r="D698" s="1030" t="s">
        <v>2884</v>
      </c>
      <c r="E698" t="s">
        <v>2885</v>
      </c>
      <c r="F698" t="s">
        <v>2817</v>
      </c>
      <c r="G698" t="s">
        <v>22</v>
      </c>
      <c r="H698" t="s">
        <v>22</v>
      </c>
      <c r="I698" t="s">
        <v>870</v>
      </c>
    </row>
    <row r="699" spans="1:9" ht="11.25" customHeight="1">
      <c r="A699" t="s">
        <v>2383</v>
      </c>
      <c r="B699" t="s">
        <v>16</v>
      </c>
      <c r="C699" s="1030" t="s">
        <v>2886</v>
      </c>
      <c r="D699" s="1030" t="s">
        <v>2887</v>
      </c>
      <c r="E699" t="s">
        <v>2888</v>
      </c>
      <c r="F699" t="s">
        <v>2889</v>
      </c>
      <c r="G699" t="s">
        <v>22</v>
      </c>
      <c r="H699" t="s">
        <v>22</v>
      </c>
      <c r="I699" t="s">
        <v>870</v>
      </c>
    </row>
    <row r="700" spans="1:9" ht="11.25" customHeight="1">
      <c r="A700" t="s">
        <v>2383</v>
      </c>
      <c r="B700" t="s">
        <v>16</v>
      </c>
      <c r="C700" s="1030" t="s">
        <v>2890</v>
      </c>
      <c r="D700" s="1030" t="s">
        <v>2891</v>
      </c>
      <c r="E700" t="s">
        <v>2892</v>
      </c>
      <c r="F700" t="s">
        <v>2817</v>
      </c>
      <c r="G700" t="s">
        <v>22</v>
      </c>
      <c r="H700" t="s">
        <v>22</v>
      </c>
      <c r="I700" t="s">
        <v>870</v>
      </c>
    </row>
    <row r="701" spans="1:9" ht="11.25" customHeight="1">
      <c r="A701" t="s">
        <v>2383</v>
      </c>
      <c r="B701" t="s">
        <v>16</v>
      </c>
      <c r="C701" s="1030" t="s">
        <v>2893</v>
      </c>
      <c r="D701" s="1030" t="s">
        <v>2894</v>
      </c>
      <c r="E701" t="s">
        <v>2895</v>
      </c>
      <c r="F701" t="s">
        <v>2896</v>
      </c>
      <c r="G701" t="s">
        <v>22</v>
      </c>
      <c r="H701" t="s">
        <v>22</v>
      </c>
      <c r="I701" t="s">
        <v>870</v>
      </c>
    </row>
    <row r="702" spans="1:9" ht="11.25" customHeight="1">
      <c r="A702" t="s">
        <v>2383</v>
      </c>
      <c r="B702" t="s">
        <v>16</v>
      </c>
      <c r="C702" s="1030" t="s">
        <v>3945</v>
      </c>
      <c r="D702" s="1030" t="s">
        <v>3946</v>
      </c>
      <c r="E702" t="s">
        <v>3947</v>
      </c>
      <c r="F702" t="s">
        <v>2769</v>
      </c>
      <c r="G702" t="s">
        <v>22</v>
      </c>
      <c r="H702" t="s">
        <v>22</v>
      </c>
      <c r="I702" t="s">
        <v>870</v>
      </c>
    </row>
    <row r="703" spans="1:9" ht="11.25" customHeight="1">
      <c r="A703" t="s">
        <v>2383</v>
      </c>
      <c r="B703" t="s">
        <v>16</v>
      </c>
      <c r="C703" s="1030" t="s">
        <v>2897</v>
      </c>
      <c r="D703" s="1030" t="s">
        <v>2898</v>
      </c>
      <c r="E703" t="s">
        <v>2899</v>
      </c>
      <c r="F703" t="s">
        <v>2638</v>
      </c>
      <c r="G703" t="s">
        <v>22</v>
      </c>
      <c r="H703" t="s">
        <v>22</v>
      </c>
      <c r="I703" t="s">
        <v>870</v>
      </c>
    </row>
    <row r="704" spans="1:9" ht="11.25" customHeight="1">
      <c r="A704" t="s">
        <v>2383</v>
      </c>
      <c r="B704" t="s">
        <v>16</v>
      </c>
      <c r="C704" s="1030" t="s">
        <v>3948</v>
      </c>
      <c r="D704" s="1030" t="s">
        <v>3949</v>
      </c>
      <c r="E704" t="s">
        <v>3950</v>
      </c>
      <c r="F704" t="s">
        <v>2993</v>
      </c>
      <c r="G704" t="s">
        <v>22</v>
      </c>
      <c r="H704" t="s">
        <v>22</v>
      </c>
      <c r="I704" t="s">
        <v>870</v>
      </c>
    </row>
    <row r="705" spans="1:9" ht="11.25" customHeight="1">
      <c r="A705" t="s">
        <v>2383</v>
      </c>
      <c r="B705" t="s">
        <v>16</v>
      </c>
      <c r="C705" s="1030" t="s">
        <v>2900</v>
      </c>
      <c r="D705" s="1030" t="s">
        <v>2901</v>
      </c>
      <c r="E705" t="s">
        <v>2902</v>
      </c>
      <c r="F705" t="s">
        <v>2661</v>
      </c>
      <c r="G705" t="s">
        <v>22</v>
      </c>
      <c r="H705" t="s">
        <v>22</v>
      </c>
      <c r="I705" t="s">
        <v>870</v>
      </c>
    </row>
    <row r="706" spans="1:9" ht="11.25" customHeight="1">
      <c r="A706" t="s">
        <v>2383</v>
      </c>
      <c r="B706" t="s">
        <v>16</v>
      </c>
      <c r="C706" s="1030" t="s">
        <v>2903</v>
      </c>
      <c r="D706" s="1030" t="s">
        <v>2904</v>
      </c>
      <c r="E706" t="s">
        <v>2905</v>
      </c>
      <c r="F706" t="s">
        <v>2432</v>
      </c>
      <c r="G706" t="s">
        <v>22</v>
      </c>
      <c r="H706" t="s">
        <v>22</v>
      </c>
      <c r="I706" t="s">
        <v>870</v>
      </c>
    </row>
    <row r="707" spans="1:9" ht="11.25" customHeight="1">
      <c r="A707" t="s">
        <v>2383</v>
      </c>
      <c r="B707" t="s">
        <v>16</v>
      </c>
      <c r="C707" s="1030" t="s">
        <v>3951</v>
      </c>
      <c r="D707" s="1030" t="s">
        <v>3952</v>
      </c>
      <c r="E707" t="s">
        <v>3953</v>
      </c>
      <c r="F707" t="s">
        <v>2953</v>
      </c>
      <c r="G707" t="s">
        <v>22</v>
      </c>
      <c r="H707" t="s">
        <v>22</v>
      </c>
      <c r="I707" t="s">
        <v>870</v>
      </c>
    </row>
    <row r="708" spans="1:9" ht="11.25" customHeight="1">
      <c r="A708" t="s">
        <v>2383</v>
      </c>
      <c r="B708" t="s">
        <v>16</v>
      </c>
      <c r="C708" s="1030" t="s">
        <v>3954</v>
      </c>
      <c r="D708" s="1030" t="s">
        <v>3955</v>
      </c>
      <c r="E708" t="s">
        <v>3956</v>
      </c>
      <c r="F708" t="s">
        <v>2661</v>
      </c>
      <c r="G708" t="s">
        <v>22</v>
      </c>
      <c r="H708" t="s">
        <v>22</v>
      </c>
      <c r="I708" t="s">
        <v>870</v>
      </c>
    </row>
    <row r="709" spans="1:9" ht="11.25" customHeight="1">
      <c r="A709" t="s">
        <v>2383</v>
      </c>
      <c r="B709" t="s">
        <v>16</v>
      </c>
      <c r="C709" s="1030" t="s">
        <v>2906</v>
      </c>
      <c r="D709" s="1030" t="s">
        <v>2907</v>
      </c>
      <c r="E709" t="s">
        <v>2908</v>
      </c>
      <c r="F709" t="s">
        <v>2909</v>
      </c>
      <c r="G709" t="s">
        <v>22</v>
      </c>
      <c r="H709" t="s">
        <v>22</v>
      </c>
      <c r="I709" t="s">
        <v>870</v>
      </c>
    </row>
    <row r="710" spans="1:9" ht="11.25" customHeight="1">
      <c r="A710" t="s">
        <v>2383</v>
      </c>
      <c r="B710" t="s">
        <v>16</v>
      </c>
      <c r="C710" s="1030" t="s">
        <v>2910</v>
      </c>
      <c r="D710" s="1030" t="s">
        <v>2911</v>
      </c>
      <c r="E710" t="s">
        <v>2912</v>
      </c>
      <c r="F710" t="s">
        <v>2665</v>
      </c>
      <c r="G710" t="s">
        <v>22</v>
      </c>
      <c r="H710" t="s">
        <v>22</v>
      </c>
      <c r="I710" t="s">
        <v>870</v>
      </c>
    </row>
    <row r="711" spans="1:9" ht="11.25" customHeight="1">
      <c r="A711" t="s">
        <v>2383</v>
      </c>
      <c r="B711" t="s">
        <v>16</v>
      </c>
      <c r="C711" s="1030" t="s">
        <v>2916</v>
      </c>
      <c r="D711" s="1030" t="s">
        <v>2917</v>
      </c>
      <c r="E711" t="s">
        <v>2918</v>
      </c>
      <c r="F711" t="s">
        <v>2661</v>
      </c>
      <c r="G711" t="s">
        <v>22</v>
      </c>
      <c r="H711" t="s">
        <v>22</v>
      </c>
      <c r="I711" t="s">
        <v>870</v>
      </c>
    </row>
    <row r="712" spans="1:9" ht="11.25" customHeight="1">
      <c r="A712" t="s">
        <v>2383</v>
      </c>
      <c r="B712" t="s">
        <v>16</v>
      </c>
      <c r="C712" s="1030" t="s">
        <v>3957</v>
      </c>
      <c r="D712" s="1030" t="s">
        <v>3958</v>
      </c>
      <c r="E712" t="s">
        <v>3959</v>
      </c>
      <c r="F712" t="s">
        <v>2645</v>
      </c>
      <c r="G712" t="s">
        <v>22</v>
      </c>
      <c r="H712" t="s">
        <v>22</v>
      </c>
      <c r="I712" t="s">
        <v>870</v>
      </c>
    </row>
    <row r="713" spans="1:9" ht="11.25" customHeight="1">
      <c r="A713" t="s">
        <v>2383</v>
      </c>
      <c r="B713" t="s">
        <v>16</v>
      </c>
      <c r="C713" s="1030" t="s">
        <v>3960</v>
      </c>
      <c r="D713" s="1030" t="s">
        <v>3961</v>
      </c>
      <c r="E713" t="s">
        <v>3962</v>
      </c>
      <c r="F713" t="s">
        <v>2645</v>
      </c>
      <c r="G713" t="s">
        <v>22</v>
      </c>
      <c r="H713" t="s">
        <v>22</v>
      </c>
      <c r="I713" t="s">
        <v>870</v>
      </c>
    </row>
    <row r="714" spans="1:9" ht="11.25" customHeight="1">
      <c r="A714" t="s">
        <v>2383</v>
      </c>
      <c r="B714" t="s">
        <v>16</v>
      </c>
      <c r="C714" s="1030" t="s">
        <v>2919</v>
      </c>
      <c r="D714" s="1030" t="s">
        <v>2920</v>
      </c>
      <c r="E714" t="s">
        <v>2921</v>
      </c>
      <c r="F714" t="s">
        <v>2482</v>
      </c>
      <c r="G714" t="s">
        <v>22</v>
      </c>
      <c r="H714" t="s">
        <v>22</v>
      </c>
      <c r="I714" t="s">
        <v>870</v>
      </c>
    </row>
    <row r="715" spans="1:9" ht="11.25" customHeight="1">
      <c r="A715" t="s">
        <v>2383</v>
      </c>
      <c r="B715" t="s">
        <v>16</v>
      </c>
      <c r="C715" s="1030" t="s">
        <v>2922</v>
      </c>
      <c r="D715" s="1030" t="s">
        <v>2923</v>
      </c>
      <c r="E715" t="s">
        <v>2924</v>
      </c>
      <c r="F715" t="s">
        <v>2432</v>
      </c>
      <c r="G715" t="s">
        <v>22</v>
      </c>
      <c r="H715" t="s">
        <v>22</v>
      </c>
      <c r="I715" t="s">
        <v>870</v>
      </c>
    </row>
    <row r="716" spans="1:9" ht="11.25" customHeight="1">
      <c r="A716" t="s">
        <v>2383</v>
      </c>
      <c r="B716" t="s">
        <v>16</v>
      </c>
      <c r="C716" s="1030" t="s">
        <v>2925</v>
      </c>
      <c r="D716" s="1030" t="s">
        <v>2926</v>
      </c>
      <c r="E716" t="s">
        <v>2927</v>
      </c>
      <c r="F716" t="s">
        <v>2432</v>
      </c>
      <c r="G716" t="s">
        <v>22</v>
      </c>
      <c r="H716" t="s">
        <v>22</v>
      </c>
      <c r="I716" t="s">
        <v>870</v>
      </c>
    </row>
    <row r="717" spans="1:9" ht="11.25" customHeight="1">
      <c r="A717" t="s">
        <v>2383</v>
      </c>
      <c r="B717" t="s">
        <v>16</v>
      </c>
      <c r="C717" s="1030" t="s">
        <v>3963</v>
      </c>
      <c r="D717" s="1030" t="s">
        <v>3964</v>
      </c>
      <c r="E717" t="s">
        <v>3965</v>
      </c>
      <c r="F717" t="s">
        <v>2661</v>
      </c>
      <c r="G717" t="s">
        <v>22</v>
      </c>
      <c r="H717" t="s">
        <v>22</v>
      </c>
      <c r="I717" t="s">
        <v>870</v>
      </c>
    </row>
    <row r="718" spans="1:9" ht="11.25" customHeight="1">
      <c r="A718" t="s">
        <v>2383</v>
      </c>
      <c r="B718" t="s">
        <v>16</v>
      </c>
      <c r="C718" s="1030" t="s">
        <v>3966</v>
      </c>
      <c r="D718" s="1030" t="s">
        <v>3967</v>
      </c>
      <c r="E718" t="s">
        <v>3968</v>
      </c>
      <c r="F718" t="s">
        <v>2761</v>
      </c>
      <c r="G718" t="s">
        <v>3969</v>
      </c>
      <c r="H718" t="s">
        <v>22</v>
      </c>
      <c r="I718" t="s">
        <v>870</v>
      </c>
    </row>
    <row r="719" spans="1:9" ht="11.25" customHeight="1">
      <c r="A719" t="s">
        <v>2383</v>
      </c>
      <c r="B719" t="s">
        <v>16</v>
      </c>
      <c r="C719" s="1030" t="s">
        <v>2934</v>
      </c>
      <c r="D719" s="1030" t="s">
        <v>2935</v>
      </c>
      <c r="E719" t="s">
        <v>2936</v>
      </c>
      <c r="F719" t="s">
        <v>2657</v>
      </c>
      <c r="G719" t="s">
        <v>22</v>
      </c>
      <c r="H719" t="s">
        <v>22</v>
      </c>
      <c r="I719" t="s">
        <v>870</v>
      </c>
    </row>
    <row r="720" spans="1:9" ht="11.25" customHeight="1">
      <c r="A720" t="s">
        <v>2383</v>
      </c>
      <c r="B720" t="s">
        <v>16</v>
      </c>
      <c r="C720" s="1030" t="s">
        <v>2937</v>
      </c>
      <c r="D720" s="1030" t="s">
        <v>2938</v>
      </c>
      <c r="E720" t="s">
        <v>2939</v>
      </c>
      <c r="F720" t="s">
        <v>2653</v>
      </c>
      <c r="G720" t="s">
        <v>22</v>
      </c>
      <c r="H720" t="s">
        <v>22</v>
      </c>
      <c r="I720" t="s">
        <v>870</v>
      </c>
    </row>
    <row r="721" spans="1:9" ht="11.25" customHeight="1">
      <c r="A721" t="s">
        <v>2383</v>
      </c>
      <c r="B721" t="s">
        <v>16</v>
      </c>
      <c r="C721" s="1030" t="s">
        <v>3970</v>
      </c>
      <c r="D721" s="1030" t="s">
        <v>3971</v>
      </c>
      <c r="E721" t="s">
        <v>3972</v>
      </c>
      <c r="F721" t="s">
        <v>2661</v>
      </c>
      <c r="G721" t="s">
        <v>22</v>
      </c>
      <c r="H721" t="s">
        <v>22</v>
      </c>
      <c r="I721" t="s">
        <v>870</v>
      </c>
    </row>
    <row r="722" spans="1:9" ht="11.25" customHeight="1">
      <c r="A722" t="s">
        <v>2383</v>
      </c>
      <c r="B722" t="s">
        <v>16</v>
      </c>
      <c r="C722" s="1030" t="s">
        <v>2940</v>
      </c>
      <c r="D722" s="1030" t="s">
        <v>2941</v>
      </c>
      <c r="E722" t="s">
        <v>2942</v>
      </c>
      <c r="F722" t="s">
        <v>2817</v>
      </c>
      <c r="G722" t="s">
        <v>22</v>
      </c>
      <c r="H722" t="s">
        <v>22</v>
      </c>
      <c r="I722" t="s">
        <v>870</v>
      </c>
    </row>
    <row r="723" spans="1:9" ht="11.25" customHeight="1">
      <c r="A723" t="s">
        <v>2383</v>
      </c>
      <c r="B723" t="s">
        <v>16</v>
      </c>
      <c r="C723" s="1030" t="s">
        <v>2943</v>
      </c>
      <c r="D723" s="1030" t="s">
        <v>2944</v>
      </c>
      <c r="E723" t="s">
        <v>2945</v>
      </c>
      <c r="F723" t="s">
        <v>2946</v>
      </c>
      <c r="G723" t="s">
        <v>22</v>
      </c>
      <c r="H723" t="s">
        <v>22</v>
      </c>
      <c r="I723" t="s">
        <v>870</v>
      </c>
    </row>
    <row r="724" spans="1:9" ht="11.25" customHeight="1">
      <c r="A724" t="s">
        <v>2383</v>
      </c>
      <c r="B724" t="s">
        <v>16</v>
      </c>
      <c r="C724" s="1030" t="s">
        <v>2947</v>
      </c>
      <c r="D724" s="1030" t="s">
        <v>2948</v>
      </c>
      <c r="E724" t="s">
        <v>2949</v>
      </c>
      <c r="F724" t="s">
        <v>2440</v>
      </c>
      <c r="G724" t="s">
        <v>22</v>
      </c>
      <c r="H724" t="s">
        <v>22</v>
      </c>
      <c r="I724" t="s">
        <v>870</v>
      </c>
    </row>
    <row r="725" spans="1:9" ht="11.25" customHeight="1">
      <c r="A725" t="s">
        <v>2383</v>
      </c>
      <c r="B725" t="s">
        <v>16</v>
      </c>
      <c r="C725" s="1030" t="s">
        <v>2954</v>
      </c>
      <c r="D725" s="1030" t="s">
        <v>2955</v>
      </c>
      <c r="E725" t="s">
        <v>2956</v>
      </c>
      <c r="F725" t="s">
        <v>2817</v>
      </c>
      <c r="G725" t="s">
        <v>22</v>
      </c>
      <c r="H725" t="s">
        <v>22</v>
      </c>
      <c r="I725" t="s">
        <v>870</v>
      </c>
    </row>
    <row r="726" spans="1:9" ht="11.25" customHeight="1">
      <c r="A726" t="s">
        <v>2383</v>
      </c>
      <c r="B726" t="s">
        <v>16</v>
      </c>
      <c r="C726" s="1030" t="s">
        <v>2960</v>
      </c>
      <c r="D726" s="1030" t="s">
        <v>2961</v>
      </c>
      <c r="E726" t="s">
        <v>2962</v>
      </c>
      <c r="F726" t="s">
        <v>2835</v>
      </c>
      <c r="G726" t="s">
        <v>22</v>
      </c>
      <c r="H726" t="s">
        <v>22</v>
      </c>
      <c r="I726" t="s">
        <v>870</v>
      </c>
    </row>
    <row r="727" spans="1:9" ht="11.25" customHeight="1">
      <c r="A727" t="s">
        <v>2383</v>
      </c>
      <c r="B727" t="s">
        <v>16</v>
      </c>
      <c r="C727" s="1030" t="s">
        <v>2963</v>
      </c>
      <c r="D727" s="1030" t="s">
        <v>2964</v>
      </c>
      <c r="E727" t="s">
        <v>2965</v>
      </c>
      <c r="F727" t="s">
        <v>2966</v>
      </c>
      <c r="G727" t="s">
        <v>22</v>
      </c>
      <c r="H727" t="s">
        <v>22</v>
      </c>
      <c r="I727" t="s">
        <v>870</v>
      </c>
    </row>
    <row r="728" spans="1:9" ht="11.25" customHeight="1">
      <c r="A728" t="s">
        <v>2383</v>
      </c>
      <c r="B728" t="s">
        <v>16</v>
      </c>
      <c r="C728" s="1030" t="s">
        <v>3973</v>
      </c>
      <c r="D728" s="1030" t="s">
        <v>3974</v>
      </c>
      <c r="E728" t="s">
        <v>3975</v>
      </c>
      <c r="F728" t="s">
        <v>3025</v>
      </c>
      <c r="G728" t="s">
        <v>22</v>
      </c>
      <c r="H728" t="s">
        <v>22</v>
      </c>
      <c r="I728" t="s">
        <v>870</v>
      </c>
    </row>
    <row r="729" spans="1:9" ht="11.25" customHeight="1">
      <c r="A729" t="s">
        <v>2383</v>
      </c>
      <c r="B729" t="s">
        <v>16</v>
      </c>
      <c r="C729" s="1030" t="s">
        <v>2967</v>
      </c>
      <c r="D729" s="1030" t="s">
        <v>2968</v>
      </c>
      <c r="E729" t="s">
        <v>2969</v>
      </c>
      <c r="F729" t="s">
        <v>2672</v>
      </c>
      <c r="G729" t="s">
        <v>22</v>
      </c>
      <c r="H729" t="s">
        <v>22</v>
      </c>
      <c r="I729" t="s">
        <v>870</v>
      </c>
    </row>
    <row r="730" spans="1:9" ht="11.25" customHeight="1">
      <c r="A730" t="s">
        <v>2383</v>
      </c>
      <c r="B730" t="s">
        <v>16</v>
      </c>
      <c r="C730" s="1030" t="s">
        <v>2970</v>
      </c>
      <c r="D730" s="1030" t="s">
        <v>2971</v>
      </c>
      <c r="E730" t="s">
        <v>2972</v>
      </c>
      <c r="F730" t="s">
        <v>2973</v>
      </c>
      <c r="G730" t="s">
        <v>22</v>
      </c>
      <c r="H730" t="s">
        <v>22</v>
      </c>
      <c r="I730" t="s">
        <v>870</v>
      </c>
    </row>
    <row r="731" spans="1:9" ht="11.25" customHeight="1">
      <c r="A731" t="s">
        <v>2383</v>
      </c>
      <c r="B731" t="s">
        <v>16</v>
      </c>
      <c r="C731" s="1030" t="s">
        <v>3976</v>
      </c>
      <c r="D731" s="1030" t="s">
        <v>3977</v>
      </c>
      <c r="E731" t="s">
        <v>3978</v>
      </c>
      <c r="F731" t="s">
        <v>2769</v>
      </c>
      <c r="G731" t="s">
        <v>3979</v>
      </c>
      <c r="H731" t="s">
        <v>22</v>
      </c>
      <c r="I731" t="s">
        <v>870</v>
      </c>
    </row>
    <row r="732" spans="1:9" ht="11.25" customHeight="1">
      <c r="A732" t="s">
        <v>2383</v>
      </c>
      <c r="B732" t="s">
        <v>16</v>
      </c>
      <c r="C732" s="1030" t="s">
        <v>2974</v>
      </c>
      <c r="D732" s="1030" t="s">
        <v>2975</v>
      </c>
      <c r="E732" t="s">
        <v>2976</v>
      </c>
      <c r="F732" t="s">
        <v>2451</v>
      </c>
      <c r="G732" t="s">
        <v>22</v>
      </c>
      <c r="H732" t="s">
        <v>22</v>
      </c>
      <c r="I732" t="s">
        <v>870</v>
      </c>
    </row>
    <row r="733" spans="1:9" ht="11.25" customHeight="1">
      <c r="A733" t="s">
        <v>2383</v>
      </c>
      <c r="B733" t="s">
        <v>16</v>
      </c>
      <c r="C733" s="1030" t="s">
        <v>3980</v>
      </c>
      <c r="D733" s="1030" t="s">
        <v>3981</v>
      </c>
      <c r="E733" t="s">
        <v>3982</v>
      </c>
      <c r="F733" t="s">
        <v>2769</v>
      </c>
      <c r="G733" t="s">
        <v>22</v>
      </c>
      <c r="H733" t="s">
        <v>22</v>
      </c>
      <c r="I733" t="s">
        <v>870</v>
      </c>
    </row>
    <row r="734" spans="1:9" ht="11.25" customHeight="1">
      <c r="A734" t="s">
        <v>2383</v>
      </c>
      <c r="B734" t="s">
        <v>16</v>
      </c>
      <c r="C734" s="1030" t="s">
        <v>3983</v>
      </c>
      <c r="D734" s="1030" t="s">
        <v>3984</v>
      </c>
      <c r="E734" t="s">
        <v>3985</v>
      </c>
      <c r="F734" t="s">
        <v>2665</v>
      </c>
      <c r="G734" t="s">
        <v>22</v>
      </c>
      <c r="H734" t="s">
        <v>22</v>
      </c>
      <c r="I734" t="s">
        <v>870</v>
      </c>
    </row>
    <row r="735" spans="1:9" ht="11.25" customHeight="1">
      <c r="A735" t="s">
        <v>2383</v>
      </c>
      <c r="B735" t="s">
        <v>16</v>
      </c>
      <c r="C735" s="1030" t="s">
        <v>2977</v>
      </c>
      <c r="D735" s="1030" t="s">
        <v>2978</v>
      </c>
      <c r="E735" t="s">
        <v>2979</v>
      </c>
      <c r="F735" t="s">
        <v>2649</v>
      </c>
      <c r="G735" t="s">
        <v>22</v>
      </c>
      <c r="H735" t="s">
        <v>22</v>
      </c>
      <c r="I735" t="s">
        <v>870</v>
      </c>
    </row>
    <row r="736" spans="1:9" ht="11.25" customHeight="1">
      <c r="A736" t="s">
        <v>2383</v>
      </c>
      <c r="B736" t="s">
        <v>16</v>
      </c>
      <c r="C736" s="1030" t="s">
        <v>2980</v>
      </c>
      <c r="D736" s="1030" t="s">
        <v>2981</v>
      </c>
      <c r="E736" t="s">
        <v>2982</v>
      </c>
      <c r="F736" t="s">
        <v>2769</v>
      </c>
      <c r="G736" t="s">
        <v>2983</v>
      </c>
      <c r="H736" t="s">
        <v>22</v>
      </c>
      <c r="I736" t="s">
        <v>870</v>
      </c>
    </row>
    <row r="737" spans="1:9" ht="11.25" customHeight="1">
      <c r="A737" t="s">
        <v>2383</v>
      </c>
      <c r="B737" t="s">
        <v>16</v>
      </c>
      <c r="C737" s="1030" t="s">
        <v>2984</v>
      </c>
      <c r="D737" s="1030" t="s">
        <v>2985</v>
      </c>
      <c r="E737" t="s">
        <v>2986</v>
      </c>
      <c r="F737" t="s">
        <v>2828</v>
      </c>
      <c r="G737" t="s">
        <v>22</v>
      </c>
      <c r="H737" t="s">
        <v>22</v>
      </c>
      <c r="I737" t="s">
        <v>870</v>
      </c>
    </row>
    <row r="738" spans="1:9" ht="11.25" customHeight="1">
      <c r="A738" t="s">
        <v>2383</v>
      </c>
      <c r="B738" t="s">
        <v>16</v>
      </c>
      <c r="C738" s="1030" t="s">
        <v>2987</v>
      </c>
      <c r="D738" s="1030" t="s">
        <v>2988</v>
      </c>
      <c r="E738" t="s">
        <v>2989</v>
      </c>
      <c r="F738" t="s">
        <v>2657</v>
      </c>
      <c r="G738" t="s">
        <v>22</v>
      </c>
      <c r="H738" t="s">
        <v>22</v>
      </c>
      <c r="I738" t="s">
        <v>870</v>
      </c>
    </row>
    <row r="739" spans="1:9" ht="11.25" customHeight="1">
      <c r="A739" t="s">
        <v>2383</v>
      </c>
      <c r="B739" t="s">
        <v>16</v>
      </c>
      <c r="C739" s="1030" t="s">
        <v>2990</v>
      </c>
      <c r="D739" s="1030" t="s">
        <v>2991</v>
      </c>
      <c r="E739" t="s">
        <v>2992</v>
      </c>
      <c r="F739" t="s">
        <v>2993</v>
      </c>
      <c r="G739" t="s">
        <v>22</v>
      </c>
      <c r="H739" t="s">
        <v>22</v>
      </c>
      <c r="I739" t="s">
        <v>870</v>
      </c>
    </row>
    <row r="740" spans="1:9" ht="11.25" customHeight="1">
      <c r="A740" t="s">
        <v>2383</v>
      </c>
      <c r="B740" t="s">
        <v>16</v>
      </c>
      <c r="C740" s="1030" t="s">
        <v>2994</v>
      </c>
      <c r="D740" s="1030" t="s">
        <v>2995</v>
      </c>
      <c r="E740" t="s">
        <v>2996</v>
      </c>
      <c r="F740" t="s">
        <v>2629</v>
      </c>
      <c r="G740" t="s">
        <v>22</v>
      </c>
      <c r="H740" t="s">
        <v>22</v>
      </c>
      <c r="I740" t="s">
        <v>870</v>
      </c>
    </row>
    <row r="741" spans="1:9" ht="11.25" customHeight="1">
      <c r="A741" t="s">
        <v>2383</v>
      </c>
      <c r="B741" t="s">
        <v>16</v>
      </c>
      <c r="C741" s="1030" t="s">
        <v>2997</v>
      </c>
      <c r="D741" s="1030" t="s">
        <v>2998</v>
      </c>
      <c r="E741" t="s">
        <v>2999</v>
      </c>
      <c r="F741" t="s">
        <v>3000</v>
      </c>
      <c r="G741" t="s">
        <v>22</v>
      </c>
      <c r="H741" t="s">
        <v>22</v>
      </c>
      <c r="I741" t="s">
        <v>870</v>
      </c>
    </row>
    <row r="742" spans="1:9" ht="11.25" customHeight="1">
      <c r="A742" t="s">
        <v>2383</v>
      </c>
      <c r="B742" t="s">
        <v>16</v>
      </c>
      <c r="C742" s="1030" t="s">
        <v>3001</v>
      </c>
      <c r="D742" s="1030" t="s">
        <v>3002</v>
      </c>
      <c r="E742" t="s">
        <v>3003</v>
      </c>
      <c r="F742" t="s">
        <v>2665</v>
      </c>
      <c r="G742" t="s">
        <v>3004</v>
      </c>
      <c r="H742" t="s">
        <v>22</v>
      </c>
      <c r="I742" t="s">
        <v>870</v>
      </c>
    </row>
    <row r="743" spans="1:9" ht="11.25" customHeight="1">
      <c r="A743" t="s">
        <v>2383</v>
      </c>
      <c r="B743" t="s">
        <v>16</v>
      </c>
      <c r="C743" s="1030" t="s">
        <v>3005</v>
      </c>
      <c r="D743" s="1030" t="s">
        <v>3006</v>
      </c>
      <c r="E743" t="s">
        <v>3007</v>
      </c>
      <c r="F743" t="s">
        <v>2665</v>
      </c>
      <c r="G743" t="s">
        <v>22</v>
      </c>
      <c r="H743" t="s">
        <v>22</v>
      </c>
      <c r="I743" t="s">
        <v>870</v>
      </c>
    </row>
    <row r="744" spans="1:9" ht="11.25" customHeight="1">
      <c r="A744" t="s">
        <v>2383</v>
      </c>
      <c r="B744" t="s">
        <v>16</v>
      </c>
      <c r="C744" s="1030" t="s">
        <v>3008</v>
      </c>
      <c r="D744" s="1030" t="s">
        <v>3009</v>
      </c>
      <c r="E744" t="s">
        <v>3010</v>
      </c>
      <c r="F744" t="s">
        <v>3011</v>
      </c>
      <c r="G744" t="s">
        <v>22</v>
      </c>
      <c r="H744" t="s">
        <v>22</v>
      </c>
      <c r="I744" t="s">
        <v>870</v>
      </c>
    </row>
    <row r="745" spans="1:9" ht="11.25" customHeight="1">
      <c r="A745" t="s">
        <v>2383</v>
      </c>
      <c r="B745" t="s">
        <v>16</v>
      </c>
      <c r="C745" s="1030" t="s">
        <v>3012</v>
      </c>
      <c r="D745" s="1030" t="s">
        <v>3013</v>
      </c>
      <c r="E745" t="s">
        <v>3014</v>
      </c>
      <c r="F745" t="s">
        <v>2817</v>
      </c>
      <c r="G745" t="s">
        <v>22</v>
      </c>
      <c r="H745" t="s">
        <v>22</v>
      </c>
      <c r="I745" t="s">
        <v>870</v>
      </c>
    </row>
    <row r="746" spans="1:9" ht="11.25" customHeight="1">
      <c r="A746" t="s">
        <v>2383</v>
      </c>
      <c r="B746" t="s">
        <v>16</v>
      </c>
      <c r="C746" s="1030" t="s">
        <v>3015</v>
      </c>
      <c r="D746" s="1030" t="s">
        <v>3016</v>
      </c>
      <c r="E746" t="s">
        <v>3017</v>
      </c>
      <c r="F746" t="s">
        <v>2629</v>
      </c>
      <c r="G746" t="s">
        <v>3018</v>
      </c>
      <c r="H746" t="s">
        <v>22</v>
      </c>
      <c r="I746" t="s">
        <v>870</v>
      </c>
    </row>
    <row r="747" spans="1:9" ht="11.25" customHeight="1">
      <c r="A747" t="s">
        <v>2383</v>
      </c>
      <c r="B747" t="s">
        <v>16</v>
      </c>
      <c r="C747" s="1030" t="s">
        <v>3019</v>
      </c>
      <c r="D747" s="1030" t="s">
        <v>3020</v>
      </c>
      <c r="E747" t="s">
        <v>3021</v>
      </c>
      <c r="F747" t="s">
        <v>2973</v>
      </c>
      <c r="G747" t="s">
        <v>22</v>
      </c>
      <c r="H747" t="s">
        <v>22</v>
      </c>
      <c r="I747" t="s">
        <v>870</v>
      </c>
    </row>
    <row r="748" spans="1:9" ht="11.25" customHeight="1">
      <c r="A748" t="s">
        <v>2383</v>
      </c>
      <c r="B748" t="s">
        <v>16</v>
      </c>
      <c r="C748" s="1030" t="s">
        <v>3022</v>
      </c>
      <c r="D748" s="1030" t="s">
        <v>3023</v>
      </c>
      <c r="E748" t="s">
        <v>3024</v>
      </c>
      <c r="F748" t="s">
        <v>3025</v>
      </c>
      <c r="G748" t="s">
        <v>22</v>
      </c>
      <c r="H748" t="s">
        <v>22</v>
      </c>
      <c r="I748" t="s">
        <v>870</v>
      </c>
    </row>
    <row r="749" spans="1:9" ht="11.25" customHeight="1">
      <c r="A749" t="s">
        <v>2383</v>
      </c>
      <c r="B749" t="s">
        <v>16</v>
      </c>
      <c r="C749" s="1030" t="s">
        <v>3026</v>
      </c>
      <c r="D749" s="1030" t="s">
        <v>3027</v>
      </c>
      <c r="E749" t="s">
        <v>3028</v>
      </c>
      <c r="F749" t="s">
        <v>2973</v>
      </c>
      <c r="G749" t="s">
        <v>22</v>
      </c>
      <c r="H749" t="s">
        <v>22</v>
      </c>
      <c r="I749" t="s">
        <v>870</v>
      </c>
    </row>
    <row r="750" spans="1:9" ht="11.25" customHeight="1">
      <c r="A750" t="s">
        <v>2383</v>
      </c>
      <c r="B750" t="s">
        <v>16</v>
      </c>
      <c r="C750" s="1030" t="s">
        <v>3029</v>
      </c>
      <c r="D750" s="1030" t="s">
        <v>3030</v>
      </c>
      <c r="E750" t="s">
        <v>3031</v>
      </c>
      <c r="F750" t="s">
        <v>2769</v>
      </c>
      <c r="G750" t="s">
        <v>3032</v>
      </c>
      <c r="H750" t="s">
        <v>3033</v>
      </c>
      <c r="I750" t="s">
        <v>870</v>
      </c>
    </row>
    <row r="751" spans="1:9" ht="11.25" customHeight="1">
      <c r="A751" t="s">
        <v>2383</v>
      </c>
      <c r="B751" t="s">
        <v>16</v>
      </c>
      <c r="C751" s="1030" t="s">
        <v>3986</v>
      </c>
      <c r="D751" s="1030" t="s">
        <v>3987</v>
      </c>
      <c r="E751" t="s">
        <v>3988</v>
      </c>
      <c r="F751" t="s">
        <v>3025</v>
      </c>
      <c r="G751" t="s">
        <v>22</v>
      </c>
      <c r="H751" t="s">
        <v>22</v>
      </c>
      <c r="I751" t="s">
        <v>870</v>
      </c>
    </row>
    <row r="752" spans="1:9" ht="11.25" customHeight="1">
      <c r="A752" t="s">
        <v>2383</v>
      </c>
      <c r="B752" t="s">
        <v>16</v>
      </c>
      <c r="C752" s="1030" t="s">
        <v>3989</v>
      </c>
      <c r="D752" s="1030" t="s">
        <v>3990</v>
      </c>
      <c r="E752" t="s">
        <v>3991</v>
      </c>
      <c r="F752" t="s">
        <v>3208</v>
      </c>
      <c r="G752" t="s">
        <v>22</v>
      </c>
      <c r="H752" t="s">
        <v>22</v>
      </c>
      <c r="I752" t="s">
        <v>870</v>
      </c>
    </row>
    <row r="753" spans="1:9" ht="11.25" customHeight="1">
      <c r="A753" t="s">
        <v>2383</v>
      </c>
      <c r="B753" t="s">
        <v>16</v>
      </c>
      <c r="C753" s="1030" t="s">
        <v>3034</v>
      </c>
      <c r="D753" s="1030" t="s">
        <v>3035</v>
      </c>
      <c r="E753" t="s">
        <v>3036</v>
      </c>
      <c r="F753" t="s">
        <v>2629</v>
      </c>
      <c r="G753" t="s">
        <v>3037</v>
      </c>
      <c r="H753" t="s">
        <v>22</v>
      </c>
      <c r="I753" t="s">
        <v>870</v>
      </c>
    </row>
    <row r="754" spans="1:9" ht="11.25" customHeight="1">
      <c r="A754" t="s">
        <v>2383</v>
      </c>
      <c r="B754" t="s">
        <v>16</v>
      </c>
      <c r="C754" s="1030" t="s">
        <v>3053</v>
      </c>
      <c r="D754" s="1030" t="s">
        <v>3054</v>
      </c>
      <c r="E754" t="s">
        <v>3055</v>
      </c>
      <c r="F754" t="s">
        <v>2629</v>
      </c>
      <c r="G754" t="s">
        <v>22</v>
      </c>
      <c r="H754" t="s">
        <v>22</v>
      </c>
      <c r="I754" t="s">
        <v>870</v>
      </c>
    </row>
    <row r="755" spans="1:9" ht="11.25" customHeight="1">
      <c r="A755" t="s">
        <v>2383</v>
      </c>
      <c r="B755" t="s">
        <v>16</v>
      </c>
      <c r="C755" s="1030" t="s">
        <v>3065</v>
      </c>
      <c r="D755" s="1030" t="s">
        <v>3066</v>
      </c>
      <c r="E755" t="s">
        <v>3067</v>
      </c>
      <c r="F755" t="s">
        <v>3068</v>
      </c>
      <c r="G755" t="s">
        <v>22</v>
      </c>
      <c r="H755" t="s">
        <v>22</v>
      </c>
      <c r="I755" t="s">
        <v>870</v>
      </c>
    </row>
    <row r="756" spans="1:9" ht="11.25" customHeight="1">
      <c r="A756" t="s">
        <v>2383</v>
      </c>
      <c r="B756" t="s">
        <v>16</v>
      </c>
      <c r="C756" s="1030" t="s">
        <v>3992</v>
      </c>
      <c r="D756" s="1030" t="s">
        <v>3993</v>
      </c>
      <c r="E756" t="s">
        <v>3994</v>
      </c>
      <c r="F756" t="s">
        <v>2665</v>
      </c>
      <c r="G756" t="s">
        <v>22</v>
      </c>
      <c r="H756" t="s">
        <v>22</v>
      </c>
      <c r="I756" t="s">
        <v>870</v>
      </c>
    </row>
    <row r="757" spans="1:9" ht="11.25" customHeight="1">
      <c r="A757" t="s">
        <v>2383</v>
      </c>
      <c r="B757" t="s">
        <v>16</v>
      </c>
      <c r="C757" s="1030" t="s">
        <v>3090</v>
      </c>
      <c r="D757" s="1030" t="s">
        <v>3091</v>
      </c>
      <c r="E757" t="s">
        <v>3092</v>
      </c>
      <c r="F757" t="s">
        <v>2506</v>
      </c>
      <c r="G757" t="s">
        <v>22</v>
      </c>
      <c r="H757" t="s">
        <v>22</v>
      </c>
      <c r="I757" t="s">
        <v>870</v>
      </c>
    </row>
    <row r="758" spans="1:9" ht="11.25" customHeight="1">
      <c r="A758" t="s">
        <v>2383</v>
      </c>
      <c r="B758" t="s">
        <v>16</v>
      </c>
      <c r="C758" s="1030" t="s">
        <v>3093</v>
      </c>
      <c r="D758" s="1030" t="s">
        <v>3094</v>
      </c>
      <c r="E758" t="s">
        <v>3095</v>
      </c>
      <c r="F758" t="s">
        <v>2665</v>
      </c>
      <c r="G758" t="s">
        <v>22</v>
      </c>
      <c r="H758" t="s">
        <v>3096</v>
      </c>
      <c r="I758" t="s">
        <v>870</v>
      </c>
    </row>
    <row r="759" spans="1:9" ht="11.25" customHeight="1">
      <c r="A759" t="s">
        <v>2383</v>
      </c>
      <c r="B759" t="s">
        <v>16</v>
      </c>
      <c r="C759" s="1030" t="s">
        <v>3097</v>
      </c>
      <c r="D759" s="1030" t="s">
        <v>3098</v>
      </c>
      <c r="E759" t="s">
        <v>3099</v>
      </c>
      <c r="F759" t="s">
        <v>3100</v>
      </c>
      <c r="G759" t="s">
        <v>22</v>
      </c>
      <c r="H759" t="s">
        <v>22</v>
      </c>
      <c r="I759" t="s">
        <v>870</v>
      </c>
    </row>
    <row r="760" spans="1:9" ht="11.25" customHeight="1">
      <c r="A760" t="s">
        <v>2383</v>
      </c>
      <c r="B760" t="s">
        <v>16</v>
      </c>
      <c r="C760" s="1030" t="s">
        <v>3101</v>
      </c>
      <c r="D760" s="1030" t="s">
        <v>3102</v>
      </c>
      <c r="E760" t="s">
        <v>3103</v>
      </c>
      <c r="F760" t="s">
        <v>2839</v>
      </c>
      <c r="G760" t="s">
        <v>22</v>
      </c>
      <c r="H760" t="s">
        <v>22</v>
      </c>
      <c r="I760" t="s">
        <v>870</v>
      </c>
    </row>
    <row r="761" spans="1:9" ht="11.25" customHeight="1">
      <c r="A761" t="s">
        <v>2383</v>
      </c>
      <c r="B761" t="s">
        <v>16</v>
      </c>
      <c r="C761" s="1030" t="s">
        <v>3116</v>
      </c>
      <c r="D761" s="1030" t="s">
        <v>3117</v>
      </c>
      <c r="E761" t="s">
        <v>3118</v>
      </c>
      <c r="F761" t="s">
        <v>2817</v>
      </c>
      <c r="G761" t="s">
        <v>22</v>
      </c>
      <c r="H761" t="s">
        <v>22</v>
      </c>
      <c r="I761" t="s">
        <v>870</v>
      </c>
    </row>
    <row r="762" spans="1:9" ht="11.25" customHeight="1">
      <c r="A762" t="s">
        <v>2383</v>
      </c>
      <c r="B762" t="s">
        <v>16</v>
      </c>
      <c r="C762" s="1030" t="s">
        <v>3995</v>
      </c>
      <c r="D762" s="1030" t="s">
        <v>3996</v>
      </c>
      <c r="E762" t="s">
        <v>3997</v>
      </c>
      <c r="F762" t="s">
        <v>2482</v>
      </c>
      <c r="G762" t="s">
        <v>22</v>
      </c>
      <c r="H762" t="s">
        <v>22</v>
      </c>
      <c r="I762" t="s">
        <v>870</v>
      </c>
    </row>
    <row r="763" spans="1:9" ht="11.25" customHeight="1">
      <c r="A763" t="s">
        <v>2383</v>
      </c>
      <c r="B763" t="s">
        <v>16</v>
      </c>
      <c r="C763" s="1030" t="s">
        <v>3125</v>
      </c>
      <c r="D763" s="1030" t="s">
        <v>3126</v>
      </c>
      <c r="E763" t="s">
        <v>2697</v>
      </c>
      <c r="F763" t="s">
        <v>3127</v>
      </c>
      <c r="G763" t="s">
        <v>22</v>
      </c>
      <c r="H763" t="s">
        <v>22</v>
      </c>
      <c r="I763" t="s">
        <v>870</v>
      </c>
    </row>
    <row r="764" spans="1:9" ht="11.25" customHeight="1">
      <c r="A764" t="s">
        <v>2383</v>
      </c>
      <c r="B764" t="s">
        <v>16</v>
      </c>
      <c r="C764" s="1030" t="s">
        <v>3998</v>
      </c>
      <c r="D764" s="1030" t="s">
        <v>3999</v>
      </c>
      <c r="E764" t="s">
        <v>4000</v>
      </c>
      <c r="F764" t="s">
        <v>2447</v>
      </c>
      <c r="G764" t="s">
        <v>22</v>
      </c>
      <c r="H764" t="s">
        <v>22</v>
      </c>
      <c r="I764" t="s">
        <v>870</v>
      </c>
    </row>
    <row r="765" spans="1:9" ht="11.25" customHeight="1">
      <c r="A765" t="s">
        <v>2383</v>
      </c>
      <c r="B765" t="s">
        <v>16</v>
      </c>
      <c r="C765" s="1030" t="s">
        <v>3137</v>
      </c>
      <c r="D765" s="1030" t="s">
        <v>3138</v>
      </c>
      <c r="E765" t="s">
        <v>3139</v>
      </c>
      <c r="F765" t="s">
        <v>2391</v>
      </c>
      <c r="G765" t="s">
        <v>22</v>
      </c>
      <c r="H765" t="s">
        <v>22</v>
      </c>
      <c r="I765" t="s">
        <v>870</v>
      </c>
    </row>
    <row r="766" spans="1:9" ht="11.25" customHeight="1">
      <c r="A766" t="s">
        <v>2383</v>
      </c>
      <c r="B766" t="s">
        <v>16</v>
      </c>
      <c r="C766" s="1030" t="s">
        <v>3140</v>
      </c>
      <c r="D766" s="1030" t="s">
        <v>3141</v>
      </c>
      <c r="E766" t="s">
        <v>3142</v>
      </c>
      <c r="F766" t="s">
        <v>2649</v>
      </c>
      <c r="G766" t="s">
        <v>22</v>
      </c>
      <c r="H766" t="s">
        <v>22</v>
      </c>
      <c r="I766" t="s">
        <v>870</v>
      </c>
    </row>
    <row r="767" spans="1:9" ht="11.25" customHeight="1">
      <c r="A767" t="s">
        <v>2383</v>
      </c>
      <c r="B767" t="s">
        <v>16</v>
      </c>
      <c r="C767" s="1030" t="s">
        <v>3143</v>
      </c>
      <c r="D767" s="1030" t="s">
        <v>3144</v>
      </c>
      <c r="E767" t="s">
        <v>3145</v>
      </c>
      <c r="F767" t="s">
        <v>3146</v>
      </c>
      <c r="G767" t="s">
        <v>22</v>
      </c>
      <c r="H767" t="s">
        <v>22</v>
      </c>
      <c r="I767" t="s">
        <v>870</v>
      </c>
    </row>
    <row r="768" spans="1:9" ht="11.25" customHeight="1">
      <c r="A768" t="s">
        <v>2383</v>
      </c>
      <c r="B768" t="s">
        <v>16</v>
      </c>
      <c r="C768" s="1030" t="s">
        <v>4001</v>
      </c>
      <c r="D768" s="1030" t="s">
        <v>4002</v>
      </c>
      <c r="E768" t="s">
        <v>4003</v>
      </c>
      <c r="F768" t="s">
        <v>2404</v>
      </c>
      <c r="G768" t="s">
        <v>4004</v>
      </c>
      <c r="H768" t="s">
        <v>22</v>
      </c>
      <c r="I768" t="s">
        <v>870</v>
      </c>
    </row>
    <row r="769" spans="1:9" ht="11.25" customHeight="1">
      <c r="A769" t="s">
        <v>2383</v>
      </c>
      <c r="B769" t="s">
        <v>16</v>
      </c>
      <c r="C769" s="1030" t="s">
        <v>3156</v>
      </c>
      <c r="D769" s="1030" t="s">
        <v>3157</v>
      </c>
      <c r="E769" t="s">
        <v>3158</v>
      </c>
      <c r="F769" t="s">
        <v>2425</v>
      </c>
      <c r="G769" t="s">
        <v>22</v>
      </c>
      <c r="H769" t="s">
        <v>22</v>
      </c>
      <c r="I769" t="s">
        <v>870</v>
      </c>
    </row>
    <row r="770" spans="1:9" ht="11.25" customHeight="1">
      <c r="A770" t="s">
        <v>2383</v>
      </c>
      <c r="B770" t="s">
        <v>16</v>
      </c>
      <c r="C770" s="1030" t="s">
        <v>4005</v>
      </c>
      <c r="D770" s="1030" t="s">
        <v>4006</v>
      </c>
      <c r="E770" t="s">
        <v>4007</v>
      </c>
      <c r="F770" t="s">
        <v>2584</v>
      </c>
      <c r="G770" t="s">
        <v>22</v>
      </c>
      <c r="H770" t="s">
        <v>22</v>
      </c>
      <c r="I770" t="s">
        <v>870</v>
      </c>
    </row>
    <row r="771" spans="1:9" ht="11.25" customHeight="1">
      <c r="A771" t="s">
        <v>2383</v>
      </c>
      <c r="B771" t="s">
        <v>16</v>
      </c>
      <c r="C771" s="1030" t="s">
        <v>4008</v>
      </c>
      <c r="D771" s="1030" t="s">
        <v>4009</v>
      </c>
      <c r="E771" t="s">
        <v>4010</v>
      </c>
      <c r="F771" t="s">
        <v>3208</v>
      </c>
      <c r="G771" t="s">
        <v>22</v>
      </c>
      <c r="H771" t="s">
        <v>22</v>
      </c>
      <c r="I771" t="s">
        <v>870</v>
      </c>
    </row>
    <row r="772" spans="1:9" ht="11.25" customHeight="1">
      <c r="A772" t="s">
        <v>2383</v>
      </c>
      <c r="B772" t="s">
        <v>16</v>
      </c>
      <c r="C772" s="1030" t="s">
        <v>4011</v>
      </c>
      <c r="D772" s="1030" t="s">
        <v>4012</v>
      </c>
      <c r="E772" t="s">
        <v>4013</v>
      </c>
      <c r="F772" t="s">
        <v>2777</v>
      </c>
      <c r="G772" t="s">
        <v>22</v>
      </c>
      <c r="H772" t="s">
        <v>22</v>
      </c>
      <c r="I772" t="s">
        <v>870</v>
      </c>
    </row>
    <row r="773" spans="1:9" ht="11.25" customHeight="1">
      <c r="A773" t="s">
        <v>2383</v>
      </c>
      <c r="B773" t="s">
        <v>16</v>
      </c>
      <c r="C773" s="1030" t="s">
        <v>4014</v>
      </c>
      <c r="D773" s="1030" t="s">
        <v>4015</v>
      </c>
      <c r="E773" t="s">
        <v>4016</v>
      </c>
      <c r="F773" t="s">
        <v>2645</v>
      </c>
      <c r="G773" t="s">
        <v>22</v>
      </c>
      <c r="H773" t="s">
        <v>22</v>
      </c>
      <c r="I773" t="s">
        <v>870</v>
      </c>
    </row>
    <row r="774" spans="1:9" ht="11.25" customHeight="1">
      <c r="A774" t="s">
        <v>2383</v>
      </c>
      <c r="B774" t="s">
        <v>16</v>
      </c>
      <c r="C774" s="1030" t="s">
        <v>4017</v>
      </c>
      <c r="D774" s="1030" t="s">
        <v>4018</v>
      </c>
      <c r="E774" t="s">
        <v>4019</v>
      </c>
      <c r="F774" t="s">
        <v>3025</v>
      </c>
      <c r="G774" t="s">
        <v>22</v>
      </c>
      <c r="H774" t="s">
        <v>22</v>
      </c>
      <c r="I774" t="s">
        <v>870</v>
      </c>
    </row>
    <row r="775" spans="1:9" ht="11.25" customHeight="1">
      <c r="A775" t="s">
        <v>2383</v>
      </c>
      <c r="B775" t="s">
        <v>16</v>
      </c>
      <c r="C775" s="1030" t="s">
        <v>4020</v>
      </c>
      <c r="D775" s="1030" t="s">
        <v>4021</v>
      </c>
      <c r="E775" t="s">
        <v>4022</v>
      </c>
      <c r="F775" t="s">
        <v>2765</v>
      </c>
      <c r="G775" t="s">
        <v>22</v>
      </c>
      <c r="H775" t="s">
        <v>22</v>
      </c>
      <c r="I775" t="s">
        <v>870</v>
      </c>
    </row>
    <row r="776" spans="1:9" ht="11.25" customHeight="1">
      <c r="A776" t="s">
        <v>2383</v>
      </c>
      <c r="B776" t="s">
        <v>16</v>
      </c>
      <c r="C776" s="1030" t="s">
        <v>4023</v>
      </c>
      <c r="D776" s="1030" t="s">
        <v>4024</v>
      </c>
      <c r="E776" t="s">
        <v>4025</v>
      </c>
      <c r="F776" t="s">
        <v>2629</v>
      </c>
      <c r="G776" t="s">
        <v>22</v>
      </c>
      <c r="H776" t="s">
        <v>22</v>
      </c>
      <c r="I776" t="s">
        <v>870</v>
      </c>
    </row>
    <row r="777" spans="1:9" ht="11.25" customHeight="1">
      <c r="A777" t="s">
        <v>2383</v>
      </c>
      <c r="B777" t="s">
        <v>16</v>
      </c>
      <c r="C777" s="1030" t="s">
        <v>3225</v>
      </c>
      <c r="D777" s="1030" t="s">
        <v>3226</v>
      </c>
      <c r="E777" t="s">
        <v>3227</v>
      </c>
      <c r="F777" t="s">
        <v>2672</v>
      </c>
      <c r="G777" t="s">
        <v>22</v>
      </c>
      <c r="H777" t="s">
        <v>22</v>
      </c>
      <c r="I777" t="s">
        <v>870</v>
      </c>
    </row>
    <row r="778" spans="1:9" ht="11.25" customHeight="1">
      <c r="A778" t="s">
        <v>2383</v>
      </c>
      <c r="B778" t="s">
        <v>16</v>
      </c>
      <c r="C778" s="1030" t="s">
        <v>3228</v>
      </c>
      <c r="D778" s="1030" t="s">
        <v>3226</v>
      </c>
      <c r="E778" t="s">
        <v>3229</v>
      </c>
      <c r="F778" t="s">
        <v>2828</v>
      </c>
      <c r="G778" t="s">
        <v>22</v>
      </c>
      <c r="H778" t="s">
        <v>22</v>
      </c>
      <c r="I778" t="s">
        <v>870</v>
      </c>
    </row>
    <row r="779" spans="1:9" ht="11.25" customHeight="1">
      <c r="A779" t="s">
        <v>2383</v>
      </c>
      <c r="B779" t="s">
        <v>16</v>
      </c>
      <c r="C779" s="1030" t="s">
        <v>4026</v>
      </c>
      <c r="D779" s="1030" t="s">
        <v>3226</v>
      </c>
      <c r="E779" t="s">
        <v>4027</v>
      </c>
      <c r="F779" t="s">
        <v>2418</v>
      </c>
      <c r="G779" t="s">
        <v>22</v>
      </c>
      <c r="H779" t="s">
        <v>22</v>
      </c>
      <c r="I779" t="s">
        <v>870</v>
      </c>
    </row>
    <row r="780" spans="1:9" ht="11.25" customHeight="1">
      <c r="A780" t="s">
        <v>2383</v>
      </c>
      <c r="B780" t="s">
        <v>16</v>
      </c>
      <c r="C780" s="1030" t="s">
        <v>4028</v>
      </c>
      <c r="D780" s="1030" t="s">
        <v>4029</v>
      </c>
      <c r="E780" t="s">
        <v>4030</v>
      </c>
      <c r="F780" t="s">
        <v>2432</v>
      </c>
      <c r="G780" t="s">
        <v>22</v>
      </c>
      <c r="H780" t="s">
        <v>22</v>
      </c>
      <c r="I780" t="s">
        <v>870</v>
      </c>
    </row>
    <row r="781" spans="1:9" ht="11.25" customHeight="1">
      <c r="A781" t="s">
        <v>2383</v>
      </c>
      <c r="B781" t="s">
        <v>16</v>
      </c>
      <c r="C781" s="1030" t="s">
        <v>3233</v>
      </c>
      <c r="D781" s="1030" t="s">
        <v>3234</v>
      </c>
      <c r="E781" t="s">
        <v>3235</v>
      </c>
      <c r="F781" t="s">
        <v>2657</v>
      </c>
      <c r="G781" t="s">
        <v>22</v>
      </c>
      <c r="H781" t="s">
        <v>22</v>
      </c>
      <c r="I781" t="s">
        <v>870</v>
      </c>
    </row>
    <row r="782" spans="1:9" ht="11.25" customHeight="1">
      <c r="A782" t="s">
        <v>2383</v>
      </c>
      <c r="B782" t="s">
        <v>16</v>
      </c>
      <c r="C782" s="1030" t="s">
        <v>3242</v>
      </c>
      <c r="D782" s="1030" t="s">
        <v>3243</v>
      </c>
      <c r="E782" t="s">
        <v>3244</v>
      </c>
      <c r="F782" t="s">
        <v>3245</v>
      </c>
      <c r="G782" t="s">
        <v>22</v>
      </c>
      <c r="H782" t="s">
        <v>22</v>
      </c>
      <c r="I782" t="s">
        <v>870</v>
      </c>
    </row>
    <row r="783" spans="1:9" ht="11.25" customHeight="1">
      <c r="A783" t="s">
        <v>2383</v>
      </c>
      <c r="B783" t="s">
        <v>16</v>
      </c>
      <c r="C783" s="1030" t="s">
        <v>4031</v>
      </c>
      <c r="D783" s="1030" t="s">
        <v>4032</v>
      </c>
      <c r="E783" t="s">
        <v>4033</v>
      </c>
      <c r="F783" t="s">
        <v>4034</v>
      </c>
      <c r="G783" t="s">
        <v>22</v>
      </c>
      <c r="H783" t="s">
        <v>22</v>
      </c>
      <c r="I783" t="s">
        <v>870</v>
      </c>
    </row>
    <row r="784" spans="1:9" ht="11.25" customHeight="1">
      <c r="A784" t="s">
        <v>2383</v>
      </c>
      <c r="B784" t="s">
        <v>16</v>
      </c>
      <c r="C784" s="1030" t="s">
        <v>4035</v>
      </c>
      <c r="D784" s="1030" t="s">
        <v>4036</v>
      </c>
      <c r="E784" t="s">
        <v>4037</v>
      </c>
      <c r="F784" t="s">
        <v>2440</v>
      </c>
      <c r="G784" t="s">
        <v>22</v>
      </c>
      <c r="H784" t="s">
        <v>22</v>
      </c>
      <c r="I784" t="s">
        <v>870</v>
      </c>
    </row>
    <row r="785" spans="1:9" ht="11.25" customHeight="1">
      <c r="A785" t="s">
        <v>2383</v>
      </c>
      <c r="B785" t="s">
        <v>16</v>
      </c>
      <c r="C785" s="1030" t="s">
        <v>3270</v>
      </c>
      <c r="D785" s="1030" t="s">
        <v>3271</v>
      </c>
      <c r="E785" t="s">
        <v>3272</v>
      </c>
      <c r="F785" t="s">
        <v>2584</v>
      </c>
      <c r="G785" t="s">
        <v>22</v>
      </c>
      <c r="H785" t="s">
        <v>22</v>
      </c>
      <c r="I785" t="s">
        <v>870</v>
      </c>
    </row>
    <row r="786" spans="1:9" ht="11.25" customHeight="1">
      <c r="A786" t="s">
        <v>2383</v>
      </c>
      <c r="B786" t="s">
        <v>16</v>
      </c>
      <c r="C786" s="1030" t="s">
        <v>4038</v>
      </c>
      <c r="D786" s="1030" t="s">
        <v>4039</v>
      </c>
      <c r="E786" t="s">
        <v>4040</v>
      </c>
      <c r="F786" t="s">
        <v>3025</v>
      </c>
      <c r="G786" t="s">
        <v>22</v>
      </c>
      <c r="H786" t="s">
        <v>22</v>
      </c>
      <c r="I786" t="s">
        <v>870</v>
      </c>
    </row>
    <row r="787" spans="1:9" ht="11.25" customHeight="1">
      <c r="A787" t="s">
        <v>2383</v>
      </c>
      <c r="B787" t="s">
        <v>16</v>
      </c>
      <c r="C787" s="1030" t="s">
        <v>3280</v>
      </c>
      <c r="D787" s="1030" t="s">
        <v>3281</v>
      </c>
      <c r="E787" t="s">
        <v>3282</v>
      </c>
      <c r="F787" t="s">
        <v>2399</v>
      </c>
      <c r="G787" t="s">
        <v>22</v>
      </c>
      <c r="H787" t="s">
        <v>22</v>
      </c>
      <c r="I787" t="s">
        <v>870</v>
      </c>
    </row>
    <row r="788" spans="1:9" ht="11.25" customHeight="1">
      <c r="A788" t="s">
        <v>2383</v>
      </c>
      <c r="B788" t="s">
        <v>16</v>
      </c>
      <c r="C788" s="1030" t="s">
        <v>3283</v>
      </c>
      <c r="D788" s="1030" t="s">
        <v>3284</v>
      </c>
      <c r="E788" t="s">
        <v>3285</v>
      </c>
      <c r="F788" t="s">
        <v>2611</v>
      </c>
      <c r="G788" t="s">
        <v>22</v>
      </c>
      <c r="H788" t="s">
        <v>22</v>
      </c>
      <c r="I788" t="s">
        <v>870</v>
      </c>
    </row>
    <row r="789" spans="1:9" ht="11.25" customHeight="1">
      <c r="A789" t="s">
        <v>2383</v>
      </c>
      <c r="B789" t="s">
        <v>16</v>
      </c>
      <c r="C789" s="1030" t="s">
        <v>4041</v>
      </c>
      <c r="D789" s="1030" t="s">
        <v>4042</v>
      </c>
      <c r="E789" t="s">
        <v>4043</v>
      </c>
      <c r="F789" t="s">
        <v>2447</v>
      </c>
      <c r="G789" t="s">
        <v>22</v>
      </c>
      <c r="H789" t="s">
        <v>22</v>
      </c>
      <c r="I789" t="s">
        <v>870</v>
      </c>
    </row>
    <row r="790" spans="1:9" ht="11.25" customHeight="1">
      <c r="A790" t="s">
        <v>2383</v>
      </c>
      <c r="B790" t="s">
        <v>16</v>
      </c>
      <c r="C790" s="1030" t="s">
        <v>4044</v>
      </c>
      <c r="D790" s="1030" t="s">
        <v>4045</v>
      </c>
      <c r="E790" t="s">
        <v>4046</v>
      </c>
      <c r="F790" t="s">
        <v>2447</v>
      </c>
      <c r="G790" t="s">
        <v>22</v>
      </c>
      <c r="H790" t="s">
        <v>22</v>
      </c>
      <c r="I790" t="s">
        <v>870</v>
      </c>
    </row>
    <row r="791" spans="1:9" ht="11.25" customHeight="1">
      <c r="A791" t="s">
        <v>2383</v>
      </c>
      <c r="B791" t="s">
        <v>16</v>
      </c>
      <c r="C791" s="1030" t="s">
        <v>4047</v>
      </c>
      <c r="D791" s="1030" t="s">
        <v>4048</v>
      </c>
      <c r="E791" t="s">
        <v>4049</v>
      </c>
      <c r="F791" t="s">
        <v>2461</v>
      </c>
      <c r="G791" t="s">
        <v>22</v>
      </c>
      <c r="H791" t="s">
        <v>22</v>
      </c>
      <c r="I791" t="s">
        <v>870</v>
      </c>
    </row>
    <row r="792" spans="1:9" ht="11.25" customHeight="1">
      <c r="A792" t="s">
        <v>2383</v>
      </c>
      <c r="B792" t="s">
        <v>16</v>
      </c>
      <c r="C792" s="1030" t="s">
        <v>3305</v>
      </c>
      <c r="D792" s="1030" t="s">
        <v>3306</v>
      </c>
      <c r="E792" t="s">
        <v>3307</v>
      </c>
      <c r="F792" t="s">
        <v>2520</v>
      </c>
      <c r="G792" t="s">
        <v>3308</v>
      </c>
      <c r="H792" t="s">
        <v>22</v>
      </c>
      <c r="I792" t="s">
        <v>870</v>
      </c>
    </row>
    <row r="793" spans="1:9" ht="11.25" customHeight="1">
      <c r="A793" t="s">
        <v>2383</v>
      </c>
      <c r="B793" t="s">
        <v>16</v>
      </c>
      <c r="C793" s="1030" t="s">
        <v>4050</v>
      </c>
      <c r="D793" s="1030" t="s">
        <v>4051</v>
      </c>
      <c r="E793" t="s">
        <v>4052</v>
      </c>
      <c r="F793" t="s">
        <v>2896</v>
      </c>
      <c r="G793" t="s">
        <v>22</v>
      </c>
      <c r="H793" t="s">
        <v>22</v>
      </c>
      <c r="I793" t="s">
        <v>870</v>
      </c>
    </row>
    <row r="794" spans="1:9" ht="11.25" customHeight="1">
      <c r="A794" t="s">
        <v>2383</v>
      </c>
      <c r="B794" t="s">
        <v>16</v>
      </c>
      <c r="C794" s="1030" t="s">
        <v>3309</v>
      </c>
      <c r="D794" s="1030" t="s">
        <v>3310</v>
      </c>
      <c r="E794" t="s">
        <v>3311</v>
      </c>
      <c r="F794" t="s">
        <v>2425</v>
      </c>
      <c r="G794" t="s">
        <v>22</v>
      </c>
      <c r="H794" t="s">
        <v>22</v>
      </c>
      <c r="I794" t="s">
        <v>870</v>
      </c>
    </row>
    <row r="795" spans="1:9" ht="11.25" customHeight="1">
      <c r="A795" t="s">
        <v>2383</v>
      </c>
      <c r="B795" t="s">
        <v>16</v>
      </c>
      <c r="C795" s="1030" t="s">
        <v>3329</v>
      </c>
      <c r="D795" s="1030" t="s">
        <v>3330</v>
      </c>
      <c r="E795" t="s">
        <v>3331</v>
      </c>
      <c r="F795" t="s">
        <v>2520</v>
      </c>
      <c r="G795" t="s">
        <v>22</v>
      </c>
      <c r="H795" t="s">
        <v>22</v>
      </c>
      <c r="I795" t="s">
        <v>870</v>
      </c>
    </row>
    <row r="796" spans="1:9" ht="11.25" customHeight="1">
      <c r="A796" t="s">
        <v>2383</v>
      </c>
      <c r="B796" t="s">
        <v>16</v>
      </c>
      <c r="C796" s="1030" t="s">
        <v>4053</v>
      </c>
      <c r="D796" s="1030" t="s">
        <v>3330</v>
      </c>
      <c r="E796" t="s">
        <v>4054</v>
      </c>
      <c r="F796" t="s">
        <v>2391</v>
      </c>
      <c r="G796" t="s">
        <v>22</v>
      </c>
      <c r="H796" t="s">
        <v>22</v>
      </c>
      <c r="I796" t="s">
        <v>870</v>
      </c>
    </row>
    <row r="797" spans="1:9" ht="11.25" customHeight="1">
      <c r="A797" t="s">
        <v>2383</v>
      </c>
      <c r="B797" t="s">
        <v>16</v>
      </c>
      <c r="C797" s="1030" t="s">
        <v>3332</v>
      </c>
      <c r="D797" s="1030" t="s">
        <v>3333</v>
      </c>
      <c r="E797" t="s">
        <v>3334</v>
      </c>
      <c r="F797" t="s">
        <v>2672</v>
      </c>
      <c r="G797" t="s">
        <v>22</v>
      </c>
      <c r="H797" t="s">
        <v>22</v>
      </c>
      <c r="I797" t="s">
        <v>870</v>
      </c>
    </row>
    <row r="798" spans="1:9" ht="11.25" customHeight="1">
      <c r="A798" t="s">
        <v>2383</v>
      </c>
      <c r="B798" t="s">
        <v>16</v>
      </c>
      <c r="C798" s="1030" t="s">
        <v>4055</v>
      </c>
      <c r="D798" s="1030" t="s">
        <v>4056</v>
      </c>
      <c r="E798" t="s">
        <v>4057</v>
      </c>
      <c r="F798" t="s">
        <v>2843</v>
      </c>
      <c r="G798" t="s">
        <v>22</v>
      </c>
      <c r="H798" t="s">
        <v>22</v>
      </c>
      <c r="I798" t="s">
        <v>870</v>
      </c>
    </row>
    <row r="799" spans="1:9" ht="11.25" customHeight="1">
      <c r="A799" t="s">
        <v>2383</v>
      </c>
      <c r="B799" t="s">
        <v>16</v>
      </c>
      <c r="C799" s="1030" t="s">
        <v>4058</v>
      </c>
      <c r="D799" s="1030" t="s">
        <v>4059</v>
      </c>
      <c r="E799" t="s">
        <v>4060</v>
      </c>
      <c r="F799" t="s">
        <v>2817</v>
      </c>
      <c r="G799" t="s">
        <v>22</v>
      </c>
      <c r="H799" t="s">
        <v>22</v>
      </c>
      <c r="I799" t="s">
        <v>870</v>
      </c>
    </row>
    <row r="800" spans="1:9" ht="11.25" customHeight="1">
      <c r="A800" t="s">
        <v>2383</v>
      </c>
      <c r="B800" t="s">
        <v>16</v>
      </c>
      <c r="C800" s="1030" t="s">
        <v>4061</v>
      </c>
      <c r="D800" s="1030" t="s">
        <v>4062</v>
      </c>
      <c r="E800" t="s">
        <v>4063</v>
      </c>
      <c r="F800" t="s">
        <v>2447</v>
      </c>
      <c r="G800" t="s">
        <v>22</v>
      </c>
      <c r="H800" t="s">
        <v>22</v>
      </c>
      <c r="I800" t="s">
        <v>870</v>
      </c>
    </row>
    <row r="801" spans="1:9" ht="11.25" customHeight="1">
      <c r="A801" t="s">
        <v>2383</v>
      </c>
      <c r="B801" t="s">
        <v>16</v>
      </c>
      <c r="C801" s="1030" t="s">
        <v>3348</v>
      </c>
      <c r="D801" s="1030" t="s">
        <v>3349</v>
      </c>
      <c r="E801" t="s">
        <v>3350</v>
      </c>
      <c r="F801" t="s">
        <v>2946</v>
      </c>
      <c r="G801" t="s">
        <v>3351</v>
      </c>
      <c r="H801" t="s">
        <v>22</v>
      </c>
      <c r="I801" t="s">
        <v>870</v>
      </c>
    </row>
    <row r="802" spans="1:9" ht="11.25" customHeight="1">
      <c r="A802" t="s">
        <v>2383</v>
      </c>
      <c r="B802" t="s">
        <v>16</v>
      </c>
      <c r="C802" s="1030" t="s">
        <v>4064</v>
      </c>
      <c r="D802" s="1030" t="s">
        <v>4065</v>
      </c>
      <c r="E802" t="s">
        <v>4066</v>
      </c>
      <c r="F802" t="s">
        <v>3100</v>
      </c>
      <c r="G802" t="s">
        <v>22</v>
      </c>
      <c r="H802" t="s">
        <v>22</v>
      </c>
      <c r="I802" t="s">
        <v>870</v>
      </c>
    </row>
    <row r="803" spans="1:9" ht="11.25" customHeight="1">
      <c r="A803" t="s">
        <v>2383</v>
      </c>
      <c r="B803" t="s">
        <v>16</v>
      </c>
      <c r="C803" s="1030" t="s">
        <v>3371</v>
      </c>
      <c r="D803" s="1030" t="s">
        <v>3372</v>
      </c>
      <c r="E803" t="s">
        <v>3373</v>
      </c>
      <c r="F803" t="s">
        <v>50</v>
      </c>
      <c r="G803" t="s">
        <v>22</v>
      </c>
      <c r="H803" t="s">
        <v>22</v>
      </c>
      <c r="I803" t="s">
        <v>870</v>
      </c>
    </row>
    <row r="804" spans="1:9" ht="11.25" customHeight="1">
      <c r="A804" t="s">
        <v>2383</v>
      </c>
      <c r="B804" t="s">
        <v>16</v>
      </c>
      <c r="C804" s="1030" t="s">
        <v>4067</v>
      </c>
      <c r="D804" s="1030" t="s">
        <v>4068</v>
      </c>
      <c r="E804" t="s">
        <v>4069</v>
      </c>
      <c r="F804" t="s">
        <v>2688</v>
      </c>
      <c r="G804" t="s">
        <v>22</v>
      </c>
      <c r="H804" t="s">
        <v>22</v>
      </c>
      <c r="I804" t="s">
        <v>870</v>
      </c>
    </row>
    <row r="805" spans="1:9" ht="11.25" customHeight="1">
      <c r="A805" t="s">
        <v>2383</v>
      </c>
      <c r="B805" t="s">
        <v>16</v>
      </c>
      <c r="C805" s="1030" t="s">
        <v>3380</v>
      </c>
      <c r="D805" s="1030" t="s">
        <v>3381</v>
      </c>
      <c r="E805" t="s">
        <v>3382</v>
      </c>
      <c r="F805" t="s">
        <v>2584</v>
      </c>
      <c r="G805" t="s">
        <v>22</v>
      </c>
      <c r="H805" t="s">
        <v>22</v>
      </c>
      <c r="I805" t="s">
        <v>870</v>
      </c>
    </row>
    <row r="806" spans="1:9" ht="11.25" customHeight="1">
      <c r="A806" t="s">
        <v>2383</v>
      </c>
      <c r="B806" t="s">
        <v>16</v>
      </c>
      <c r="C806" s="1030" t="s">
        <v>4070</v>
      </c>
      <c r="D806" s="1030" t="s">
        <v>4071</v>
      </c>
      <c r="E806" t="s">
        <v>4072</v>
      </c>
      <c r="F806" t="s">
        <v>3146</v>
      </c>
      <c r="G806" t="s">
        <v>4073</v>
      </c>
      <c r="H806" t="s">
        <v>22</v>
      </c>
      <c r="I806" t="s">
        <v>870</v>
      </c>
    </row>
    <row r="807" spans="1:9" ht="11.25" customHeight="1">
      <c r="A807" t="s">
        <v>2383</v>
      </c>
      <c r="B807" t="s">
        <v>16</v>
      </c>
      <c r="C807" s="1030" t="s">
        <v>3443</v>
      </c>
      <c r="D807" s="1030" t="s">
        <v>3444</v>
      </c>
      <c r="E807" t="s">
        <v>3445</v>
      </c>
      <c r="F807" t="s">
        <v>3446</v>
      </c>
      <c r="G807" t="s">
        <v>22</v>
      </c>
      <c r="H807" t="s">
        <v>22</v>
      </c>
      <c r="I807" t="s">
        <v>870</v>
      </c>
    </row>
    <row r="808" spans="1:9" ht="11.25" customHeight="1">
      <c r="A808" t="s">
        <v>2383</v>
      </c>
      <c r="B808" t="s">
        <v>16</v>
      </c>
      <c r="C808" s="1030" t="s">
        <v>4074</v>
      </c>
      <c r="D808" s="1030" t="s">
        <v>4075</v>
      </c>
      <c r="E808" t="s">
        <v>4076</v>
      </c>
      <c r="F808" t="s">
        <v>2440</v>
      </c>
      <c r="G808" t="s">
        <v>22</v>
      </c>
      <c r="H808" t="s">
        <v>22</v>
      </c>
      <c r="I808" t="s">
        <v>870</v>
      </c>
    </row>
    <row r="809" spans="1:9" ht="11.25" customHeight="1">
      <c r="A809" t="s">
        <v>2383</v>
      </c>
      <c r="B809" t="s">
        <v>16</v>
      </c>
      <c r="C809" s="1030" t="s">
        <v>4077</v>
      </c>
      <c r="D809" s="1030" t="s">
        <v>4078</v>
      </c>
      <c r="E809" t="s">
        <v>4079</v>
      </c>
      <c r="F809" t="s">
        <v>2404</v>
      </c>
      <c r="G809" t="s">
        <v>22</v>
      </c>
      <c r="H809" t="s">
        <v>22</v>
      </c>
      <c r="I809" t="s">
        <v>870</v>
      </c>
    </row>
    <row r="810" spans="1:9" ht="11.25" customHeight="1">
      <c r="A810" t="s">
        <v>2383</v>
      </c>
      <c r="B810" t="s">
        <v>16</v>
      </c>
      <c r="C810" s="1030" t="s">
        <v>4080</v>
      </c>
      <c r="D810" s="1030" t="s">
        <v>4081</v>
      </c>
      <c r="E810" t="s">
        <v>4082</v>
      </c>
      <c r="F810" t="s">
        <v>3438</v>
      </c>
      <c r="G810" t="s">
        <v>22</v>
      </c>
      <c r="H810" t="s">
        <v>22</v>
      </c>
      <c r="I810" t="s">
        <v>870</v>
      </c>
    </row>
    <row r="811" spans="1:9" ht="11.25" customHeight="1">
      <c r="A811" t="s">
        <v>2383</v>
      </c>
      <c r="B811" t="s">
        <v>16</v>
      </c>
      <c r="C811" s="1030" t="s">
        <v>4083</v>
      </c>
      <c r="D811" s="1030" t="s">
        <v>4084</v>
      </c>
      <c r="E811" t="s">
        <v>4085</v>
      </c>
      <c r="F811" t="s">
        <v>2447</v>
      </c>
      <c r="G811" t="s">
        <v>4086</v>
      </c>
      <c r="H811" t="s">
        <v>22</v>
      </c>
      <c r="I811" t="s">
        <v>870</v>
      </c>
    </row>
    <row r="812" spans="1:9" ht="11.25" customHeight="1">
      <c r="A812" t="s">
        <v>2383</v>
      </c>
      <c r="B812" t="s">
        <v>16</v>
      </c>
      <c r="C812" s="1030" t="s">
        <v>4087</v>
      </c>
      <c r="D812" s="1030" t="s">
        <v>4088</v>
      </c>
      <c r="E812" t="s">
        <v>4089</v>
      </c>
      <c r="F812" t="s">
        <v>2447</v>
      </c>
      <c r="G812" t="s">
        <v>22</v>
      </c>
      <c r="H812" t="s">
        <v>22</v>
      </c>
      <c r="I812" t="s">
        <v>870</v>
      </c>
    </row>
    <row r="813" spans="1:9" ht="11.25" customHeight="1">
      <c r="A813" t="s">
        <v>2383</v>
      </c>
      <c r="B813" t="s">
        <v>16</v>
      </c>
      <c r="C813" s="1030" t="s">
        <v>4090</v>
      </c>
      <c r="D813" s="1030" t="s">
        <v>4091</v>
      </c>
      <c r="E813" t="s">
        <v>4092</v>
      </c>
      <c r="F813" t="s">
        <v>2946</v>
      </c>
      <c r="G813" t="s">
        <v>4093</v>
      </c>
      <c r="H813" t="s">
        <v>22</v>
      </c>
      <c r="I813" t="s">
        <v>870</v>
      </c>
    </row>
    <row r="814" spans="1:9" ht="11.25" customHeight="1">
      <c r="A814" t="s">
        <v>2383</v>
      </c>
      <c r="B814" t="s">
        <v>16</v>
      </c>
      <c r="C814" s="1030" t="s">
        <v>3464</v>
      </c>
      <c r="D814" s="1030" t="s">
        <v>3465</v>
      </c>
      <c r="E814" t="s">
        <v>3466</v>
      </c>
      <c r="F814" t="s">
        <v>2440</v>
      </c>
      <c r="G814" t="s">
        <v>22</v>
      </c>
      <c r="H814" t="s">
        <v>22</v>
      </c>
      <c r="I814" t="s">
        <v>870</v>
      </c>
    </row>
    <row r="815" spans="1:9" ht="11.25" customHeight="1">
      <c r="A815" t="s">
        <v>2383</v>
      </c>
      <c r="B815" t="s">
        <v>16</v>
      </c>
      <c r="C815" s="1030" t="s">
        <v>3467</v>
      </c>
      <c r="D815" s="1030" t="s">
        <v>3468</v>
      </c>
      <c r="E815" t="s">
        <v>3469</v>
      </c>
      <c r="F815" t="s">
        <v>2638</v>
      </c>
      <c r="G815" t="s">
        <v>22</v>
      </c>
      <c r="H815" t="s">
        <v>22</v>
      </c>
      <c r="I815" t="s">
        <v>870</v>
      </c>
    </row>
    <row r="816" spans="1:9" ht="11.25" customHeight="1">
      <c r="A816" t="s">
        <v>2383</v>
      </c>
      <c r="B816" t="s">
        <v>16</v>
      </c>
      <c r="C816" s="1030" t="s">
        <v>3490</v>
      </c>
      <c r="D816" s="1030" t="s">
        <v>3491</v>
      </c>
      <c r="E816" t="s">
        <v>3492</v>
      </c>
      <c r="F816" t="s">
        <v>2817</v>
      </c>
      <c r="G816" t="s">
        <v>3493</v>
      </c>
      <c r="H816" t="s">
        <v>22</v>
      </c>
      <c r="I816" t="s">
        <v>870</v>
      </c>
    </row>
    <row r="817" spans="1:9" ht="11.25" customHeight="1">
      <c r="A817" t="s">
        <v>2383</v>
      </c>
      <c r="B817" t="s">
        <v>16</v>
      </c>
      <c r="C817" s="1030" t="s">
        <v>4094</v>
      </c>
      <c r="D817" s="1030" t="s">
        <v>4095</v>
      </c>
      <c r="E817" t="s">
        <v>4096</v>
      </c>
      <c r="F817" t="s">
        <v>2835</v>
      </c>
      <c r="G817" t="s">
        <v>22</v>
      </c>
      <c r="H817" t="s">
        <v>22</v>
      </c>
      <c r="I817" t="s">
        <v>870</v>
      </c>
    </row>
    <row r="818" spans="1:9" ht="11.25" customHeight="1">
      <c r="A818" t="s">
        <v>2383</v>
      </c>
      <c r="B818" t="s">
        <v>16</v>
      </c>
      <c r="C818" s="1030" t="s">
        <v>3506</v>
      </c>
      <c r="D818" s="1030" t="s">
        <v>3507</v>
      </c>
      <c r="E818" t="s">
        <v>3508</v>
      </c>
      <c r="F818" t="s">
        <v>2584</v>
      </c>
      <c r="G818" t="s">
        <v>22</v>
      </c>
      <c r="H818" t="s">
        <v>22</v>
      </c>
      <c r="I818" t="s">
        <v>870</v>
      </c>
    </row>
    <row r="819" spans="1:9" ht="11.25" customHeight="1">
      <c r="A819" t="s">
        <v>2383</v>
      </c>
      <c r="B819" t="s">
        <v>16</v>
      </c>
      <c r="C819" s="1030" t="s">
        <v>3509</v>
      </c>
      <c r="D819" s="1030" t="s">
        <v>3510</v>
      </c>
      <c r="E819" t="s">
        <v>3511</v>
      </c>
      <c r="F819" t="s">
        <v>2451</v>
      </c>
      <c r="G819" t="s">
        <v>22</v>
      </c>
      <c r="H819" t="s">
        <v>22</v>
      </c>
      <c r="I819" t="s">
        <v>870</v>
      </c>
    </row>
    <row r="820" spans="1:9" ht="11.25" customHeight="1">
      <c r="A820" t="s">
        <v>2383</v>
      </c>
      <c r="B820" t="s">
        <v>16</v>
      </c>
      <c r="C820" s="1030" t="s">
        <v>3530</v>
      </c>
      <c r="D820" s="1030" t="s">
        <v>3531</v>
      </c>
      <c r="E820" t="s">
        <v>3532</v>
      </c>
      <c r="F820" t="s">
        <v>2432</v>
      </c>
      <c r="G820" t="s">
        <v>22</v>
      </c>
      <c r="H820" t="s">
        <v>22</v>
      </c>
      <c r="I820" t="s">
        <v>870</v>
      </c>
    </row>
    <row r="821" spans="1:9" ht="11.25" customHeight="1">
      <c r="A821" t="s">
        <v>2383</v>
      </c>
      <c r="B821" t="s">
        <v>16</v>
      </c>
      <c r="C821" s="1030" t="s">
        <v>4097</v>
      </c>
      <c r="D821" s="1030" t="s">
        <v>4098</v>
      </c>
      <c r="E821" t="s">
        <v>4099</v>
      </c>
      <c r="F821" t="s">
        <v>2447</v>
      </c>
      <c r="G821" t="s">
        <v>22</v>
      </c>
      <c r="H821" t="s">
        <v>22</v>
      </c>
      <c r="I821" t="s">
        <v>870</v>
      </c>
    </row>
    <row r="822" spans="1:9" ht="11.25" customHeight="1">
      <c r="A822" t="s">
        <v>2383</v>
      </c>
      <c r="B822" t="s">
        <v>16</v>
      </c>
      <c r="C822" s="1030" t="s">
        <v>3542</v>
      </c>
      <c r="D822" s="1030" t="s">
        <v>3543</v>
      </c>
      <c r="E822" t="s">
        <v>3544</v>
      </c>
      <c r="F822" t="s">
        <v>2451</v>
      </c>
      <c r="G822" t="s">
        <v>22</v>
      </c>
      <c r="H822" t="s">
        <v>22</v>
      </c>
      <c r="I822" t="s">
        <v>870</v>
      </c>
    </row>
    <row r="823" spans="1:9" ht="11.25" customHeight="1">
      <c r="A823" t="s">
        <v>2383</v>
      </c>
      <c r="B823" t="s">
        <v>16</v>
      </c>
      <c r="C823" s="1030" t="s">
        <v>3568</v>
      </c>
      <c r="D823" s="1030" t="s">
        <v>3569</v>
      </c>
      <c r="E823" t="s">
        <v>3570</v>
      </c>
      <c r="F823" t="s">
        <v>2414</v>
      </c>
      <c r="G823" t="s">
        <v>22</v>
      </c>
      <c r="H823" t="s">
        <v>22</v>
      </c>
      <c r="I823" t="s">
        <v>870</v>
      </c>
    </row>
    <row r="824" spans="1:9" ht="11.25" customHeight="1">
      <c r="A824" t="s">
        <v>2383</v>
      </c>
      <c r="B824" t="s">
        <v>16</v>
      </c>
      <c r="C824" s="1030" t="s">
        <v>4100</v>
      </c>
      <c r="D824" s="1030" t="s">
        <v>4101</v>
      </c>
      <c r="E824" t="s">
        <v>4102</v>
      </c>
      <c r="F824" t="s">
        <v>2665</v>
      </c>
      <c r="G824" t="s">
        <v>22</v>
      </c>
      <c r="H824" t="s">
        <v>22</v>
      </c>
      <c r="I824" t="s">
        <v>870</v>
      </c>
    </row>
    <row r="825" spans="1:9" ht="11.25" customHeight="1">
      <c r="A825" t="s">
        <v>2383</v>
      </c>
      <c r="B825" t="s">
        <v>16</v>
      </c>
      <c r="C825" s="1030" t="s">
        <v>4103</v>
      </c>
      <c r="D825" s="1030" t="s">
        <v>4104</v>
      </c>
      <c r="E825" t="s">
        <v>4105</v>
      </c>
      <c r="F825" t="s">
        <v>2649</v>
      </c>
      <c r="G825" t="s">
        <v>22</v>
      </c>
      <c r="H825" t="s">
        <v>22</v>
      </c>
      <c r="I825" t="s">
        <v>870</v>
      </c>
    </row>
    <row r="826" spans="1:9" ht="11.25" customHeight="1">
      <c r="A826" t="s">
        <v>2383</v>
      </c>
      <c r="B826" t="s">
        <v>16</v>
      </c>
      <c r="C826" s="1030" t="s">
        <v>4106</v>
      </c>
      <c r="D826" s="1030" t="s">
        <v>4107</v>
      </c>
      <c r="E826" t="s">
        <v>4108</v>
      </c>
      <c r="F826" t="s">
        <v>2672</v>
      </c>
      <c r="G826" t="s">
        <v>22</v>
      </c>
      <c r="H826" t="s">
        <v>22</v>
      </c>
      <c r="I826" t="s">
        <v>870</v>
      </c>
    </row>
    <row r="827" spans="1:9" ht="11.25" customHeight="1">
      <c r="A827" t="s">
        <v>2383</v>
      </c>
      <c r="B827" t="s">
        <v>16</v>
      </c>
      <c r="C827" s="1030" t="s">
        <v>4109</v>
      </c>
      <c r="D827" s="1030" t="s">
        <v>4110</v>
      </c>
      <c r="E827" t="s">
        <v>4111</v>
      </c>
      <c r="F827" t="s">
        <v>2447</v>
      </c>
      <c r="G827" t="s">
        <v>22</v>
      </c>
      <c r="H827" t="s">
        <v>22</v>
      </c>
      <c r="I827" t="s">
        <v>870</v>
      </c>
    </row>
    <row r="828" spans="1:9" ht="11.25" customHeight="1">
      <c r="A828" t="s">
        <v>2383</v>
      </c>
      <c r="B828" t="s">
        <v>16</v>
      </c>
      <c r="C828" s="1030" t="s">
        <v>4112</v>
      </c>
      <c r="D828" s="1030" t="s">
        <v>4113</v>
      </c>
      <c r="E828" t="s">
        <v>4114</v>
      </c>
      <c r="F828" t="s">
        <v>2688</v>
      </c>
      <c r="G828" t="s">
        <v>22</v>
      </c>
      <c r="H828" t="s">
        <v>22</v>
      </c>
      <c r="I828" t="s">
        <v>870</v>
      </c>
    </row>
    <row r="829" spans="1:9" ht="11.25" customHeight="1">
      <c r="A829" t="s">
        <v>2383</v>
      </c>
      <c r="B829" t="s">
        <v>16</v>
      </c>
      <c r="C829" s="1030" t="s">
        <v>4115</v>
      </c>
      <c r="D829" s="1030" t="s">
        <v>4116</v>
      </c>
      <c r="E829" t="s">
        <v>4117</v>
      </c>
      <c r="F829" t="s">
        <v>3100</v>
      </c>
      <c r="G829" t="s">
        <v>22</v>
      </c>
      <c r="H829" t="s">
        <v>22</v>
      </c>
      <c r="I829" t="s">
        <v>870</v>
      </c>
    </row>
    <row r="830" spans="1:9" ht="11.25" customHeight="1">
      <c r="A830" t="s">
        <v>2383</v>
      </c>
      <c r="B830" t="s">
        <v>16</v>
      </c>
      <c r="C830" s="1030" t="s">
        <v>4118</v>
      </c>
      <c r="D830" s="1030" t="s">
        <v>4119</v>
      </c>
      <c r="E830" t="s">
        <v>4120</v>
      </c>
      <c r="F830" t="s">
        <v>2665</v>
      </c>
      <c r="G830" t="s">
        <v>22</v>
      </c>
      <c r="H830" t="s">
        <v>22</v>
      </c>
      <c r="I830" t="s">
        <v>870</v>
      </c>
    </row>
    <row r="831" spans="1:9" ht="11.25" customHeight="1">
      <c r="A831" t="s">
        <v>2383</v>
      </c>
      <c r="B831" t="s">
        <v>16</v>
      </c>
      <c r="C831" s="1030" t="s">
        <v>4121</v>
      </c>
      <c r="D831" s="1030" t="s">
        <v>4122</v>
      </c>
      <c r="E831" t="s">
        <v>4123</v>
      </c>
      <c r="F831" t="s">
        <v>2777</v>
      </c>
      <c r="G831" t="s">
        <v>22</v>
      </c>
      <c r="H831" t="s">
        <v>22</v>
      </c>
      <c r="I831" t="s">
        <v>870</v>
      </c>
    </row>
    <row r="832" spans="1:9" ht="11.25" customHeight="1">
      <c r="A832" t="s">
        <v>2383</v>
      </c>
      <c r="B832" t="s">
        <v>16</v>
      </c>
      <c r="C832" s="1030" t="s">
        <v>3684</v>
      </c>
      <c r="D832" s="1030" t="s">
        <v>3685</v>
      </c>
      <c r="E832" t="s">
        <v>2435</v>
      </c>
      <c r="F832" t="s">
        <v>3686</v>
      </c>
      <c r="G832" t="s">
        <v>22</v>
      </c>
      <c r="H832" t="s">
        <v>22</v>
      </c>
      <c r="I832" t="s">
        <v>870</v>
      </c>
    </row>
    <row r="833" spans="1:9" ht="11.25" customHeight="1">
      <c r="A833" t="s">
        <v>2383</v>
      </c>
      <c r="B833" t="s">
        <v>16</v>
      </c>
      <c r="C833" s="1030" t="s">
        <v>4124</v>
      </c>
      <c r="D833" s="1030" t="s">
        <v>4125</v>
      </c>
      <c r="E833" t="s">
        <v>4126</v>
      </c>
      <c r="F833" t="s">
        <v>2665</v>
      </c>
      <c r="G833" t="s">
        <v>22</v>
      </c>
      <c r="H833" t="s">
        <v>22</v>
      </c>
      <c r="I833" t="s">
        <v>870</v>
      </c>
    </row>
    <row r="834" spans="1:9" ht="11.25" customHeight="1">
      <c r="A834" t="s">
        <v>2383</v>
      </c>
      <c r="B834" t="s">
        <v>16</v>
      </c>
      <c r="C834" s="1030" t="s">
        <v>3691</v>
      </c>
      <c r="D834" s="1030" t="s">
        <v>3692</v>
      </c>
      <c r="E834" t="s">
        <v>3693</v>
      </c>
      <c r="F834" t="s">
        <v>2817</v>
      </c>
      <c r="G834" t="s">
        <v>22</v>
      </c>
      <c r="H834" t="s">
        <v>22</v>
      </c>
      <c r="I834" t="s">
        <v>870</v>
      </c>
    </row>
    <row r="835" spans="1:9" ht="11.25" customHeight="1">
      <c r="A835" t="s">
        <v>2383</v>
      </c>
      <c r="B835" t="s">
        <v>16</v>
      </c>
      <c r="C835" s="1030" t="s">
        <v>3694</v>
      </c>
      <c r="D835" s="1030" t="s">
        <v>3695</v>
      </c>
      <c r="E835" t="s">
        <v>3696</v>
      </c>
      <c r="F835" t="s">
        <v>2461</v>
      </c>
      <c r="G835" t="s">
        <v>22</v>
      </c>
      <c r="H835" t="s">
        <v>22</v>
      </c>
      <c r="I835" t="s">
        <v>870</v>
      </c>
    </row>
    <row r="836" spans="1:9" ht="11.25" customHeight="1">
      <c r="A836" t="s">
        <v>2383</v>
      </c>
      <c r="B836" t="s">
        <v>16</v>
      </c>
      <c r="C836" s="1030" t="s">
        <v>3697</v>
      </c>
      <c r="D836" s="1030" t="s">
        <v>3698</v>
      </c>
      <c r="E836" t="s">
        <v>3699</v>
      </c>
      <c r="F836" t="s">
        <v>2440</v>
      </c>
      <c r="G836" t="s">
        <v>22</v>
      </c>
      <c r="H836" t="s">
        <v>22</v>
      </c>
      <c r="I836" t="s">
        <v>870</v>
      </c>
    </row>
    <row r="837" spans="1:9" ht="11.25" customHeight="1">
      <c r="A837" t="s">
        <v>2383</v>
      </c>
      <c r="B837" t="s">
        <v>16</v>
      </c>
      <c r="C837" s="1030" t="s">
        <v>3704</v>
      </c>
      <c r="D837" s="1030" t="s">
        <v>3705</v>
      </c>
      <c r="E837" t="s">
        <v>3706</v>
      </c>
      <c r="F837" t="s">
        <v>2570</v>
      </c>
      <c r="G837" t="s">
        <v>22</v>
      </c>
      <c r="H837" t="s">
        <v>22</v>
      </c>
      <c r="I837" t="s">
        <v>870</v>
      </c>
    </row>
    <row r="838" spans="1:9" ht="11.25" customHeight="1">
      <c r="A838" t="s">
        <v>2383</v>
      </c>
      <c r="B838" t="s">
        <v>16</v>
      </c>
      <c r="C838" s="1030" t="s">
        <v>3716</v>
      </c>
      <c r="D838" s="1030" t="s">
        <v>3717</v>
      </c>
      <c r="E838" t="s">
        <v>3718</v>
      </c>
      <c r="F838" t="s">
        <v>2896</v>
      </c>
      <c r="G838" t="s">
        <v>22</v>
      </c>
      <c r="H838" t="s">
        <v>22</v>
      </c>
      <c r="I838" t="s">
        <v>870</v>
      </c>
    </row>
    <row r="839" spans="1:9" ht="11.25" customHeight="1">
      <c r="A839" t="s">
        <v>2383</v>
      </c>
      <c r="B839" t="s">
        <v>16</v>
      </c>
      <c r="C839" s="1030" t="s">
        <v>3725</v>
      </c>
      <c r="D839" s="1030" t="s">
        <v>3726</v>
      </c>
      <c r="E839" t="s">
        <v>3727</v>
      </c>
      <c r="F839" t="s">
        <v>2584</v>
      </c>
      <c r="G839" t="s">
        <v>22</v>
      </c>
      <c r="H839" t="s">
        <v>22</v>
      </c>
      <c r="I839" t="s">
        <v>870</v>
      </c>
    </row>
    <row r="840" spans="1:9" ht="11.25" customHeight="1">
      <c r="A840" t="s">
        <v>2383</v>
      </c>
      <c r="B840" t="s">
        <v>16</v>
      </c>
      <c r="C840" s="1030" t="s">
        <v>3728</v>
      </c>
      <c r="D840" s="1030" t="s">
        <v>3729</v>
      </c>
      <c r="E840" t="s">
        <v>3730</v>
      </c>
      <c r="F840" t="s">
        <v>2828</v>
      </c>
      <c r="G840" t="s">
        <v>22</v>
      </c>
      <c r="H840" t="s">
        <v>22</v>
      </c>
      <c r="I840" t="s">
        <v>870</v>
      </c>
    </row>
    <row r="841" spans="1:9" ht="11.25" customHeight="1">
      <c r="A841" t="s">
        <v>2383</v>
      </c>
      <c r="B841" t="s">
        <v>16</v>
      </c>
      <c r="C841" s="1030" t="s">
        <v>22</v>
      </c>
      <c r="D841" s="1030" t="s">
        <v>3731</v>
      </c>
      <c r="E841" t="s">
        <v>3732</v>
      </c>
      <c r="F841" t="s">
        <v>2391</v>
      </c>
      <c r="G841" t="s">
        <v>22</v>
      </c>
      <c r="H841" t="s">
        <v>22</v>
      </c>
      <c r="I841" t="s">
        <v>870</v>
      </c>
    </row>
    <row r="842" spans="1:9" ht="11.25" customHeight="1">
      <c r="A842" t="s">
        <v>2383</v>
      </c>
      <c r="B842" t="s">
        <v>16</v>
      </c>
      <c r="C842" s="1030" t="s">
        <v>4127</v>
      </c>
      <c r="D842" s="1030" t="s">
        <v>4128</v>
      </c>
      <c r="E842" t="s">
        <v>4129</v>
      </c>
      <c r="F842" t="s">
        <v>3025</v>
      </c>
      <c r="G842" t="s">
        <v>22</v>
      </c>
      <c r="H842" t="s">
        <v>22</v>
      </c>
      <c r="I842" t="s">
        <v>870</v>
      </c>
    </row>
    <row r="843" spans="1:9" ht="11.25" customHeight="1">
      <c r="A843" t="s">
        <v>2383</v>
      </c>
      <c r="B843" t="s">
        <v>16</v>
      </c>
      <c r="C843" s="1030" t="s">
        <v>3733</v>
      </c>
      <c r="D843" s="1030" t="s">
        <v>3734</v>
      </c>
      <c r="E843" t="s">
        <v>3735</v>
      </c>
      <c r="F843" t="s">
        <v>3068</v>
      </c>
      <c r="G843" t="s">
        <v>22</v>
      </c>
      <c r="H843" t="s">
        <v>22</v>
      </c>
      <c r="I843" t="s">
        <v>870</v>
      </c>
    </row>
    <row r="844" spans="1:9" ht="11.25" customHeight="1">
      <c r="A844" t="s">
        <v>2383</v>
      </c>
      <c r="B844" t="s">
        <v>16</v>
      </c>
      <c r="C844" s="1030" t="s">
        <v>3736</v>
      </c>
      <c r="D844" s="1030" t="s">
        <v>3737</v>
      </c>
      <c r="E844" t="s">
        <v>3738</v>
      </c>
      <c r="F844" t="s">
        <v>2629</v>
      </c>
      <c r="G844" t="s">
        <v>3739</v>
      </c>
      <c r="H844" t="s">
        <v>22</v>
      </c>
      <c r="I844" t="s">
        <v>870</v>
      </c>
    </row>
    <row r="845" spans="1:9" ht="11.25" customHeight="1">
      <c r="A845" t="s">
        <v>2383</v>
      </c>
      <c r="B845" t="s">
        <v>16</v>
      </c>
      <c r="C845" s="1030" t="s">
        <v>4130</v>
      </c>
      <c r="D845" s="1030" t="s">
        <v>4131</v>
      </c>
      <c r="E845" t="s">
        <v>4132</v>
      </c>
      <c r="F845" t="s">
        <v>2828</v>
      </c>
      <c r="G845" t="s">
        <v>22</v>
      </c>
      <c r="H845" t="s">
        <v>22</v>
      </c>
      <c r="I845" t="s">
        <v>870</v>
      </c>
    </row>
    <row r="846" spans="1:9" ht="11.25" customHeight="1">
      <c r="A846" t="s">
        <v>2383</v>
      </c>
      <c r="B846" t="s">
        <v>16</v>
      </c>
      <c r="C846" s="1030" t="s">
        <v>3740</v>
      </c>
      <c r="D846" s="1030" t="s">
        <v>3741</v>
      </c>
      <c r="E846" t="s">
        <v>3742</v>
      </c>
      <c r="F846" t="s">
        <v>2629</v>
      </c>
      <c r="G846" t="s">
        <v>22</v>
      </c>
      <c r="H846" t="s">
        <v>22</v>
      </c>
      <c r="I846" t="s">
        <v>870</v>
      </c>
    </row>
    <row r="847" spans="1:9" ht="11.25" customHeight="1">
      <c r="A847" t="s">
        <v>2383</v>
      </c>
      <c r="B847" t="s">
        <v>16</v>
      </c>
      <c r="C847" s="1030" t="s">
        <v>4133</v>
      </c>
      <c r="D847" s="1030" t="s">
        <v>4134</v>
      </c>
      <c r="E847" t="s">
        <v>4135</v>
      </c>
      <c r="F847" t="s">
        <v>3208</v>
      </c>
      <c r="G847" t="s">
        <v>22</v>
      </c>
      <c r="H847" t="s">
        <v>22</v>
      </c>
      <c r="I847" t="s">
        <v>870</v>
      </c>
    </row>
    <row r="848" spans="1:9" ht="11.25" customHeight="1">
      <c r="A848" t="s">
        <v>2383</v>
      </c>
      <c r="B848" t="s">
        <v>16</v>
      </c>
      <c r="C848" s="1030" t="s">
        <v>3752</v>
      </c>
      <c r="D848" s="1030" t="s">
        <v>3753</v>
      </c>
      <c r="E848" t="s">
        <v>3754</v>
      </c>
      <c r="F848" t="s">
        <v>3686</v>
      </c>
      <c r="G848" t="s">
        <v>22</v>
      </c>
      <c r="H848" t="s">
        <v>22</v>
      </c>
      <c r="I848" t="s">
        <v>870</v>
      </c>
    </row>
    <row r="849" spans="1:9" ht="11.25" customHeight="1">
      <c r="A849" t="s">
        <v>2383</v>
      </c>
      <c r="B849" t="s">
        <v>16</v>
      </c>
      <c r="C849" s="1030" t="s">
        <v>3755</v>
      </c>
      <c r="D849" s="1030" t="s">
        <v>3753</v>
      </c>
      <c r="E849" t="s">
        <v>3754</v>
      </c>
      <c r="F849" t="s">
        <v>2566</v>
      </c>
      <c r="G849" t="s">
        <v>22</v>
      </c>
      <c r="H849" t="s">
        <v>22</v>
      </c>
      <c r="I849" t="s">
        <v>870</v>
      </c>
    </row>
    <row r="850" spans="1:9" ht="11.25" customHeight="1">
      <c r="A850" t="s">
        <v>2383</v>
      </c>
      <c r="B850" t="s">
        <v>16</v>
      </c>
      <c r="C850" s="1030" t="s">
        <v>4136</v>
      </c>
      <c r="D850" s="1030" t="s">
        <v>4137</v>
      </c>
      <c r="E850" t="s">
        <v>4138</v>
      </c>
      <c r="F850" t="s">
        <v>2432</v>
      </c>
      <c r="G850" t="s">
        <v>22</v>
      </c>
      <c r="H850" t="s">
        <v>22</v>
      </c>
      <c r="I850" t="s">
        <v>870</v>
      </c>
    </row>
    <row r="851" spans="1:9" ht="11.25" customHeight="1">
      <c r="A851" t="s">
        <v>2383</v>
      </c>
      <c r="B851" t="s">
        <v>16</v>
      </c>
      <c r="C851" s="1030" t="s">
        <v>4139</v>
      </c>
      <c r="D851" s="1030" t="s">
        <v>4140</v>
      </c>
      <c r="E851" t="s">
        <v>4141</v>
      </c>
      <c r="F851" t="s">
        <v>3100</v>
      </c>
      <c r="G851" t="s">
        <v>22</v>
      </c>
      <c r="H851" t="s">
        <v>22</v>
      </c>
      <c r="I851" t="s">
        <v>870</v>
      </c>
    </row>
    <row r="852" spans="1:9" ht="11.25" customHeight="1">
      <c r="A852" t="s">
        <v>2383</v>
      </c>
      <c r="B852" t="s">
        <v>16</v>
      </c>
      <c r="C852" s="1030" t="s">
        <v>3763</v>
      </c>
      <c r="D852" s="1030" t="s">
        <v>3764</v>
      </c>
      <c r="E852" t="s">
        <v>3765</v>
      </c>
      <c r="F852" t="s">
        <v>2447</v>
      </c>
      <c r="G852" t="s">
        <v>22</v>
      </c>
      <c r="H852" t="s">
        <v>22</v>
      </c>
      <c r="I852" t="s">
        <v>870</v>
      </c>
    </row>
    <row r="853" spans="1:9" ht="11.25" customHeight="1">
      <c r="A853" t="s">
        <v>2383</v>
      </c>
      <c r="B853" t="s">
        <v>16</v>
      </c>
      <c r="C853" s="1030" t="s">
        <v>3777</v>
      </c>
      <c r="D853" s="1030" t="s">
        <v>3778</v>
      </c>
      <c r="E853" t="s">
        <v>3779</v>
      </c>
      <c r="F853" t="s">
        <v>2839</v>
      </c>
      <c r="G853" t="s">
        <v>22</v>
      </c>
      <c r="H853" t="s">
        <v>22</v>
      </c>
      <c r="I853" t="s">
        <v>870</v>
      </c>
    </row>
    <row r="854" spans="1:9" ht="11.25" customHeight="1">
      <c r="A854" t="s">
        <v>2383</v>
      </c>
      <c r="B854" t="s">
        <v>16</v>
      </c>
      <c r="C854" s="1030" t="s">
        <v>3783</v>
      </c>
      <c r="D854" s="1030" t="s">
        <v>3784</v>
      </c>
      <c r="E854" t="s">
        <v>3785</v>
      </c>
      <c r="F854" t="s">
        <v>2657</v>
      </c>
      <c r="G854" t="s">
        <v>22</v>
      </c>
      <c r="H854" t="s">
        <v>22</v>
      </c>
      <c r="I854" t="s">
        <v>870</v>
      </c>
    </row>
    <row r="855" spans="1:9" ht="11.25" customHeight="1">
      <c r="A855" t="s">
        <v>2383</v>
      </c>
      <c r="B855" t="s">
        <v>16</v>
      </c>
      <c r="C855" s="1030" t="s">
        <v>3789</v>
      </c>
      <c r="D855" s="1030" t="s">
        <v>3790</v>
      </c>
      <c r="E855" t="s">
        <v>3791</v>
      </c>
      <c r="F855" t="s">
        <v>2769</v>
      </c>
      <c r="G855" t="s">
        <v>3792</v>
      </c>
      <c r="H855" t="s">
        <v>22</v>
      </c>
      <c r="I855" t="s">
        <v>870</v>
      </c>
    </row>
    <row r="856" spans="1:9" ht="11.25" customHeight="1">
      <c r="A856" t="s">
        <v>2383</v>
      </c>
      <c r="B856" t="s">
        <v>16</v>
      </c>
      <c r="C856" s="1030" t="s">
        <v>3796</v>
      </c>
      <c r="D856" s="1030" t="s">
        <v>3797</v>
      </c>
      <c r="E856" t="s">
        <v>3798</v>
      </c>
      <c r="F856" t="s">
        <v>3442</v>
      </c>
      <c r="G856" t="s">
        <v>22</v>
      </c>
      <c r="H856" t="s">
        <v>22</v>
      </c>
      <c r="I856" t="s">
        <v>870</v>
      </c>
    </row>
    <row r="857" spans="1:9" ht="11.25" customHeight="1">
      <c r="A857" t="s">
        <v>2383</v>
      </c>
      <c r="B857" t="s">
        <v>16</v>
      </c>
      <c r="C857" s="1030" t="s">
        <v>3809</v>
      </c>
      <c r="D857" s="1030" t="s">
        <v>3810</v>
      </c>
      <c r="E857" t="s">
        <v>3811</v>
      </c>
      <c r="F857" t="s">
        <v>3812</v>
      </c>
      <c r="G857" t="s">
        <v>22</v>
      </c>
      <c r="H857" t="s">
        <v>22</v>
      </c>
      <c r="I857" t="s">
        <v>870</v>
      </c>
    </row>
    <row r="858" spans="1:9" ht="11.25" customHeight="1">
      <c r="A858" t="s">
        <v>2383</v>
      </c>
      <c r="B858" t="s">
        <v>16</v>
      </c>
      <c r="C858" s="1030" t="s">
        <v>3819</v>
      </c>
      <c r="D858" s="1030" t="s">
        <v>3820</v>
      </c>
      <c r="E858" t="s">
        <v>3821</v>
      </c>
      <c r="F858" t="s">
        <v>3822</v>
      </c>
      <c r="G858" t="s">
        <v>22</v>
      </c>
      <c r="H858" t="s">
        <v>22</v>
      </c>
      <c r="I858" t="s">
        <v>923</v>
      </c>
    </row>
    <row r="859" spans="1:9" ht="11.25" customHeight="1">
      <c r="A859" t="s">
        <v>2383</v>
      </c>
      <c r="B859" t="s">
        <v>16</v>
      </c>
      <c r="C859" s="1030" t="s">
        <v>2411</v>
      </c>
      <c r="D859" s="1030" t="s">
        <v>2412</v>
      </c>
      <c r="E859" t="s">
        <v>2413</v>
      </c>
      <c r="F859" t="s">
        <v>2414</v>
      </c>
      <c r="G859" t="s">
        <v>22</v>
      </c>
      <c r="H859" t="s">
        <v>22</v>
      </c>
      <c r="I859" t="s">
        <v>923</v>
      </c>
    </row>
    <row r="860" spans="1:9" ht="11.25" customHeight="1">
      <c r="A860" t="s">
        <v>2383</v>
      </c>
      <c r="B860" t="s">
        <v>16</v>
      </c>
      <c r="C860" s="1030" t="s">
        <v>3823</v>
      </c>
      <c r="D860" s="1030" t="s">
        <v>3824</v>
      </c>
      <c r="E860" t="s">
        <v>3825</v>
      </c>
      <c r="F860" t="s">
        <v>2414</v>
      </c>
      <c r="G860" t="s">
        <v>22</v>
      </c>
      <c r="H860" t="s">
        <v>22</v>
      </c>
      <c r="I860" t="s">
        <v>923</v>
      </c>
    </row>
    <row r="861" spans="1:9" ht="11.25" customHeight="1">
      <c r="A861" t="s">
        <v>2383</v>
      </c>
      <c r="B861" t="s">
        <v>16</v>
      </c>
      <c r="C861" s="1030" t="s">
        <v>2415</v>
      </c>
      <c r="D861" s="1030" t="s">
        <v>2416</v>
      </c>
      <c r="E861" t="s">
        <v>2417</v>
      </c>
      <c r="F861" t="s">
        <v>2418</v>
      </c>
      <c r="G861" t="s">
        <v>22</v>
      </c>
      <c r="H861" t="s">
        <v>22</v>
      </c>
      <c r="I861" t="s">
        <v>923</v>
      </c>
    </row>
    <row r="862" spans="1:9" ht="11.25" customHeight="1">
      <c r="A862" t="s">
        <v>2383</v>
      </c>
      <c r="B862" t="s">
        <v>16</v>
      </c>
      <c r="C862" s="1030" t="s">
        <v>3826</v>
      </c>
      <c r="D862" s="1030" t="s">
        <v>3827</v>
      </c>
      <c r="E862" t="s">
        <v>3828</v>
      </c>
      <c r="F862" t="s">
        <v>2418</v>
      </c>
      <c r="G862" t="s">
        <v>22</v>
      </c>
      <c r="H862" t="s">
        <v>22</v>
      </c>
      <c r="I862" t="s">
        <v>923</v>
      </c>
    </row>
    <row r="863" spans="1:9" ht="11.25" customHeight="1">
      <c r="A863" t="s">
        <v>2383</v>
      </c>
      <c r="B863" t="s">
        <v>16</v>
      </c>
      <c r="C863" s="1030" t="s">
        <v>2429</v>
      </c>
      <c r="D863" s="1030" t="s">
        <v>2430</v>
      </c>
      <c r="E863" t="s">
        <v>2431</v>
      </c>
      <c r="F863" t="s">
        <v>2432</v>
      </c>
      <c r="G863" t="s">
        <v>22</v>
      </c>
      <c r="H863" t="s">
        <v>22</v>
      </c>
      <c r="I863" t="s">
        <v>923</v>
      </c>
    </row>
    <row r="864" spans="1:9" ht="11.25" customHeight="1">
      <c r="A864" t="s">
        <v>2383</v>
      </c>
      <c r="B864" t="s">
        <v>16</v>
      </c>
      <c r="C864" s="1030" t="s">
        <v>3829</v>
      </c>
      <c r="D864" s="1030" t="s">
        <v>2434</v>
      </c>
      <c r="E864" t="s">
        <v>2435</v>
      </c>
      <c r="F864" t="s">
        <v>3830</v>
      </c>
      <c r="G864" t="s">
        <v>3831</v>
      </c>
      <c r="H864" t="s">
        <v>22</v>
      </c>
      <c r="I864" t="s">
        <v>923</v>
      </c>
    </row>
    <row r="865" spans="1:9" ht="11.25" customHeight="1">
      <c r="A865" t="s">
        <v>2383</v>
      </c>
      <c r="B865" t="s">
        <v>16</v>
      </c>
      <c r="C865" s="1030" t="s">
        <v>3832</v>
      </c>
      <c r="D865" s="1030" t="s">
        <v>3833</v>
      </c>
      <c r="E865" t="s">
        <v>3834</v>
      </c>
      <c r="F865" t="s">
        <v>2447</v>
      </c>
      <c r="G865" t="s">
        <v>22</v>
      </c>
      <c r="H865" t="s">
        <v>22</v>
      </c>
      <c r="I865" t="s">
        <v>923</v>
      </c>
    </row>
    <row r="866" spans="1:9" ht="11.25" customHeight="1">
      <c r="A866" t="s">
        <v>2383</v>
      </c>
      <c r="B866" t="s">
        <v>16</v>
      </c>
      <c r="C866" s="1030" t="s">
        <v>2441</v>
      </c>
      <c r="D866" s="1030" t="s">
        <v>2442</v>
      </c>
      <c r="E866" t="s">
        <v>2443</v>
      </c>
      <c r="F866" t="s">
        <v>2418</v>
      </c>
      <c r="G866" t="s">
        <v>22</v>
      </c>
      <c r="H866" t="s">
        <v>22</v>
      </c>
      <c r="I866" t="s">
        <v>923</v>
      </c>
    </row>
    <row r="867" spans="1:9" ht="11.25" customHeight="1">
      <c r="A867" t="s">
        <v>2383</v>
      </c>
      <c r="B867" t="s">
        <v>16</v>
      </c>
      <c r="C867" s="1030" t="s">
        <v>2444</v>
      </c>
      <c r="D867" s="1030" t="s">
        <v>2445</v>
      </c>
      <c r="E867" t="s">
        <v>2446</v>
      </c>
      <c r="F867" t="s">
        <v>2447</v>
      </c>
      <c r="G867" t="s">
        <v>22</v>
      </c>
      <c r="H867" t="s">
        <v>22</v>
      </c>
      <c r="I867" t="s">
        <v>923</v>
      </c>
    </row>
    <row r="868" spans="1:9" ht="11.25" customHeight="1">
      <c r="A868" t="s">
        <v>2383</v>
      </c>
      <c r="B868" t="s">
        <v>16</v>
      </c>
      <c r="C868" s="1030" t="s">
        <v>2452</v>
      </c>
      <c r="D868" s="1030" t="s">
        <v>2453</v>
      </c>
      <c r="E868" t="s">
        <v>2454</v>
      </c>
      <c r="F868" t="s">
        <v>2447</v>
      </c>
      <c r="G868" t="s">
        <v>22</v>
      </c>
      <c r="H868" t="s">
        <v>22</v>
      </c>
      <c r="I868" t="s">
        <v>923</v>
      </c>
    </row>
    <row r="869" spans="1:9" ht="11.25" customHeight="1">
      <c r="A869" t="s">
        <v>2383</v>
      </c>
      <c r="B869" t="s">
        <v>16</v>
      </c>
      <c r="C869" s="1030" t="s">
        <v>2455</v>
      </c>
      <c r="D869" s="1030" t="s">
        <v>2456</v>
      </c>
      <c r="E869" t="s">
        <v>2457</v>
      </c>
      <c r="F869" t="s">
        <v>2414</v>
      </c>
      <c r="G869" t="s">
        <v>22</v>
      </c>
      <c r="H869" t="s">
        <v>22</v>
      </c>
      <c r="I869" t="s">
        <v>923</v>
      </c>
    </row>
    <row r="870" spans="1:9" ht="11.25" customHeight="1">
      <c r="A870" t="s">
        <v>2383</v>
      </c>
      <c r="B870" t="s">
        <v>16</v>
      </c>
      <c r="C870" s="1030" t="s">
        <v>2458</v>
      </c>
      <c r="D870" s="1030" t="s">
        <v>2459</v>
      </c>
      <c r="E870" t="s">
        <v>2460</v>
      </c>
      <c r="F870" t="s">
        <v>2461</v>
      </c>
      <c r="G870" t="s">
        <v>22</v>
      </c>
      <c r="H870" t="s">
        <v>22</v>
      </c>
      <c r="I870" t="s">
        <v>923</v>
      </c>
    </row>
    <row r="871" spans="1:9" ht="11.25" customHeight="1">
      <c r="A871" t="s">
        <v>2383</v>
      </c>
      <c r="B871" t="s">
        <v>16</v>
      </c>
      <c r="C871" s="1030" t="s">
        <v>3835</v>
      </c>
      <c r="D871" s="1030" t="s">
        <v>3836</v>
      </c>
      <c r="E871" t="s">
        <v>3837</v>
      </c>
      <c r="F871" t="s">
        <v>2611</v>
      </c>
      <c r="G871" t="s">
        <v>22</v>
      </c>
      <c r="H871" t="s">
        <v>22</v>
      </c>
      <c r="I871" t="s">
        <v>923</v>
      </c>
    </row>
    <row r="872" spans="1:9" ht="11.25" customHeight="1">
      <c r="A872" t="s">
        <v>2383</v>
      </c>
      <c r="B872" t="s">
        <v>16</v>
      </c>
      <c r="C872" s="1030" t="s">
        <v>3838</v>
      </c>
      <c r="D872" s="1030" t="s">
        <v>3839</v>
      </c>
      <c r="E872" t="s">
        <v>3840</v>
      </c>
      <c r="F872" t="s">
        <v>2506</v>
      </c>
      <c r="G872" t="s">
        <v>22</v>
      </c>
      <c r="H872" t="s">
        <v>22</v>
      </c>
      <c r="I872" t="s">
        <v>923</v>
      </c>
    </row>
    <row r="873" spans="1:9" ht="11.25" customHeight="1">
      <c r="A873" t="s">
        <v>2383</v>
      </c>
      <c r="B873" t="s">
        <v>16</v>
      </c>
      <c r="C873" s="1030" t="s">
        <v>2466</v>
      </c>
      <c r="D873" s="1030" t="s">
        <v>2467</v>
      </c>
      <c r="E873" t="s">
        <v>2468</v>
      </c>
      <c r="F873" t="s">
        <v>2447</v>
      </c>
      <c r="G873" t="s">
        <v>22</v>
      </c>
      <c r="H873" t="s">
        <v>22</v>
      </c>
      <c r="I873" t="s">
        <v>923</v>
      </c>
    </row>
    <row r="874" spans="1:9" ht="11.25" customHeight="1">
      <c r="A874" t="s">
        <v>2383</v>
      </c>
      <c r="B874" t="s">
        <v>16</v>
      </c>
      <c r="C874" s="1030" t="s">
        <v>2476</v>
      </c>
      <c r="D874" s="1030" t="s">
        <v>2477</v>
      </c>
      <c r="E874" t="s">
        <v>2478</v>
      </c>
      <c r="F874" t="s">
        <v>2414</v>
      </c>
      <c r="G874" t="s">
        <v>22</v>
      </c>
      <c r="H874" t="s">
        <v>22</v>
      </c>
      <c r="I874" t="s">
        <v>923</v>
      </c>
    </row>
    <row r="875" spans="1:9" ht="11.25" customHeight="1">
      <c r="A875" t="s">
        <v>2383</v>
      </c>
      <c r="B875" t="s">
        <v>16</v>
      </c>
      <c r="C875" s="1030" t="s">
        <v>2479</v>
      </c>
      <c r="D875" s="1030" t="s">
        <v>2480</v>
      </c>
      <c r="E875" t="s">
        <v>2481</v>
      </c>
      <c r="F875" t="s">
        <v>2482</v>
      </c>
      <c r="G875" t="s">
        <v>2483</v>
      </c>
      <c r="H875" t="s">
        <v>22</v>
      </c>
      <c r="I875" t="s">
        <v>923</v>
      </c>
    </row>
    <row r="876" spans="1:9" ht="11.25" customHeight="1">
      <c r="A876" t="s">
        <v>2383</v>
      </c>
      <c r="B876" t="s">
        <v>16</v>
      </c>
      <c r="C876" s="1030" t="s">
        <v>2494</v>
      </c>
      <c r="D876" s="1030" t="s">
        <v>2495</v>
      </c>
      <c r="E876" t="s">
        <v>2496</v>
      </c>
      <c r="F876" t="s">
        <v>2425</v>
      </c>
      <c r="G876" t="s">
        <v>22</v>
      </c>
      <c r="H876" t="s">
        <v>22</v>
      </c>
      <c r="I876" t="s">
        <v>923</v>
      </c>
    </row>
    <row r="877" spans="1:9" ht="11.25" customHeight="1">
      <c r="A877" t="s">
        <v>2383</v>
      </c>
      <c r="B877" t="s">
        <v>16</v>
      </c>
      <c r="C877" s="1030" t="s">
        <v>2497</v>
      </c>
      <c r="D877" s="1030" t="s">
        <v>2498</v>
      </c>
      <c r="E877" t="s">
        <v>2499</v>
      </c>
      <c r="F877" t="s">
        <v>2451</v>
      </c>
      <c r="G877" t="s">
        <v>22</v>
      </c>
      <c r="H877" t="s">
        <v>22</v>
      </c>
      <c r="I877" t="s">
        <v>923</v>
      </c>
    </row>
    <row r="878" spans="1:9" ht="11.25" customHeight="1">
      <c r="A878" t="s">
        <v>2383</v>
      </c>
      <c r="B878" t="s">
        <v>16</v>
      </c>
      <c r="C878" s="1030" t="s">
        <v>2503</v>
      </c>
      <c r="D878" s="1030" t="s">
        <v>2504</v>
      </c>
      <c r="E878" t="s">
        <v>2505</v>
      </c>
      <c r="F878" t="s">
        <v>2506</v>
      </c>
      <c r="G878" t="s">
        <v>22</v>
      </c>
      <c r="H878" t="s">
        <v>22</v>
      </c>
      <c r="I878" t="s">
        <v>923</v>
      </c>
    </row>
    <row r="879" spans="1:9" ht="11.25" customHeight="1">
      <c r="A879" t="s">
        <v>2383</v>
      </c>
      <c r="B879" t="s">
        <v>16</v>
      </c>
      <c r="C879" s="1030" t="s">
        <v>2507</v>
      </c>
      <c r="D879" s="1030" t="s">
        <v>2508</v>
      </c>
      <c r="E879" t="s">
        <v>2509</v>
      </c>
      <c r="F879" t="s">
        <v>2510</v>
      </c>
      <c r="G879" t="s">
        <v>22</v>
      </c>
      <c r="H879" t="s">
        <v>22</v>
      </c>
      <c r="I879" t="s">
        <v>923</v>
      </c>
    </row>
    <row r="880" spans="1:9" ht="11.25" customHeight="1">
      <c r="A880" t="s">
        <v>2383</v>
      </c>
      <c r="B880" t="s">
        <v>16</v>
      </c>
      <c r="C880" s="1030" t="s">
        <v>13</v>
      </c>
      <c r="D880" s="1030" t="s">
        <v>45</v>
      </c>
      <c r="E880" t="s">
        <v>48</v>
      </c>
      <c r="F880" t="s">
        <v>50</v>
      </c>
      <c r="G880" t="s">
        <v>22</v>
      </c>
      <c r="H880" t="s">
        <v>22</v>
      </c>
      <c r="I880" t="s">
        <v>923</v>
      </c>
    </row>
    <row r="881" spans="1:9" ht="11.25" customHeight="1">
      <c r="A881" t="s">
        <v>2383</v>
      </c>
      <c r="B881" t="s">
        <v>16</v>
      </c>
      <c r="C881" s="1030" t="s">
        <v>2525</v>
      </c>
      <c r="D881" s="1030" t="s">
        <v>2526</v>
      </c>
      <c r="E881" t="s">
        <v>2524</v>
      </c>
      <c r="F881" t="s">
        <v>2527</v>
      </c>
      <c r="G881" t="s">
        <v>22</v>
      </c>
      <c r="H881" t="s">
        <v>22</v>
      </c>
      <c r="I881" t="s">
        <v>923</v>
      </c>
    </row>
    <row r="882" spans="1:9" ht="11.25" customHeight="1">
      <c r="A882" t="s">
        <v>2383</v>
      </c>
      <c r="B882" t="s">
        <v>16</v>
      </c>
      <c r="C882" s="1030" t="s">
        <v>2534</v>
      </c>
      <c r="D882" s="1030" t="s">
        <v>2535</v>
      </c>
      <c r="E882" t="s">
        <v>2524</v>
      </c>
      <c r="F882" t="s">
        <v>2536</v>
      </c>
      <c r="G882" t="s">
        <v>22</v>
      </c>
      <c r="H882" t="s">
        <v>22</v>
      </c>
      <c r="I882" t="s">
        <v>923</v>
      </c>
    </row>
    <row r="883" spans="1:9" ht="11.25" customHeight="1">
      <c r="A883" t="s">
        <v>2383</v>
      </c>
      <c r="B883" t="s">
        <v>16</v>
      </c>
      <c r="C883" s="1030" t="s">
        <v>2540</v>
      </c>
      <c r="D883" s="1030" t="s">
        <v>2541</v>
      </c>
      <c r="E883" t="s">
        <v>2524</v>
      </c>
      <c r="F883" t="s">
        <v>2542</v>
      </c>
      <c r="G883" t="s">
        <v>22</v>
      </c>
      <c r="H883" t="s">
        <v>22</v>
      </c>
      <c r="I883" t="s">
        <v>923</v>
      </c>
    </row>
    <row r="884" spans="1:9" ht="11.25" customHeight="1">
      <c r="A884" t="s">
        <v>2383</v>
      </c>
      <c r="B884" t="s">
        <v>16</v>
      </c>
      <c r="C884" s="1030" t="s">
        <v>3841</v>
      </c>
      <c r="D884" s="1030" t="s">
        <v>3842</v>
      </c>
      <c r="E884" t="s">
        <v>3843</v>
      </c>
      <c r="F884" t="s">
        <v>2432</v>
      </c>
      <c r="G884" t="s">
        <v>22</v>
      </c>
      <c r="H884" t="s">
        <v>22</v>
      </c>
      <c r="I884" t="s">
        <v>923</v>
      </c>
    </row>
    <row r="885" spans="1:9" ht="11.25" customHeight="1">
      <c r="A885" t="s">
        <v>2383</v>
      </c>
      <c r="B885" t="s">
        <v>16</v>
      </c>
      <c r="C885" s="1030" t="s">
        <v>4142</v>
      </c>
      <c r="D885" s="1030" t="s">
        <v>4143</v>
      </c>
      <c r="E885" t="s">
        <v>4144</v>
      </c>
      <c r="F885" t="s">
        <v>2440</v>
      </c>
      <c r="G885" t="s">
        <v>4145</v>
      </c>
      <c r="H885" t="s">
        <v>22</v>
      </c>
      <c r="I885" t="s">
        <v>923</v>
      </c>
    </row>
    <row r="886" spans="1:9" ht="11.25" customHeight="1">
      <c r="A886" t="s">
        <v>2383</v>
      </c>
      <c r="B886" t="s">
        <v>16</v>
      </c>
      <c r="C886" s="1030" t="s">
        <v>4146</v>
      </c>
      <c r="D886" s="1030" t="s">
        <v>4147</v>
      </c>
      <c r="E886" t="s">
        <v>4148</v>
      </c>
      <c r="F886" t="s">
        <v>2835</v>
      </c>
      <c r="G886" t="s">
        <v>22</v>
      </c>
      <c r="H886" t="s">
        <v>22</v>
      </c>
      <c r="I886" t="s">
        <v>923</v>
      </c>
    </row>
    <row r="887" spans="1:9" ht="11.25" customHeight="1">
      <c r="A887" t="s">
        <v>2383</v>
      </c>
      <c r="B887" t="s">
        <v>16</v>
      </c>
      <c r="C887" s="1030" t="s">
        <v>2575</v>
      </c>
      <c r="D887" s="1030" t="s">
        <v>2576</v>
      </c>
      <c r="E887" t="s">
        <v>2577</v>
      </c>
      <c r="F887" t="s">
        <v>2399</v>
      </c>
      <c r="G887" t="s">
        <v>22</v>
      </c>
      <c r="H887" t="s">
        <v>22</v>
      </c>
      <c r="I887" t="s">
        <v>923</v>
      </c>
    </row>
    <row r="888" spans="1:9" ht="11.25" customHeight="1">
      <c r="A888" t="s">
        <v>2383</v>
      </c>
      <c r="B888" t="s">
        <v>16</v>
      </c>
      <c r="C888" s="1030" t="s">
        <v>2585</v>
      </c>
      <c r="D888" s="1030" t="s">
        <v>2586</v>
      </c>
      <c r="E888" t="s">
        <v>2587</v>
      </c>
      <c r="F888" t="s">
        <v>2461</v>
      </c>
      <c r="G888" t="s">
        <v>2588</v>
      </c>
      <c r="H888" t="s">
        <v>22</v>
      </c>
      <c r="I888" t="s">
        <v>923</v>
      </c>
    </row>
    <row r="889" spans="1:9" ht="11.25" customHeight="1">
      <c r="A889" t="s">
        <v>2383</v>
      </c>
      <c r="B889" t="s">
        <v>16</v>
      </c>
      <c r="C889" s="1030" t="s">
        <v>3861</v>
      </c>
      <c r="D889" s="1030" t="s">
        <v>3862</v>
      </c>
      <c r="E889" t="s">
        <v>3863</v>
      </c>
      <c r="F889" t="s">
        <v>2645</v>
      </c>
      <c r="G889" t="s">
        <v>22</v>
      </c>
      <c r="H889" t="s">
        <v>22</v>
      </c>
      <c r="I889" t="s">
        <v>923</v>
      </c>
    </row>
    <row r="890" spans="1:9" ht="11.25" customHeight="1">
      <c r="A890" t="s">
        <v>2383</v>
      </c>
      <c r="B890" t="s">
        <v>16</v>
      </c>
      <c r="C890" s="1030" t="s">
        <v>3864</v>
      </c>
      <c r="D890" s="1030" t="s">
        <v>3865</v>
      </c>
      <c r="E890" t="s">
        <v>3866</v>
      </c>
      <c r="F890" t="s">
        <v>2828</v>
      </c>
      <c r="G890" t="s">
        <v>22</v>
      </c>
      <c r="H890" t="s">
        <v>22</v>
      </c>
      <c r="I890" t="s">
        <v>923</v>
      </c>
    </row>
    <row r="891" spans="1:9" ht="11.25" customHeight="1">
      <c r="A891" t="s">
        <v>2383</v>
      </c>
      <c r="B891" t="s">
        <v>16</v>
      </c>
      <c r="C891" s="1030" t="s">
        <v>2626</v>
      </c>
      <c r="D891" s="1030" t="s">
        <v>2627</v>
      </c>
      <c r="E891" t="s">
        <v>2628</v>
      </c>
      <c r="F891" t="s">
        <v>2629</v>
      </c>
      <c r="G891" t="s">
        <v>2630</v>
      </c>
      <c r="H891" t="s">
        <v>22</v>
      </c>
      <c r="I891" t="s">
        <v>923</v>
      </c>
    </row>
    <row r="892" spans="1:9" ht="11.25" customHeight="1">
      <c r="A892" t="s">
        <v>2383</v>
      </c>
      <c r="B892" t="s">
        <v>16</v>
      </c>
      <c r="C892" s="1030" t="s">
        <v>2654</v>
      </c>
      <c r="D892" s="1030" t="s">
        <v>2655</v>
      </c>
      <c r="E892" t="s">
        <v>2656</v>
      </c>
      <c r="F892" t="s">
        <v>2657</v>
      </c>
      <c r="G892" t="s">
        <v>22</v>
      </c>
      <c r="H892" t="s">
        <v>22</v>
      </c>
      <c r="I892" t="s">
        <v>923</v>
      </c>
    </row>
    <row r="893" spans="1:9" ht="11.25" customHeight="1">
      <c r="A893" t="s">
        <v>2383</v>
      </c>
      <c r="B893" t="s">
        <v>16</v>
      </c>
      <c r="C893" s="1030" t="s">
        <v>2658</v>
      </c>
      <c r="D893" s="1030" t="s">
        <v>2659</v>
      </c>
      <c r="E893" t="s">
        <v>2660</v>
      </c>
      <c r="F893" t="s">
        <v>2661</v>
      </c>
      <c r="G893" t="s">
        <v>22</v>
      </c>
      <c r="H893" t="s">
        <v>22</v>
      </c>
      <c r="I893" t="s">
        <v>923</v>
      </c>
    </row>
    <row r="894" spans="1:9" ht="11.25" customHeight="1">
      <c r="A894" t="s">
        <v>2383</v>
      </c>
      <c r="B894" t="s">
        <v>16</v>
      </c>
      <c r="C894" s="1030" t="s">
        <v>2669</v>
      </c>
      <c r="D894" s="1030" t="s">
        <v>2670</v>
      </c>
      <c r="E894" t="s">
        <v>2671</v>
      </c>
      <c r="F894" t="s">
        <v>2672</v>
      </c>
      <c r="G894" t="s">
        <v>22</v>
      </c>
      <c r="H894" t="s">
        <v>22</v>
      </c>
      <c r="I894" t="s">
        <v>923</v>
      </c>
    </row>
    <row r="895" spans="1:9" ht="11.25" customHeight="1">
      <c r="A895" t="s">
        <v>2383</v>
      </c>
      <c r="B895" t="s">
        <v>16</v>
      </c>
      <c r="C895" s="1030" t="s">
        <v>2673</v>
      </c>
      <c r="D895" s="1030" t="s">
        <v>2674</v>
      </c>
      <c r="E895" t="s">
        <v>2675</v>
      </c>
      <c r="F895" t="s">
        <v>2425</v>
      </c>
      <c r="G895" t="s">
        <v>22</v>
      </c>
      <c r="H895" t="s">
        <v>22</v>
      </c>
      <c r="I895" t="s">
        <v>923</v>
      </c>
    </row>
    <row r="896" spans="1:9" ht="11.25" customHeight="1">
      <c r="A896" t="s">
        <v>2383</v>
      </c>
      <c r="B896" t="s">
        <v>16</v>
      </c>
      <c r="C896" s="1030" t="s">
        <v>2676</v>
      </c>
      <c r="D896" s="1030" t="s">
        <v>2677</v>
      </c>
      <c r="E896" t="s">
        <v>2678</v>
      </c>
      <c r="F896" t="s">
        <v>2414</v>
      </c>
      <c r="G896" t="s">
        <v>22</v>
      </c>
      <c r="H896" t="s">
        <v>22</v>
      </c>
      <c r="I896" t="s">
        <v>923</v>
      </c>
    </row>
    <row r="897" spans="1:9" ht="11.25" customHeight="1">
      <c r="A897" t="s">
        <v>2383</v>
      </c>
      <c r="B897" t="s">
        <v>16</v>
      </c>
      <c r="C897" s="1030" t="s">
        <v>2689</v>
      </c>
      <c r="D897" s="1030" t="s">
        <v>2690</v>
      </c>
      <c r="E897" t="s">
        <v>2691</v>
      </c>
      <c r="F897" t="s">
        <v>2520</v>
      </c>
      <c r="G897" t="s">
        <v>22</v>
      </c>
      <c r="H897" t="s">
        <v>22</v>
      </c>
      <c r="I897" t="s">
        <v>923</v>
      </c>
    </row>
    <row r="898" spans="1:9" ht="11.25" customHeight="1">
      <c r="A898" t="s">
        <v>2383</v>
      </c>
      <c r="B898" t="s">
        <v>16</v>
      </c>
      <c r="C898" s="1030" t="s">
        <v>2695</v>
      </c>
      <c r="D898" s="1030" t="s">
        <v>2696</v>
      </c>
      <c r="E898" t="s">
        <v>2697</v>
      </c>
      <c r="F898" t="s">
        <v>2698</v>
      </c>
      <c r="G898" t="s">
        <v>22</v>
      </c>
      <c r="H898" t="s">
        <v>22</v>
      </c>
      <c r="I898" t="s">
        <v>923</v>
      </c>
    </row>
    <row r="899" spans="1:9" ht="11.25" customHeight="1">
      <c r="A899" t="s">
        <v>2383</v>
      </c>
      <c r="B899" t="s">
        <v>16</v>
      </c>
      <c r="C899" s="1030" t="s">
        <v>2706</v>
      </c>
      <c r="D899" s="1030" t="s">
        <v>2707</v>
      </c>
      <c r="E899" t="s">
        <v>2708</v>
      </c>
      <c r="F899" t="s">
        <v>2629</v>
      </c>
      <c r="G899" t="s">
        <v>22</v>
      </c>
      <c r="H899" t="s">
        <v>22</v>
      </c>
      <c r="I899" t="s">
        <v>923</v>
      </c>
    </row>
    <row r="900" spans="1:9" ht="11.25" customHeight="1">
      <c r="A900" t="s">
        <v>2383</v>
      </c>
      <c r="B900" t="s">
        <v>16</v>
      </c>
      <c r="C900" s="1030" t="s">
        <v>2718</v>
      </c>
      <c r="D900" s="1030" t="s">
        <v>2719</v>
      </c>
      <c r="E900" t="s">
        <v>2720</v>
      </c>
      <c r="F900" t="s">
        <v>2520</v>
      </c>
      <c r="G900" t="s">
        <v>22</v>
      </c>
      <c r="H900" t="s">
        <v>22</v>
      </c>
      <c r="I900" t="s">
        <v>923</v>
      </c>
    </row>
    <row r="901" spans="1:9" ht="11.25" customHeight="1">
      <c r="A901" t="s">
        <v>2383</v>
      </c>
      <c r="B901" t="s">
        <v>16</v>
      </c>
      <c r="C901" s="1030" t="s">
        <v>4149</v>
      </c>
      <c r="D901" s="1030" t="s">
        <v>4150</v>
      </c>
      <c r="E901" t="s">
        <v>4151</v>
      </c>
      <c r="F901" t="s">
        <v>2447</v>
      </c>
      <c r="G901" t="s">
        <v>22</v>
      </c>
      <c r="H901" t="s">
        <v>22</v>
      </c>
      <c r="I901" t="s">
        <v>923</v>
      </c>
    </row>
    <row r="902" spans="1:9" ht="11.25" customHeight="1">
      <c r="A902" t="s">
        <v>2383</v>
      </c>
      <c r="B902" t="s">
        <v>16</v>
      </c>
      <c r="C902" s="1030" t="s">
        <v>2742</v>
      </c>
      <c r="D902" s="1030" t="s">
        <v>2743</v>
      </c>
      <c r="E902" t="s">
        <v>2744</v>
      </c>
      <c r="F902" t="s">
        <v>583</v>
      </c>
      <c r="G902" t="s">
        <v>22</v>
      </c>
      <c r="H902" t="s">
        <v>22</v>
      </c>
      <c r="I902" t="s">
        <v>923</v>
      </c>
    </row>
    <row r="903" spans="1:9" ht="11.25" customHeight="1">
      <c r="A903" t="s">
        <v>2383</v>
      </c>
      <c r="B903" t="s">
        <v>16</v>
      </c>
      <c r="C903" s="1030" t="s">
        <v>4152</v>
      </c>
      <c r="D903" s="1030" t="s">
        <v>4153</v>
      </c>
      <c r="E903" t="s">
        <v>4154</v>
      </c>
      <c r="F903" t="s">
        <v>583</v>
      </c>
      <c r="G903" t="s">
        <v>22</v>
      </c>
      <c r="H903" t="s">
        <v>22</v>
      </c>
      <c r="I903" t="s">
        <v>923</v>
      </c>
    </row>
    <row r="904" spans="1:9" ht="11.25" customHeight="1">
      <c r="A904" t="s">
        <v>2383</v>
      </c>
      <c r="B904" t="s">
        <v>16</v>
      </c>
      <c r="C904" s="1030" t="s">
        <v>2748</v>
      </c>
      <c r="D904" s="1030" t="s">
        <v>2749</v>
      </c>
      <c r="E904" t="s">
        <v>2750</v>
      </c>
      <c r="F904" t="s">
        <v>2751</v>
      </c>
      <c r="G904" t="s">
        <v>22</v>
      </c>
      <c r="H904" t="s">
        <v>22</v>
      </c>
      <c r="I904" t="s">
        <v>923</v>
      </c>
    </row>
    <row r="905" spans="1:9" ht="11.25" customHeight="1">
      <c r="A905" t="s">
        <v>2383</v>
      </c>
      <c r="B905" t="s">
        <v>16</v>
      </c>
      <c r="C905" s="1030" t="s">
        <v>3870</v>
      </c>
      <c r="D905" s="1030" t="s">
        <v>3871</v>
      </c>
      <c r="E905" t="s">
        <v>3872</v>
      </c>
      <c r="F905" t="s">
        <v>2828</v>
      </c>
      <c r="G905" t="s">
        <v>22</v>
      </c>
      <c r="H905" t="s">
        <v>22</v>
      </c>
      <c r="I905" t="s">
        <v>923</v>
      </c>
    </row>
    <row r="906" spans="1:9" ht="11.25" customHeight="1">
      <c r="A906" t="s">
        <v>2383</v>
      </c>
      <c r="B906" t="s">
        <v>16</v>
      </c>
      <c r="C906" s="1030" t="s">
        <v>2781</v>
      </c>
      <c r="D906" s="1030" t="s">
        <v>2782</v>
      </c>
      <c r="E906" t="s">
        <v>2783</v>
      </c>
      <c r="F906" t="s">
        <v>2784</v>
      </c>
      <c r="G906" t="s">
        <v>22</v>
      </c>
      <c r="H906" t="s">
        <v>22</v>
      </c>
      <c r="I906" t="s">
        <v>923</v>
      </c>
    </row>
    <row r="907" spans="1:9" ht="11.25" customHeight="1">
      <c r="A907" t="s">
        <v>2383</v>
      </c>
      <c r="B907" t="s">
        <v>16</v>
      </c>
      <c r="C907" s="1030" t="s">
        <v>3892</v>
      </c>
      <c r="D907" s="1030" t="s">
        <v>3889</v>
      </c>
      <c r="E907" t="s">
        <v>3893</v>
      </c>
      <c r="F907" t="s">
        <v>2810</v>
      </c>
      <c r="G907" t="s">
        <v>22</v>
      </c>
      <c r="H907" t="s">
        <v>22</v>
      </c>
      <c r="I907" t="s">
        <v>923</v>
      </c>
    </row>
    <row r="908" spans="1:9" ht="11.25" customHeight="1">
      <c r="A908" t="s">
        <v>2383</v>
      </c>
      <c r="B908" t="s">
        <v>16</v>
      </c>
      <c r="C908" s="1030" t="s">
        <v>4155</v>
      </c>
      <c r="D908" s="1030" t="s">
        <v>4156</v>
      </c>
      <c r="E908" t="s">
        <v>4157</v>
      </c>
      <c r="F908" t="s">
        <v>2584</v>
      </c>
      <c r="G908" t="s">
        <v>22</v>
      </c>
      <c r="H908" t="s">
        <v>22</v>
      </c>
      <c r="I908" t="s">
        <v>923</v>
      </c>
    </row>
    <row r="909" spans="1:9" ht="11.25" customHeight="1">
      <c r="A909" t="s">
        <v>2383</v>
      </c>
      <c r="B909" t="s">
        <v>16</v>
      </c>
      <c r="C909" s="1030" t="s">
        <v>2785</v>
      </c>
      <c r="D909" s="1030" t="s">
        <v>2786</v>
      </c>
      <c r="E909" t="s">
        <v>2787</v>
      </c>
      <c r="F909" t="s">
        <v>2584</v>
      </c>
      <c r="G909" t="s">
        <v>22</v>
      </c>
      <c r="H909" t="s">
        <v>22</v>
      </c>
      <c r="I909" t="s">
        <v>923</v>
      </c>
    </row>
    <row r="910" spans="1:9" ht="11.25" customHeight="1">
      <c r="A910" t="s">
        <v>2383</v>
      </c>
      <c r="B910" t="s">
        <v>16</v>
      </c>
      <c r="C910" s="1030" t="s">
        <v>3894</v>
      </c>
      <c r="D910" s="1030" t="s">
        <v>3895</v>
      </c>
      <c r="E910" t="s">
        <v>3896</v>
      </c>
      <c r="F910" t="s">
        <v>2797</v>
      </c>
      <c r="G910" t="s">
        <v>22</v>
      </c>
      <c r="H910" t="s">
        <v>22</v>
      </c>
      <c r="I910" t="s">
        <v>923</v>
      </c>
    </row>
    <row r="911" spans="1:9" ht="11.25" customHeight="1">
      <c r="A911" t="s">
        <v>2383</v>
      </c>
      <c r="B911" t="s">
        <v>16</v>
      </c>
      <c r="C911" s="1030" t="s">
        <v>2788</v>
      </c>
      <c r="D911" s="1030" t="s">
        <v>2789</v>
      </c>
      <c r="E911" t="s">
        <v>2790</v>
      </c>
      <c r="F911" t="s">
        <v>2510</v>
      </c>
      <c r="G911" t="s">
        <v>22</v>
      </c>
      <c r="H911" t="s">
        <v>22</v>
      </c>
      <c r="I911" t="s">
        <v>923</v>
      </c>
    </row>
    <row r="912" spans="1:9" ht="11.25" customHeight="1">
      <c r="A912" t="s">
        <v>2383</v>
      </c>
      <c r="B912" t="s">
        <v>16</v>
      </c>
      <c r="C912" s="1030" t="s">
        <v>2791</v>
      </c>
      <c r="D912" s="1030" t="s">
        <v>2792</v>
      </c>
      <c r="E912" t="s">
        <v>2793</v>
      </c>
      <c r="F912" t="s">
        <v>2584</v>
      </c>
      <c r="G912" t="s">
        <v>22</v>
      </c>
      <c r="H912" t="s">
        <v>22</v>
      </c>
      <c r="I912" t="s">
        <v>923</v>
      </c>
    </row>
    <row r="913" spans="1:9" ht="11.25" customHeight="1">
      <c r="A913" t="s">
        <v>2383</v>
      </c>
      <c r="B913" t="s">
        <v>16</v>
      </c>
      <c r="C913" s="1030" t="s">
        <v>4158</v>
      </c>
      <c r="D913" s="1030" t="s">
        <v>4159</v>
      </c>
      <c r="E913" t="s">
        <v>4160</v>
      </c>
      <c r="F913" t="s">
        <v>2761</v>
      </c>
      <c r="G913" t="s">
        <v>22</v>
      </c>
      <c r="H913" t="s">
        <v>22</v>
      </c>
      <c r="I913" t="s">
        <v>923</v>
      </c>
    </row>
    <row r="914" spans="1:9" ht="11.25" customHeight="1">
      <c r="A914" t="s">
        <v>2383</v>
      </c>
      <c r="B914" t="s">
        <v>16</v>
      </c>
      <c r="C914" s="1030" t="s">
        <v>2794</v>
      </c>
      <c r="D914" s="1030" t="s">
        <v>2795</v>
      </c>
      <c r="E914" t="s">
        <v>2796</v>
      </c>
      <c r="F914" t="s">
        <v>2797</v>
      </c>
      <c r="G914" t="s">
        <v>22</v>
      </c>
      <c r="H914" t="s">
        <v>22</v>
      </c>
      <c r="I914" t="s">
        <v>923</v>
      </c>
    </row>
    <row r="915" spans="1:9" ht="11.25" customHeight="1">
      <c r="A915" t="s">
        <v>2383</v>
      </c>
      <c r="B915" t="s">
        <v>16</v>
      </c>
      <c r="C915" s="1030" t="s">
        <v>2798</v>
      </c>
      <c r="D915" s="1030" t="s">
        <v>2799</v>
      </c>
      <c r="E915" t="s">
        <v>2800</v>
      </c>
      <c r="F915" t="s">
        <v>2414</v>
      </c>
      <c r="G915" t="s">
        <v>22</v>
      </c>
      <c r="H915" t="s">
        <v>22</v>
      </c>
      <c r="I915" t="s">
        <v>923</v>
      </c>
    </row>
    <row r="916" spans="1:9" ht="11.25" customHeight="1">
      <c r="A916" t="s">
        <v>2383</v>
      </c>
      <c r="B916" t="s">
        <v>16</v>
      </c>
      <c r="C916" s="1030" t="s">
        <v>2801</v>
      </c>
      <c r="D916" s="1030" t="s">
        <v>2802</v>
      </c>
      <c r="E916" t="s">
        <v>2803</v>
      </c>
      <c r="F916" t="s">
        <v>2595</v>
      </c>
      <c r="G916" t="s">
        <v>22</v>
      </c>
      <c r="H916" t="s">
        <v>22</v>
      </c>
      <c r="I916" t="s">
        <v>923</v>
      </c>
    </row>
    <row r="917" spans="1:9" ht="11.25" customHeight="1">
      <c r="A917" t="s">
        <v>2383</v>
      </c>
      <c r="B917" t="s">
        <v>16</v>
      </c>
      <c r="C917" s="1030" t="s">
        <v>2804</v>
      </c>
      <c r="D917" s="1030" t="s">
        <v>2805</v>
      </c>
      <c r="E917" t="s">
        <v>2806</v>
      </c>
      <c r="F917" t="s">
        <v>2797</v>
      </c>
      <c r="G917" t="s">
        <v>22</v>
      </c>
      <c r="H917" t="s">
        <v>22</v>
      </c>
      <c r="I917" t="s">
        <v>923</v>
      </c>
    </row>
    <row r="918" spans="1:9" ht="11.25" customHeight="1">
      <c r="A918" t="s">
        <v>2383</v>
      </c>
      <c r="B918" t="s">
        <v>16</v>
      </c>
      <c r="C918" s="1030" t="s">
        <v>2814</v>
      </c>
      <c r="D918" s="1030" t="s">
        <v>2815</v>
      </c>
      <c r="E918" t="s">
        <v>2816</v>
      </c>
      <c r="F918" t="s">
        <v>2817</v>
      </c>
      <c r="G918" t="s">
        <v>2818</v>
      </c>
      <c r="H918" t="s">
        <v>22</v>
      </c>
      <c r="I918" t="s">
        <v>923</v>
      </c>
    </row>
    <row r="919" spans="1:9" ht="11.25" customHeight="1">
      <c r="A919" t="s">
        <v>2383</v>
      </c>
      <c r="B919" t="s">
        <v>16</v>
      </c>
      <c r="C919" s="1030" t="s">
        <v>3897</v>
      </c>
      <c r="D919" s="1030" t="s">
        <v>3898</v>
      </c>
      <c r="E919" t="s">
        <v>3899</v>
      </c>
      <c r="F919" t="s">
        <v>3900</v>
      </c>
      <c r="G919" t="s">
        <v>3901</v>
      </c>
      <c r="H919" t="s">
        <v>22</v>
      </c>
      <c r="I919" t="s">
        <v>923</v>
      </c>
    </row>
    <row r="920" spans="1:9" ht="11.25" customHeight="1">
      <c r="A920" t="s">
        <v>2383</v>
      </c>
      <c r="B920" t="s">
        <v>16</v>
      </c>
      <c r="C920" s="1030" t="s">
        <v>3902</v>
      </c>
      <c r="D920" s="1030" t="s">
        <v>3903</v>
      </c>
      <c r="E920" t="s">
        <v>3904</v>
      </c>
      <c r="F920" t="s">
        <v>2629</v>
      </c>
      <c r="G920" t="s">
        <v>22</v>
      </c>
      <c r="H920" t="s">
        <v>22</v>
      </c>
      <c r="I920" t="s">
        <v>923</v>
      </c>
    </row>
    <row r="921" spans="1:9" ht="11.25" customHeight="1">
      <c r="A921" t="s">
        <v>2383</v>
      </c>
      <c r="B921" t="s">
        <v>16</v>
      </c>
      <c r="C921" s="1030" t="s">
        <v>4161</v>
      </c>
      <c r="D921" s="1030" t="s">
        <v>4162</v>
      </c>
      <c r="E921" t="s">
        <v>4163</v>
      </c>
      <c r="F921" t="s">
        <v>2482</v>
      </c>
      <c r="G921" t="s">
        <v>22</v>
      </c>
      <c r="H921" t="s">
        <v>22</v>
      </c>
      <c r="I921" t="s">
        <v>923</v>
      </c>
    </row>
    <row r="922" spans="1:9" ht="11.25" customHeight="1">
      <c r="A922" t="s">
        <v>2383</v>
      </c>
      <c r="B922" t="s">
        <v>16</v>
      </c>
      <c r="C922" s="1030" t="s">
        <v>3908</v>
      </c>
      <c r="D922" s="1030" t="s">
        <v>3909</v>
      </c>
      <c r="E922" t="s">
        <v>3910</v>
      </c>
      <c r="F922" t="s">
        <v>3146</v>
      </c>
      <c r="G922" t="s">
        <v>22</v>
      </c>
      <c r="H922" t="s">
        <v>22</v>
      </c>
      <c r="I922" t="s">
        <v>923</v>
      </c>
    </row>
    <row r="923" spans="1:9" ht="11.25" customHeight="1">
      <c r="A923" t="s">
        <v>2383</v>
      </c>
      <c r="B923" t="s">
        <v>16</v>
      </c>
      <c r="C923" s="1030" t="s">
        <v>2829</v>
      </c>
      <c r="D923" s="1030" t="s">
        <v>2830</v>
      </c>
      <c r="E923" t="s">
        <v>2831</v>
      </c>
      <c r="F923" t="s">
        <v>2432</v>
      </c>
      <c r="G923" t="s">
        <v>22</v>
      </c>
      <c r="H923" t="s">
        <v>22</v>
      </c>
      <c r="I923" t="s">
        <v>923</v>
      </c>
    </row>
    <row r="924" spans="1:9" ht="11.25" customHeight="1">
      <c r="A924" t="s">
        <v>2383</v>
      </c>
      <c r="B924" t="s">
        <v>16</v>
      </c>
      <c r="C924" s="1030" t="s">
        <v>2832</v>
      </c>
      <c r="D924" s="1030" t="s">
        <v>2833</v>
      </c>
      <c r="E924" t="s">
        <v>2834</v>
      </c>
      <c r="F924" t="s">
        <v>2835</v>
      </c>
      <c r="G924" t="s">
        <v>22</v>
      </c>
      <c r="H924" t="s">
        <v>22</v>
      </c>
      <c r="I924" t="s">
        <v>923</v>
      </c>
    </row>
    <row r="925" spans="1:9" ht="11.25" customHeight="1">
      <c r="A925" t="s">
        <v>2383</v>
      </c>
      <c r="B925" t="s">
        <v>16</v>
      </c>
      <c r="C925" s="1030" t="s">
        <v>2836</v>
      </c>
      <c r="D925" s="1030" t="s">
        <v>2837</v>
      </c>
      <c r="E925" t="s">
        <v>2838</v>
      </c>
      <c r="F925" t="s">
        <v>2839</v>
      </c>
      <c r="G925" t="s">
        <v>22</v>
      </c>
      <c r="H925" t="s">
        <v>22</v>
      </c>
      <c r="I925" t="s">
        <v>923</v>
      </c>
    </row>
    <row r="926" spans="1:9" ht="11.25" customHeight="1">
      <c r="A926" t="s">
        <v>2383</v>
      </c>
      <c r="B926" t="s">
        <v>16</v>
      </c>
      <c r="C926" s="1030" t="s">
        <v>3911</v>
      </c>
      <c r="D926" s="1030" t="s">
        <v>3912</v>
      </c>
      <c r="E926" t="s">
        <v>3913</v>
      </c>
      <c r="F926" t="s">
        <v>2440</v>
      </c>
      <c r="G926" t="s">
        <v>22</v>
      </c>
      <c r="H926" t="s">
        <v>22</v>
      </c>
      <c r="I926" t="s">
        <v>923</v>
      </c>
    </row>
    <row r="927" spans="1:9" ht="11.25" customHeight="1">
      <c r="A927" t="s">
        <v>2383</v>
      </c>
      <c r="B927" t="s">
        <v>16</v>
      </c>
      <c r="C927" s="1030" t="s">
        <v>3914</v>
      </c>
      <c r="D927" s="1030" t="s">
        <v>3915</v>
      </c>
      <c r="E927" t="s">
        <v>3916</v>
      </c>
      <c r="F927" t="s">
        <v>3438</v>
      </c>
      <c r="G927" t="s">
        <v>22</v>
      </c>
      <c r="H927" t="s">
        <v>22</v>
      </c>
      <c r="I927" t="s">
        <v>923</v>
      </c>
    </row>
    <row r="928" spans="1:9" ht="11.25" customHeight="1">
      <c r="A928" t="s">
        <v>2383</v>
      </c>
      <c r="B928" t="s">
        <v>16</v>
      </c>
      <c r="C928" s="1030" t="s">
        <v>4164</v>
      </c>
      <c r="D928" s="1030" t="s">
        <v>4165</v>
      </c>
      <c r="E928" t="s">
        <v>4166</v>
      </c>
      <c r="F928" t="s">
        <v>2574</v>
      </c>
      <c r="G928" t="s">
        <v>22</v>
      </c>
      <c r="H928" t="s">
        <v>22</v>
      </c>
      <c r="I928" t="s">
        <v>923</v>
      </c>
    </row>
    <row r="929" spans="1:9" ht="11.25" customHeight="1">
      <c r="A929" t="s">
        <v>2383</v>
      </c>
      <c r="B929" t="s">
        <v>16</v>
      </c>
      <c r="C929" s="1030" t="s">
        <v>2840</v>
      </c>
      <c r="D929" s="1030" t="s">
        <v>2841</v>
      </c>
      <c r="E929" t="s">
        <v>2842</v>
      </c>
      <c r="F929" t="s">
        <v>2843</v>
      </c>
      <c r="G929" t="s">
        <v>22</v>
      </c>
      <c r="H929" t="s">
        <v>22</v>
      </c>
      <c r="I929" t="s">
        <v>923</v>
      </c>
    </row>
    <row r="930" spans="1:9" ht="11.25" customHeight="1">
      <c r="A930" t="s">
        <v>2383</v>
      </c>
      <c r="B930" t="s">
        <v>16</v>
      </c>
      <c r="C930" s="1030" t="s">
        <v>2844</v>
      </c>
      <c r="D930" s="1030" t="s">
        <v>2845</v>
      </c>
      <c r="E930" t="s">
        <v>2846</v>
      </c>
      <c r="F930" t="s">
        <v>2657</v>
      </c>
      <c r="G930" t="s">
        <v>22</v>
      </c>
      <c r="H930" t="s">
        <v>22</v>
      </c>
      <c r="I930" t="s">
        <v>923</v>
      </c>
    </row>
    <row r="931" spans="1:9" ht="11.25" customHeight="1">
      <c r="A931" t="s">
        <v>2383</v>
      </c>
      <c r="B931" t="s">
        <v>16</v>
      </c>
      <c r="C931" s="1030" t="s">
        <v>3924</v>
      </c>
      <c r="D931" s="1030" t="s">
        <v>3925</v>
      </c>
      <c r="E931" t="s">
        <v>3926</v>
      </c>
      <c r="F931" t="s">
        <v>2672</v>
      </c>
      <c r="G931" t="s">
        <v>22</v>
      </c>
      <c r="H931" t="s">
        <v>22</v>
      </c>
      <c r="I931" t="s">
        <v>923</v>
      </c>
    </row>
    <row r="932" spans="1:9" ht="11.25" customHeight="1">
      <c r="A932" t="s">
        <v>2383</v>
      </c>
      <c r="B932" t="s">
        <v>16</v>
      </c>
      <c r="C932" s="1030" t="s">
        <v>2847</v>
      </c>
      <c r="D932" s="1030" t="s">
        <v>2848</v>
      </c>
      <c r="E932" t="s">
        <v>2849</v>
      </c>
      <c r="F932" t="s">
        <v>2451</v>
      </c>
      <c r="G932" t="s">
        <v>22</v>
      </c>
      <c r="H932" t="s">
        <v>22</v>
      </c>
      <c r="I932" t="s">
        <v>923</v>
      </c>
    </row>
    <row r="933" spans="1:9" ht="11.25" customHeight="1">
      <c r="A933" t="s">
        <v>2383</v>
      </c>
      <c r="B933" t="s">
        <v>16</v>
      </c>
      <c r="C933" s="1030" t="s">
        <v>3927</v>
      </c>
      <c r="D933" s="1030" t="s">
        <v>2848</v>
      </c>
      <c r="E933" t="s">
        <v>3928</v>
      </c>
      <c r="F933" t="s">
        <v>3100</v>
      </c>
      <c r="G933" t="s">
        <v>22</v>
      </c>
      <c r="H933" t="s">
        <v>22</v>
      </c>
      <c r="I933" t="s">
        <v>923</v>
      </c>
    </row>
    <row r="934" spans="1:9" ht="11.25" customHeight="1">
      <c r="A934" t="s">
        <v>2383</v>
      </c>
      <c r="B934" t="s">
        <v>16</v>
      </c>
      <c r="C934" s="1030" t="s">
        <v>2850</v>
      </c>
      <c r="D934" s="1030" t="s">
        <v>2851</v>
      </c>
      <c r="E934" t="s">
        <v>2852</v>
      </c>
      <c r="F934" t="s">
        <v>2661</v>
      </c>
      <c r="G934" t="s">
        <v>22</v>
      </c>
      <c r="H934" t="s">
        <v>22</v>
      </c>
      <c r="I934" t="s">
        <v>923</v>
      </c>
    </row>
    <row r="935" spans="1:9" ht="11.25" customHeight="1">
      <c r="A935" t="s">
        <v>2383</v>
      </c>
      <c r="B935" t="s">
        <v>16</v>
      </c>
      <c r="C935" s="1030" t="s">
        <v>3932</v>
      </c>
      <c r="D935" s="1030" t="s">
        <v>3933</v>
      </c>
      <c r="E935" t="s">
        <v>3934</v>
      </c>
      <c r="F935" t="s">
        <v>2432</v>
      </c>
      <c r="G935" t="s">
        <v>3935</v>
      </c>
      <c r="H935" t="s">
        <v>22</v>
      </c>
      <c r="I935" t="s">
        <v>923</v>
      </c>
    </row>
    <row r="936" spans="1:9" ht="11.25" customHeight="1">
      <c r="A936" t="s">
        <v>2383</v>
      </c>
      <c r="B936" t="s">
        <v>16</v>
      </c>
      <c r="C936" s="1030" t="s">
        <v>3936</v>
      </c>
      <c r="D936" s="1030" t="s">
        <v>3937</v>
      </c>
      <c r="E936" t="s">
        <v>3938</v>
      </c>
      <c r="F936" t="s">
        <v>2574</v>
      </c>
      <c r="G936" t="s">
        <v>22</v>
      </c>
      <c r="H936" t="s">
        <v>22</v>
      </c>
      <c r="I936" t="s">
        <v>923</v>
      </c>
    </row>
    <row r="937" spans="1:9" ht="11.25" customHeight="1">
      <c r="A937" t="s">
        <v>2383</v>
      </c>
      <c r="B937" t="s">
        <v>16</v>
      </c>
      <c r="C937" s="1030" t="s">
        <v>3939</v>
      </c>
      <c r="D937" s="1030" t="s">
        <v>3940</v>
      </c>
      <c r="E937" t="s">
        <v>3941</v>
      </c>
      <c r="F937" t="s">
        <v>3100</v>
      </c>
      <c r="G937" t="s">
        <v>22</v>
      </c>
      <c r="H937" t="s">
        <v>22</v>
      </c>
      <c r="I937" t="s">
        <v>923</v>
      </c>
    </row>
    <row r="938" spans="1:9" ht="11.25" customHeight="1">
      <c r="A938" t="s">
        <v>2383</v>
      </c>
      <c r="B938" t="s">
        <v>16</v>
      </c>
      <c r="C938" s="1030" t="s">
        <v>3942</v>
      </c>
      <c r="D938" s="1030" t="s">
        <v>3943</v>
      </c>
      <c r="E938" t="s">
        <v>3944</v>
      </c>
      <c r="F938" t="s">
        <v>2909</v>
      </c>
      <c r="G938" t="s">
        <v>22</v>
      </c>
      <c r="H938" t="s">
        <v>22</v>
      </c>
      <c r="I938" t="s">
        <v>923</v>
      </c>
    </row>
    <row r="939" spans="1:9" ht="11.25" customHeight="1">
      <c r="A939" t="s">
        <v>2383</v>
      </c>
      <c r="B939" t="s">
        <v>16</v>
      </c>
      <c r="C939" s="1030" t="s">
        <v>2856</v>
      </c>
      <c r="D939" s="1030" t="s">
        <v>2857</v>
      </c>
      <c r="E939" t="s">
        <v>2858</v>
      </c>
      <c r="F939" t="s">
        <v>2835</v>
      </c>
      <c r="G939" t="s">
        <v>22</v>
      </c>
      <c r="H939" t="s">
        <v>22</v>
      </c>
      <c r="I939" t="s">
        <v>923</v>
      </c>
    </row>
    <row r="940" spans="1:9" ht="11.25" customHeight="1">
      <c r="A940" t="s">
        <v>2383</v>
      </c>
      <c r="B940" t="s">
        <v>16</v>
      </c>
      <c r="C940" s="1030" t="s">
        <v>2859</v>
      </c>
      <c r="D940" s="1030" t="s">
        <v>2860</v>
      </c>
      <c r="E940" t="s">
        <v>2861</v>
      </c>
      <c r="F940" t="s">
        <v>2665</v>
      </c>
      <c r="G940" t="s">
        <v>22</v>
      </c>
      <c r="H940" t="s">
        <v>22</v>
      </c>
      <c r="I940" t="s">
        <v>923</v>
      </c>
    </row>
    <row r="941" spans="1:9" ht="11.25" customHeight="1">
      <c r="A941" t="s">
        <v>2383</v>
      </c>
      <c r="B941" t="s">
        <v>16</v>
      </c>
      <c r="C941" s="1030" t="s">
        <v>2862</v>
      </c>
      <c r="D941" s="1030" t="s">
        <v>2863</v>
      </c>
      <c r="E941" t="s">
        <v>2864</v>
      </c>
      <c r="F941" t="s">
        <v>2817</v>
      </c>
      <c r="G941" t="s">
        <v>22</v>
      </c>
      <c r="H941" t="s">
        <v>22</v>
      </c>
      <c r="I941" t="s">
        <v>923</v>
      </c>
    </row>
    <row r="942" spans="1:9" ht="11.25" customHeight="1">
      <c r="A942" t="s">
        <v>2383</v>
      </c>
      <c r="B942" t="s">
        <v>16</v>
      </c>
      <c r="C942" s="1030" t="s">
        <v>2865</v>
      </c>
      <c r="D942" s="1030" t="s">
        <v>2866</v>
      </c>
      <c r="E942" t="s">
        <v>2867</v>
      </c>
      <c r="F942" t="s">
        <v>2817</v>
      </c>
      <c r="G942" t="s">
        <v>22</v>
      </c>
      <c r="H942" t="s">
        <v>22</v>
      </c>
      <c r="I942" t="s">
        <v>923</v>
      </c>
    </row>
    <row r="943" spans="1:9" ht="11.25" customHeight="1">
      <c r="A943" t="s">
        <v>2383</v>
      </c>
      <c r="B943" t="s">
        <v>16</v>
      </c>
      <c r="C943" s="1030" t="s">
        <v>2868</v>
      </c>
      <c r="D943" s="1030" t="s">
        <v>2869</v>
      </c>
      <c r="E943" t="s">
        <v>2870</v>
      </c>
      <c r="F943" t="s">
        <v>2817</v>
      </c>
      <c r="G943" t="s">
        <v>22</v>
      </c>
      <c r="H943" t="s">
        <v>22</v>
      </c>
      <c r="I943" t="s">
        <v>923</v>
      </c>
    </row>
    <row r="944" spans="1:9" ht="11.25" customHeight="1">
      <c r="A944" t="s">
        <v>2383</v>
      </c>
      <c r="B944" t="s">
        <v>16</v>
      </c>
      <c r="C944" s="1030" t="s">
        <v>2871</v>
      </c>
      <c r="D944" s="1030" t="s">
        <v>2872</v>
      </c>
      <c r="E944" t="s">
        <v>2873</v>
      </c>
      <c r="F944" t="s">
        <v>2817</v>
      </c>
      <c r="G944" t="s">
        <v>22</v>
      </c>
      <c r="H944" t="s">
        <v>22</v>
      </c>
      <c r="I944" t="s">
        <v>923</v>
      </c>
    </row>
    <row r="945" spans="1:9" ht="11.25" customHeight="1">
      <c r="A945" t="s">
        <v>2383</v>
      </c>
      <c r="B945" t="s">
        <v>16</v>
      </c>
      <c r="C945" s="1030" t="s">
        <v>2874</v>
      </c>
      <c r="D945" s="1030" t="s">
        <v>2875</v>
      </c>
      <c r="E945" t="s">
        <v>2876</v>
      </c>
      <c r="F945" t="s">
        <v>2817</v>
      </c>
      <c r="G945" t="s">
        <v>22</v>
      </c>
      <c r="H945" t="s">
        <v>22</v>
      </c>
      <c r="I945" t="s">
        <v>923</v>
      </c>
    </row>
    <row r="946" spans="1:9" ht="11.25" customHeight="1">
      <c r="A946" t="s">
        <v>2383</v>
      </c>
      <c r="B946" t="s">
        <v>16</v>
      </c>
      <c r="C946" s="1030" t="s">
        <v>2877</v>
      </c>
      <c r="D946" s="1030" t="s">
        <v>2878</v>
      </c>
      <c r="E946" t="s">
        <v>2879</v>
      </c>
      <c r="F946" t="s">
        <v>2817</v>
      </c>
      <c r="G946" t="s">
        <v>22</v>
      </c>
      <c r="H946" t="s">
        <v>22</v>
      </c>
      <c r="I946" t="s">
        <v>923</v>
      </c>
    </row>
    <row r="947" spans="1:9" ht="11.25" customHeight="1">
      <c r="A947" t="s">
        <v>2383</v>
      </c>
      <c r="B947" t="s">
        <v>16</v>
      </c>
      <c r="C947" s="1030" t="s">
        <v>2880</v>
      </c>
      <c r="D947" s="1030" t="s">
        <v>2881</v>
      </c>
      <c r="E947" t="s">
        <v>2882</v>
      </c>
      <c r="F947" t="s">
        <v>2482</v>
      </c>
      <c r="G947" t="s">
        <v>22</v>
      </c>
      <c r="H947" t="s">
        <v>22</v>
      </c>
      <c r="I947" t="s">
        <v>923</v>
      </c>
    </row>
    <row r="948" spans="1:9" ht="11.25" customHeight="1">
      <c r="A948" t="s">
        <v>2383</v>
      </c>
      <c r="B948" t="s">
        <v>16</v>
      </c>
      <c r="C948" s="1030" t="s">
        <v>2883</v>
      </c>
      <c r="D948" s="1030" t="s">
        <v>2884</v>
      </c>
      <c r="E948" t="s">
        <v>2885</v>
      </c>
      <c r="F948" t="s">
        <v>2817</v>
      </c>
      <c r="G948" t="s">
        <v>22</v>
      </c>
      <c r="H948" t="s">
        <v>22</v>
      </c>
      <c r="I948" t="s">
        <v>923</v>
      </c>
    </row>
    <row r="949" spans="1:9" ht="11.25" customHeight="1">
      <c r="A949" t="s">
        <v>2383</v>
      </c>
      <c r="B949" t="s">
        <v>16</v>
      </c>
      <c r="C949" s="1030" t="s">
        <v>2886</v>
      </c>
      <c r="D949" s="1030" t="s">
        <v>2887</v>
      </c>
      <c r="E949" t="s">
        <v>2888</v>
      </c>
      <c r="F949" t="s">
        <v>2889</v>
      </c>
      <c r="G949" t="s">
        <v>22</v>
      </c>
      <c r="H949" t="s">
        <v>22</v>
      </c>
      <c r="I949" t="s">
        <v>923</v>
      </c>
    </row>
    <row r="950" spans="1:9" ht="11.25" customHeight="1">
      <c r="A950" t="s">
        <v>2383</v>
      </c>
      <c r="B950" t="s">
        <v>16</v>
      </c>
      <c r="C950" s="1030" t="s">
        <v>2890</v>
      </c>
      <c r="D950" s="1030" t="s">
        <v>2891</v>
      </c>
      <c r="E950" t="s">
        <v>2892</v>
      </c>
      <c r="F950" t="s">
        <v>2817</v>
      </c>
      <c r="G950" t="s">
        <v>22</v>
      </c>
      <c r="H950" t="s">
        <v>22</v>
      </c>
      <c r="I950" t="s">
        <v>923</v>
      </c>
    </row>
    <row r="951" spans="1:9" ht="11.25" customHeight="1">
      <c r="A951" t="s">
        <v>2383</v>
      </c>
      <c r="B951" t="s">
        <v>16</v>
      </c>
      <c r="C951" s="1030" t="s">
        <v>2893</v>
      </c>
      <c r="D951" s="1030" t="s">
        <v>2894</v>
      </c>
      <c r="E951" t="s">
        <v>2895</v>
      </c>
      <c r="F951" t="s">
        <v>2896</v>
      </c>
      <c r="G951" t="s">
        <v>22</v>
      </c>
      <c r="H951" t="s">
        <v>22</v>
      </c>
      <c r="I951" t="s">
        <v>923</v>
      </c>
    </row>
    <row r="952" spans="1:9" ht="11.25" customHeight="1">
      <c r="A952" t="s">
        <v>2383</v>
      </c>
      <c r="B952" t="s">
        <v>16</v>
      </c>
      <c r="C952" s="1030" t="s">
        <v>2897</v>
      </c>
      <c r="D952" s="1030" t="s">
        <v>2898</v>
      </c>
      <c r="E952" t="s">
        <v>2899</v>
      </c>
      <c r="F952" t="s">
        <v>2638</v>
      </c>
      <c r="G952" t="s">
        <v>22</v>
      </c>
      <c r="H952" t="s">
        <v>22</v>
      </c>
      <c r="I952" t="s">
        <v>923</v>
      </c>
    </row>
    <row r="953" spans="1:9" ht="11.25" customHeight="1">
      <c r="A953" t="s">
        <v>2383</v>
      </c>
      <c r="B953" t="s">
        <v>16</v>
      </c>
      <c r="C953" s="1030" t="s">
        <v>2900</v>
      </c>
      <c r="D953" s="1030" t="s">
        <v>2901</v>
      </c>
      <c r="E953" t="s">
        <v>2902</v>
      </c>
      <c r="F953" t="s">
        <v>2661</v>
      </c>
      <c r="G953" t="s">
        <v>22</v>
      </c>
      <c r="H953" t="s">
        <v>22</v>
      </c>
      <c r="I953" t="s">
        <v>923</v>
      </c>
    </row>
    <row r="954" spans="1:9" ht="11.25" customHeight="1">
      <c r="A954" t="s">
        <v>2383</v>
      </c>
      <c r="B954" t="s">
        <v>16</v>
      </c>
      <c r="C954" s="1030" t="s">
        <v>2903</v>
      </c>
      <c r="D954" s="1030" t="s">
        <v>2904</v>
      </c>
      <c r="E954" t="s">
        <v>2905</v>
      </c>
      <c r="F954" t="s">
        <v>2432</v>
      </c>
      <c r="G954" t="s">
        <v>22</v>
      </c>
      <c r="H954" t="s">
        <v>22</v>
      </c>
      <c r="I954" t="s">
        <v>923</v>
      </c>
    </row>
    <row r="955" spans="1:9" ht="11.25" customHeight="1">
      <c r="A955" t="s">
        <v>2383</v>
      </c>
      <c r="B955" t="s">
        <v>16</v>
      </c>
      <c r="C955" s="1030" t="s">
        <v>3951</v>
      </c>
      <c r="D955" s="1030" t="s">
        <v>3952</v>
      </c>
      <c r="E955" t="s">
        <v>3953</v>
      </c>
      <c r="F955" t="s">
        <v>2953</v>
      </c>
      <c r="G955" t="s">
        <v>22</v>
      </c>
      <c r="H955" t="s">
        <v>22</v>
      </c>
      <c r="I955" t="s">
        <v>923</v>
      </c>
    </row>
    <row r="956" spans="1:9" ht="11.25" customHeight="1">
      <c r="A956" t="s">
        <v>2383</v>
      </c>
      <c r="B956" t="s">
        <v>16</v>
      </c>
      <c r="C956" s="1030" t="s">
        <v>2910</v>
      </c>
      <c r="D956" s="1030" t="s">
        <v>2911</v>
      </c>
      <c r="E956" t="s">
        <v>2912</v>
      </c>
      <c r="F956" t="s">
        <v>2665</v>
      </c>
      <c r="G956" t="s">
        <v>22</v>
      </c>
      <c r="H956" t="s">
        <v>22</v>
      </c>
      <c r="I956" t="s">
        <v>923</v>
      </c>
    </row>
    <row r="957" spans="1:9" ht="11.25" customHeight="1">
      <c r="A957" t="s">
        <v>2383</v>
      </c>
      <c r="B957" t="s">
        <v>16</v>
      </c>
      <c r="C957" s="1030" t="s">
        <v>2916</v>
      </c>
      <c r="D957" s="1030" t="s">
        <v>2917</v>
      </c>
      <c r="E957" t="s">
        <v>2918</v>
      </c>
      <c r="F957" t="s">
        <v>2661</v>
      </c>
      <c r="G957" t="s">
        <v>22</v>
      </c>
      <c r="H957" t="s">
        <v>22</v>
      </c>
      <c r="I957" t="s">
        <v>923</v>
      </c>
    </row>
    <row r="958" spans="1:9" ht="11.25" customHeight="1">
      <c r="A958" t="s">
        <v>2383</v>
      </c>
      <c r="B958" t="s">
        <v>16</v>
      </c>
      <c r="C958" s="1030" t="s">
        <v>3957</v>
      </c>
      <c r="D958" s="1030" t="s">
        <v>3958</v>
      </c>
      <c r="E958" t="s">
        <v>3959</v>
      </c>
      <c r="F958" t="s">
        <v>2645</v>
      </c>
      <c r="G958" t="s">
        <v>22</v>
      </c>
      <c r="H958" t="s">
        <v>22</v>
      </c>
      <c r="I958" t="s">
        <v>923</v>
      </c>
    </row>
    <row r="959" spans="1:9" ht="11.25" customHeight="1">
      <c r="A959" t="s">
        <v>2383</v>
      </c>
      <c r="B959" t="s">
        <v>16</v>
      </c>
      <c r="C959" s="1030" t="s">
        <v>3960</v>
      </c>
      <c r="D959" s="1030" t="s">
        <v>3961</v>
      </c>
      <c r="E959" t="s">
        <v>3962</v>
      </c>
      <c r="F959" t="s">
        <v>2645</v>
      </c>
      <c r="G959" t="s">
        <v>22</v>
      </c>
      <c r="H959" t="s">
        <v>22</v>
      </c>
      <c r="I959" t="s">
        <v>923</v>
      </c>
    </row>
    <row r="960" spans="1:9" ht="11.25" customHeight="1">
      <c r="A960" t="s">
        <v>2383</v>
      </c>
      <c r="B960" t="s">
        <v>16</v>
      </c>
      <c r="C960" s="1030" t="s">
        <v>2922</v>
      </c>
      <c r="D960" s="1030" t="s">
        <v>2923</v>
      </c>
      <c r="E960" t="s">
        <v>2924</v>
      </c>
      <c r="F960" t="s">
        <v>2432</v>
      </c>
      <c r="G960" t="s">
        <v>22</v>
      </c>
      <c r="H960" t="s">
        <v>22</v>
      </c>
      <c r="I960" t="s">
        <v>923</v>
      </c>
    </row>
    <row r="961" spans="1:9" ht="11.25" customHeight="1">
      <c r="A961" t="s">
        <v>2383</v>
      </c>
      <c r="B961" t="s">
        <v>16</v>
      </c>
      <c r="C961" s="1030" t="s">
        <v>2925</v>
      </c>
      <c r="D961" s="1030" t="s">
        <v>2926</v>
      </c>
      <c r="E961" t="s">
        <v>2927</v>
      </c>
      <c r="F961" t="s">
        <v>2432</v>
      </c>
      <c r="G961" t="s">
        <v>22</v>
      </c>
      <c r="H961" t="s">
        <v>22</v>
      </c>
      <c r="I961" t="s">
        <v>923</v>
      </c>
    </row>
    <row r="962" spans="1:9" ht="11.25" customHeight="1">
      <c r="A962" t="s">
        <v>2383</v>
      </c>
      <c r="B962" t="s">
        <v>16</v>
      </c>
      <c r="C962" s="1030" t="s">
        <v>3963</v>
      </c>
      <c r="D962" s="1030" t="s">
        <v>3964</v>
      </c>
      <c r="E962" t="s">
        <v>3965</v>
      </c>
      <c r="F962" t="s">
        <v>2661</v>
      </c>
      <c r="G962" t="s">
        <v>22</v>
      </c>
      <c r="H962" t="s">
        <v>22</v>
      </c>
      <c r="I962" t="s">
        <v>923</v>
      </c>
    </row>
    <row r="963" spans="1:9" ht="11.25" customHeight="1">
      <c r="A963" t="s">
        <v>2383</v>
      </c>
      <c r="B963" t="s">
        <v>16</v>
      </c>
      <c r="C963" s="1030" t="s">
        <v>3966</v>
      </c>
      <c r="D963" s="1030" t="s">
        <v>3967</v>
      </c>
      <c r="E963" t="s">
        <v>3968</v>
      </c>
      <c r="F963" t="s">
        <v>2761</v>
      </c>
      <c r="G963" t="s">
        <v>3969</v>
      </c>
      <c r="H963" t="s">
        <v>22</v>
      </c>
      <c r="I963" t="s">
        <v>923</v>
      </c>
    </row>
    <row r="964" spans="1:9" ht="11.25" customHeight="1">
      <c r="A964" t="s">
        <v>2383</v>
      </c>
      <c r="B964" t="s">
        <v>16</v>
      </c>
      <c r="C964" s="1030" t="s">
        <v>2934</v>
      </c>
      <c r="D964" s="1030" t="s">
        <v>2935</v>
      </c>
      <c r="E964" t="s">
        <v>2936</v>
      </c>
      <c r="F964" t="s">
        <v>2657</v>
      </c>
      <c r="G964" t="s">
        <v>22</v>
      </c>
      <c r="H964" t="s">
        <v>22</v>
      </c>
      <c r="I964" t="s">
        <v>923</v>
      </c>
    </row>
    <row r="965" spans="1:9" ht="11.25" customHeight="1">
      <c r="A965" t="s">
        <v>2383</v>
      </c>
      <c r="B965" t="s">
        <v>16</v>
      </c>
      <c r="C965" s="1030" t="s">
        <v>2937</v>
      </c>
      <c r="D965" s="1030" t="s">
        <v>2938</v>
      </c>
      <c r="E965" t="s">
        <v>2939</v>
      </c>
      <c r="F965" t="s">
        <v>2653</v>
      </c>
      <c r="G965" t="s">
        <v>22</v>
      </c>
      <c r="H965" t="s">
        <v>22</v>
      </c>
      <c r="I965" t="s">
        <v>923</v>
      </c>
    </row>
    <row r="966" spans="1:9" ht="11.25" customHeight="1">
      <c r="A966" t="s">
        <v>2383</v>
      </c>
      <c r="B966" t="s">
        <v>16</v>
      </c>
      <c r="C966" s="1030" t="s">
        <v>2940</v>
      </c>
      <c r="D966" s="1030" t="s">
        <v>2941</v>
      </c>
      <c r="E966" t="s">
        <v>2942</v>
      </c>
      <c r="F966" t="s">
        <v>2817</v>
      </c>
      <c r="G966" t="s">
        <v>22</v>
      </c>
      <c r="H966" t="s">
        <v>22</v>
      </c>
      <c r="I966" t="s">
        <v>923</v>
      </c>
    </row>
    <row r="967" spans="1:9" ht="11.25" customHeight="1">
      <c r="A967" t="s">
        <v>2383</v>
      </c>
      <c r="B967" t="s">
        <v>16</v>
      </c>
      <c r="C967" s="1030" t="s">
        <v>2943</v>
      </c>
      <c r="D967" s="1030" t="s">
        <v>2944</v>
      </c>
      <c r="E967" t="s">
        <v>2945</v>
      </c>
      <c r="F967" t="s">
        <v>2946</v>
      </c>
      <c r="G967" t="s">
        <v>22</v>
      </c>
      <c r="H967" t="s">
        <v>22</v>
      </c>
      <c r="I967" t="s">
        <v>923</v>
      </c>
    </row>
    <row r="968" spans="1:9" ht="11.25" customHeight="1">
      <c r="A968" t="s">
        <v>2383</v>
      </c>
      <c r="B968" t="s">
        <v>16</v>
      </c>
      <c r="C968" s="1030" t="s">
        <v>2947</v>
      </c>
      <c r="D968" s="1030" t="s">
        <v>2948</v>
      </c>
      <c r="E968" t="s">
        <v>2949</v>
      </c>
      <c r="F968" t="s">
        <v>2440</v>
      </c>
      <c r="G968" t="s">
        <v>22</v>
      </c>
      <c r="H968" t="s">
        <v>22</v>
      </c>
      <c r="I968" t="s">
        <v>923</v>
      </c>
    </row>
    <row r="969" spans="1:9" ht="11.25" customHeight="1">
      <c r="A969" t="s">
        <v>2383</v>
      </c>
      <c r="B969" t="s">
        <v>16</v>
      </c>
      <c r="C969" s="1030" t="s">
        <v>2950</v>
      </c>
      <c r="D969" s="1030" t="s">
        <v>2951</v>
      </c>
      <c r="E969" t="s">
        <v>2952</v>
      </c>
      <c r="F969" t="s">
        <v>2953</v>
      </c>
      <c r="G969" t="s">
        <v>22</v>
      </c>
      <c r="H969" t="s">
        <v>22</v>
      </c>
      <c r="I969" t="s">
        <v>923</v>
      </c>
    </row>
    <row r="970" spans="1:9" ht="11.25" customHeight="1">
      <c r="A970" t="s">
        <v>2383</v>
      </c>
      <c r="B970" t="s">
        <v>16</v>
      </c>
      <c r="C970" s="1030" t="s">
        <v>2954</v>
      </c>
      <c r="D970" s="1030" t="s">
        <v>2955</v>
      </c>
      <c r="E970" t="s">
        <v>2956</v>
      </c>
      <c r="F970" t="s">
        <v>2817</v>
      </c>
      <c r="G970" t="s">
        <v>22</v>
      </c>
      <c r="H970" t="s">
        <v>22</v>
      </c>
      <c r="I970" t="s">
        <v>923</v>
      </c>
    </row>
    <row r="971" spans="1:9" ht="11.25" customHeight="1">
      <c r="A971" t="s">
        <v>2383</v>
      </c>
      <c r="B971" t="s">
        <v>16</v>
      </c>
      <c r="C971" s="1030" t="s">
        <v>2960</v>
      </c>
      <c r="D971" s="1030" t="s">
        <v>2961</v>
      </c>
      <c r="E971" t="s">
        <v>2962</v>
      </c>
      <c r="F971" t="s">
        <v>2835</v>
      </c>
      <c r="G971" t="s">
        <v>22</v>
      </c>
      <c r="H971" t="s">
        <v>22</v>
      </c>
      <c r="I971" t="s">
        <v>923</v>
      </c>
    </row>
    <row r="972" spans="1:9" ht="11.25" customHeight="1">
      <c r="A972" t="s">
        <v>2383</v>
      </c>
      <c r="B972" t="s">
        <v>16</v>
      </c>
      <c r="C972" s="1030" t="s">
        <v>2963</v>
      </c>
      <c r="D972" s="1030" t="s">
        <v>2964</v>
      </c>
      <c r="E972" t="s">
        <v>2965</v>
      </c>
      <c r="F972" t="s">
        <v>2966</v>
      </c>
      <c r="G972" t="s">
        <v>22</v>
      </c>
      <c r="H972" t="s">
        <v>22</v>
      </c>
      <c r="I972" t="s">
        <v>923</v>
      </c>
    </row>
    <row r="973" spans="1:9" ht="11.25" customHeight="1">
      <c r="A973" t="s">
        <v>2383</v>
      </c>
      <c r="B973" t="s">
        <v>16</v>
      </c>
      <c r="C973" s="1030" t="s">
        <v>3973</v>
      </c>
      <c r="D973" s="1030" t="s">
        <v>3974</v>
      </c>
      <c r="E973" t="s">
        <v>3975</v>
      </c>
      <c r="F973" t="s">
        <v>3025</v>
      </c>
      <c r="G973" t="s">
        <v>22</v>
      </c>
      <c r="H973" t="s">
        <v>22</v>
      </c>
      <c r="I973" t="s">
        <v>923</v>
      </c>
    </row>
    <row r="974" spans="1:9" ht="11.25" customHeight="1">
      <c r="A974" t="s">
        <v>2383</v>
      </c>
      <c r="B974" t="s">
        <v>16</v>
      </c>
      <c r="C974" s="1030" t="s">
        <v>2967</v>
      </c>
      <c r="D974" s="1030" t="s">
        <v>2968</v>
      </c>
      <c r="E974" t="s">
        <v>2969</v>
      </c>
      <c r="F974" t="s">
        <v>2672</v>
      </c>
      <c r="G974" t="s">
        <v>22</v>
      </c>
      <c r="H974" t="s">
        <v>22</v>
      </c>
      <c r="I974" t="s">
        <v>923</v>
      </c>
    </row>
    <row r="975" spans="1:9" ht="11.25" customHeight="1">
      <c r="A975" t="s">
        <v>2383</v>
      </c>
      <c r="B975" t="s">
        <v>16</v>
      </c>
      <c r="C975" s="1030" t="s">
        <v>2970</v>
      </c>
      <c r="D975" s="1030" t="s">
        <v>2971</v>
      </c>
      <c r="E975" t="s">
        <v>2972</v>
      </c>
      <c r="F975" t="s">
        <v>2973</v>
      </c>
      <c r="G975" t="s">
        <v>22</v>
      </c>
      <c r="H975" t="s">
        <v>22</v>
      </c>
      <c r="I975" t="s">
        <v>923</v>
      </c>
    </row>
    <row r="976" spans="1:9" ht="11.25" customHeight="1">
      <c r="A976" t="s">
        <v>2383</v>
      </c>
      <c r="B976" t="s">
        <v>16</v>
      </c>
      <c r="C976" s="1030" t="s">
        <v>2974</v>
      </c>
      <c r="D976" s="1030" t="s">
        <v>2975</v>
      </c>
      <c r="E976" t="s">
        <v>2976</v>
      </c>
      <c r="F976" t="s">
        <v>2451</v>
      </c>
      <c r="G976" t="s">
        <v>22</v>
      </c>
      <c r="H976" t="s">
        <v>22</v>
      </c>
      <c r="I976" t="s">
        <v>923</v>
      </c>
    </row>
    <row r="977" spans="1:9" ht="11.25" customHeight="1">
      <c r="A977" t="s">
        <v>2383</v>
      </c>
      <c r="B977" t="s">
        <v>16</v>
      </c>
      <c r="C977" s="1030" t="s">
        <v>3983</v>
      </c>
      <c r="D977" s="1030" t="s">
        <v>3984</v>
      </c>
      <c r="E977" t="s">
        <v>3985</v>
      </c>
      <c r="F977" t="s">
        <v>2665</v>
      </c>
      <c r="G977" t="s">
        <v>22</v>
      </c>
      <c r="H977" t="s">
        <v>22</v>
      </c>
      <c r="I977" t="s">
        <v>923</v>
      </c>
    </row>
    <row r="978" spans="1:9" ht="11.25" customHeight="1">
      <c r="A978" t="s">
        <v>2383</v>
      </c>
      <c r="B978" t="s">
        <v>16</v>
      </c>
      <c r="C978" s="1030" t="s">
        <v>2977</v>
      </c>
      <c r="D978" s="1030" t="s">
        <v>2978</v>
      </c>
      <c r="E978" t="s">
        <v>2979</v>
      </c>
      <c r="F978" t="s">
        <v>2649</v>
      </c>
      <c r="G978" t="s">
        <v>22</v>
      </c>
      <c r="H978" t="s">
        <v>22</v>
      </c>
      <c r="I978" t="s">
        <v>923</v>
      </c>
    </row>
    <row r="979" spans="1:9" ht="11.25" customHeight="1">
      <c r="A979" t="s">
        <v>2383</v>
      </c>
      <c r="B979" t="s">
        <v>16</v>
      </c>
      <c r="C979" s="1030" t="s">
        <v>2980</v>
      </c>
      <c r="D979" s="1030" t="s">
        <v>2981</v>
      </c>
      <c r="E979" t="s">
        <v>2982</v>
      </c>
      <c r="F979" t="s">
        <v>2769</v>
      </c>
      <c r="G979" t="s">
        <v>2983</v>
      </c>
      <c r="H979" t="s">
        <v>22</v>
      </c>
      <c r="I979" t="s">
        <v>923</v>
      </c>
    </row>
    <row r="980" spans="1:9" ht="11.25" customHeight="1">
      <c r="A980" t="s">
        <v>2383</v>
      </c>
      <c r="B980" t="s">
        <v>16</v>
      </c>
      <c r="C980" s="1030" t="s">
        <v>2984</v>
      </c>
      <c r="D980" s="1030" t="s">
        <v>2985</v>
      </c>
      <c r="E980" t="s">
        <v>2986</v>
      </c>
      <c r="F980" t="s">
        <v>2828</v>
      </c>
      <c r="G980" t="s">
        <v>22</v>
      </c>
      <c r="H980" t="s">
        <v>22</v>
      </c>
      <c r="I980" t="s">
        <v>923</v>
      </c>
    </row>
    <row r="981" spans="1:9" ht="11.25" customHeight="1">
      <c r="A981" t="s">
        <v>2383</v>
      </c>
      <c r="B981" t="s">
        <v>16</v>
      </c>
      <c r="C981" s="1030" t="s">
        <v>2987</v>
      </c>
      <c r="D981" s="1030" t="s">
        <v>2988</v>
      </c>
      <c r="E981" t="s">
        <v>2989</v>
      </c>
      <c r="F981" t="s">
        <v>2657</v>
      </c>
      <c r="G981" t="s">
        <v>22</v>
      </c>
      <c r="H981" t="s">
        <v>22</v>
      </c>
      <c r="I981" t="s">
        <v>923</v>
      </c>
    </row>
    <row r="982" spans="1:9" ht="11.25" customHeight="1">
      <c r="A982" t="s">
        <v>2383</v>
      </c>
      <c r="B982" t="s">
        <v>16</v>
      </c>
      <c r="C982" s="1030" t="s">
        <v>2990</v>
      </c>
      <c r="D982" s="1030" t="s">
        <v>2991</v>
      </c>
      <c r="E982" t="s">
        <v>2992</v>
      </c>
      <c r="F982" t="s">
        <v>2993</v>
      </c>
      <c r="G982" t="s">
        <v>22</v>
      </c>
      <c r="H982" t="s">
        <v>22</v>
      </c>
      <c r="I982" t="s">
        <v>923</v>
      </c>
    </row>
    <row r="983" spans="1:9" ht="11.25" customHeight="1">
      <c r="A983" t="s">
        <v>2383</v>
      </c>
      <c r="B983" t="s">
        <v>16</v>
      </c>
      <c r="C983" s="1030" t="s">
        <v>2994</v>
      </c>
      <c r="D983" s="1030" t="s">
        <v>2995</v>
      </c>
      <c r="E983" t="s">
        <v>2996</v>
      </c>
      <c r="F983" t="s">
        <v>2629</v>
      </c>
      <c r="G983" t="s">
        <v>22</v>
      </c>
      <c r="H983" t="s">
        <v>22</v>
      </c>
      <c r="I983" t="s">
        <v>923</v>
      </c>
    </row>
    <row r="984" spans="1:9" ht="11.25" customHeight="1">
      <c r="A984" t="s">
        <v>2383</v>
      </c>
      <c r="B984" t="s">
        <v>16</v>
      </c>
      <c r="C984" s="1030" t="s">
        <v>2997</v>
      </c>
      <c r="D984" s="1030" t="s">
        <v>2998</v>
      </c>
      <c r="E984" t="s">
        <v>2999</v>
      </c>
      <c r="F984" t="s">
        <v>3000</v>
      </c>
      <c r="G984" t="s">
        <v>22</v>
      </c>
      <c r="H984" t="s">
        <v>22</v>
      </c>
      <c r="I984" t="s">
        <v>923</v>
      </c>
    </row>
    <row r="985" spans="1:9" ht="11.25" customHeight="1">
      <c r="A985" t="s">
        <v>2383</v>
      </c>
      <c r="B985" t="s">
        <v>16</v>
      </c>
      <c r="C985" s="1030" t="s">
        <v>3001</v>
      </c>
      <c r="D985" s="1030" t="s">
        <v>3002</v>
      </c>
      <c r="E985" t="s">
        <v>3003</v>
      </c>
      <c r="F985" t="s">
        <v>2665</v>
      </c>
      <c r="G985" t="s">
        <v>3004</v>
      </c>
      <c r="H985" t="s">
        <v>22</v>
      </c>
      <c r="I985" t="s">
        <v>923</v>
      </c>
    </row>
    <row r="986" spans="1:9" ht="11.25" customHeight="1">
      <c r="A986" t="s">
        <v>2383</v>
      </c>
      <c r="B986" t="s">
        <v>16</v>
      </c>
      <c r="C986" s="1030" t="s">
        <v>3005</v>
      </c>
      <c r="D986" s="1030" t="s">
        <v>3006</v>
      </c>
      <c r="E986" t="s">
        <v>3007</v>
      </c>
      <c r="F986" t="s">
        <v>2665</v>
      </c>
      <c r="G986" t="s">
        <v>22</v>
      </c>
      <c r="H986" t="s">
        <v>22</v>
      </c>
      <c r="I986" t="s">
        <v>923</v>
      </c>
    </row>
    <row r="987" spans="1:9" ht="11.25" customHeight="1">
      <c r="A987" t="s">
        <v>2383</v>
      </c>
      <c r="B987" t="s">
        <v>16</v>
      </c>
      <c r="C987" s="1030" t="s">
        <v>3008</v>
      </c>
      <c r="D987" s="1030" t="s">
        <v>3009</v>
      </c>
      <c r="E987" t="s">
        <v>3010</v>
      </c>
      <c r="F987" t="s">
        <v>3011</v>
      </c>
      <c r="G987" t="s">
        <v>22</v>
      </c>
      <c r="H987" t="s">
        <v>22</v>
      </c>
      <c r="I987" t="s">
        <v>923</v>
      </c>
    </row>
    <row r="988" spans="1:9" ht="11.25" customHeight="1">
      <c r="A988" t="s">
        <v>2383</v>
      </c>
      <c r="B988" t="s">
        <v>16</v>
      </c>
      <c r="C988" s="1030" t="s">
        <v>3012</v>
      </c>
      <c r="D988" s="1030" t="s">
        <v>3013</v>
      </c>
      <c r="E988" t="s">
        <v>3014</v>
      </c>
      <c r="F988" t="s">
        <v>2817</v>
      </c>
      <c r="G988" t="s">
        <v>22</v>
      </c>
      <c r="H988" t="s">
        <v>22</v>
      </c>
      <c r="I988" t="s">
        <v>923</v>
      </c>
    </row>
    <row r="989" spans="1:9" ht="11.25" customHeight="1">
      <c r="A989" t="s">
        <v>2383</v>
      </c>
      <c r="B989" t="s">
        <v>16</v>
      </c>
      <c r="C989" s="1030" t="s">
        <v>3015</v>
      </c>
      <c r="D989" s="1030" t="s">
        <v>3016</v>
      </c>
      <c r="E989" t="s">
        <v>3017</v>
      </c>
      <c r="F989" t="s">
        <v>2629</v>
      </c>
      <c r="G989" t="s">
        <v>3018</v>
      </c>
      <c r="H989" t="s">
        <v>22</v>
      </c>
      <c r="I989" t="s">
        <v>923</v>
      </c>
    </row>
    <row r="990" spans="1:9" ht="11.25" customHeight="1">
      <c r="A990" t="s">
        <v>2383</v>
      </c>
      <c r="B990" t="s">
        <v>16</v>
      </c>
      <c r="C990" s="1030" t="s">
        <v>3022</v>
      </c>
      <c r="D990" s="1030" t="s">
        <v>3023</v>
      </c>
      <c r="E990" t="s">
        <v>3024</v>
      </c>
      <c r="F990" t="s">
        <v>3025</v>
      </c>
      <c r="G990" t="s">
        <v>22</v>
      </c>
      <c r="H990" t="s">
        <v>22</v>
      </c>
      <c r="I990" t="s">
        <v>923</v>
      </c>
    </row>
    <row r="991" spans="1:9" ht="11.25" customHeight="1">
      <c r="A991" t="s">
        <v>2383</v>
      </c>
      <c r="B991" t="s">
        <v>16</v>
      </c>
      <c r="C991" s="1030" t="s">
        <v>3026</v>
      </c>
      <c r="D991" s="1030" t="s">
        <v>3027</v>
      </c>
      <c r="E991" t="s">
        <v>3028</v>
      </c>
      <c r="F991" t="s">
        <v>2973</v>
      </c>
      <c r="G991" t="s">
        <v>22</v>
      </c>
      <c r="H991" t="s">
        <v>22</v>
      </c>
      <c r="I991" t="s">
        <v>923</v>
      </c>
    </row>
    <row r="992" spans="1:9" ht="11.25" customHeight="1">
      <c r="A992" t="s">
        <v>2383</v>
      </c>
      <c r="B992" t="s">
        <v>16</v>
      </c>
      <c r="C992" s="1030" t="s">
        <v>3029</v>
      </c>
      <c r="D992" s="1030" t="s">
        <v>3030</v>
      </c>
      <c r="E992" t="s">
        <v>3031</v>
      </c>
      <c r="F992" t="s">
        <v>2769</v>
      </c>
      <c r="G992" t="s">
        <v>3032</v>
      </c>
      <c r="H992" t="s">
        <v>3033</v>
      </c>
      <c r="I992" t="s">
        <v>923</v>
      </c>
    </row>
    <row r="993" spans="1:9" ht="11.25" customHeight="1">
      <c r="A993" t="s">
        <v>2383</v>
      </c>
      <c r="B993" t="s">
        <v>16</v>
      </c>
      <c r="C993" s="1030" t="s">
        <v>3986</v>
      </c>
      <c r="D993" s="1030" t="s">
        <v>3987</v>
      </c>
      <c r="E993" t="s">
        <v>3988</v>
      </c>
      <c r="F993" t="s">
        <v>3025</v>
      </c>
      <c r="G993" t="s">
        <v>22</v>
      </c>
      <c r="H993" t="s">
        <v>22</v>
      </c>
      <c r="I993" t="s">
        <v>923</v>
      </c>
    </row>
    <row r="994" spans="1:9" ht="11.25" customHeight="1">
      <c r="A994" t="s">
        <v>2383</v>
      </c>
      <c r="B994" t="s">
        <v>16</v>
      </c>
      <c r="C994" s="1030" t="s">
        <v>3034</v>
      </c>
      <c r="D994" s="1030" t="s">
        <v>3035</v>
      </c>
      <c r="E994" t="s">
        <v>3036</v>
      </c>
      <c r="F994" t="s">
        <v>2629</v>
      </c>
      <c r="G994" t="s">
        <v>3037</v>
      </c>
      <c r="H994" t="s">
        <v>22</v>
      </c>
      <c r="I994" t="s">
        <v>923</v>
      </c>
    </row>
    <row r="995" spans="1:9" ht="11.25" customHeight="1">
      <c r="A995" t="s">
        <v>2383</v>
      </c>
      <c r="B995" t="s">
        <v>16</v>
      </c>
      <c r="C995" s="1030" t="s">
        <v>3053</v>
      </c>
      <c r="D995" s="1030" t="s">
        <v>3054</v>
      </c>
      <c r="E995" t="s">
        <v>3055</v>
      </c>
      <c r="F995" t="s">
        <v>2629</v>
      </c>
      <c r="G995" t="s">
        <v>22</v>
      </c>
      <c r="H995" t="s">
        <v>22</v>
      </c>
      <c r="I995" t="s">
        <v>923</v>
      </c>
    </row>
    <row r="996" spans="1:9" ht="11.25" customHeight="1">
      <c r="A996" t="s">
        <v>2383</v>
      </c>
      <c r="B996" t="s">
        <v>16</v>
      </c>
      <c r="C996" s="1030" t="s">
        <v>3065</v>
      </c>
      <c r="D996" s="1030" t="s">
        <v>3066</v>
      </c>
      <c r="E996" t="s">
        <v>3067</v>
      </c>
      <c r="F996" t="s">
        <v>3068</v>
      </c>
      <c r="G996" t="s">
        <v>22</v>
      </c>
      <c r="H996" t="s">
        <v>22</v>
      </c>
      <c r="I996" t="s">
        <v>923</v>
      </c>
    </row>
    <row r="997" spans="1:9" ht="11.25" customHeight="1">
      <c r="A997" t="s">
        <v>2383</v>
      </c>
      <c r="B997" t="s">
        <v>16</v>
      </c>
      <c r="C997" s="1030" t="s">
        <v>3992</v>
      </c>
      <c r="D997" s="1030" t="s">
        <v>3993</v>
      </c>
      <c r="E997" t="s">
        <v>3994</v>
      </c>
      <c r="F997" t="s">
        <v>2665</v>
      </c>
      <c r="G997" t="s">
        <v>22</v>
      </c>
      <c r="H997" t="s">
        <v>22</v>
      </c>
      <c r="I997" t="s">
        <v>923</v>
      </c>
    </row>
    <row r="998" spans="1:9" ht="11.25" customHeight="1">
      <c r="A998" t="s">
        <v>2383</v>
      </c>
      <c r="B998" t="s">
        <v>16</v>
      </c>
      <c r="C998" s="1030" t="s">
        <v>4167</v>
      </c>
      <c r="D998" s="1030" t="s">
        <v>4168</v>
      </c>
      <c r="E998" t="s">
        <v>4169</v>
      </c>
      <c r="F998" t="s">
        <v>2414</v>
      </c>
      <c r="G998" t="s">
        <v>22</v>
      </c>
      <c r="H998" t="s">
        <v>22</v>
      </c>
      <c r="I998" t="s">
        <v>923</v>
      </c>
    </row>
    <row r="999" spans="1:9" ht="11.25" customHeight="1">
      <c r="A999" t="s">
        <v>2383</v>
      </c>
      <c r="B999" t="s">
        <v>16</v>
      </c>
      <c r="C999" s="1030" t="s">
        <v>4170</v>
      </c>
      <c r="D999" s="1030" t="s">
        <v>4171</v>
      </c>
      <c r="E999" t="s">
        <v>4172</v>
      </c>
      <c r="F999" t="s">
        <v>2414</v>
      </c>
      <c r="G999" t="s">
        <v>22</v>
      </c>
      <c r="H999" t="s">
        <v>22</v>
      </c>
      <c r="I999" t="s">
        <v>923</v>
      </c>
    </row>
    <row r="1000" spans="1:9" ht="11.25" customHeight="1">
      <c r="A1000" t="s">
        <v>2383</v>
      </c>
      <c r="B1000" t="s">
        <v>16</v>
      </c>
      <c r="C1000" s="1030" t="s">
        <v>3084</v>
      </c>
      <c r="D1000" s="1030" t="s">
        <v>3085</v>
      </c>
      <c r="E1000" t="s">
        <v>3086</v>
      </c>
      <c r="F1000" t="s">
        <v>2447</v>
      </c>
      <c r="G1000" t="s">
        <v>22</v>
      </c>
      <c r="H1000" t="s">
        <v>22</v>
      </c>
      <c r="I1000" t="s">
        <v>923</v>
      </c>
    </row>
    <row r="1001" spans="1:9" ht="11.25" customHeight="1">
      <c r="A1001" t="s">
        <v>2383</v>
      </c>
      <c r="B1001" t="s">
        <v>16</v>
      </c>
      <c r="C1001" s="1030" t="s">
        <v>3087</v>
      </c>
      <c r="D1001" s="1030" t="s">
        <v>3088</v>
      </c>
      <c r="E1001" t="s">
        <v>3089</v>
      </c>
      <c r="F1001" t="s">
        <v>2461</v>
      </c>
      <c r="G1001" t="s">
        <v>22</v>
      </c>
      <c r="H1001" t="s">
        <v>22</v>
      </c>
      <c r="I1001" t="s">
        <v>923</v>
      </c>
    </row>
    <row r="1002" spans="1:9" ht="11.25" customHeight="1">
      <c r="A1002" t="s">
        <v>2383</v>
      </c>
      <c r="B1002" t="s">
        <v>16</v>
      </c>
      <c r="C1002" s="1030" t="s">
        <v>3093</v>
      </c>
      <c r="D1002" s="1030" t="s">
        <v>3094</v>
      </c>
      <c r="E1002" t="s">
        <v>3095</v>
      </c>
      <c r="F1002" t="s">
        <v>2665</v>
      </c>
      <c r="G1002" t="s">
        <v>22</v>
      </c>
      <c r="H1002" t="s">
        <v>3096</v>
      </c>
      <c r="I1002" t="s">
        <v>923</v>
      </c>
    </row>
    <row r="1003" spans="1:9" ht="11.25" customHeight="1">
      <c r="A1003" t="s">
        <v>2383</v>
      </c>
      <c r="B1003" t="s">
        <v>16</v>
      </c>
      <c r="C1003" s="1030" t="s">
        <v>3101</v>
      </c>
      <c r="D1003" s="1030" t="s">
        <v>3102</v>
      </c>
      <c r="E1003" t="s">
        <v>3103</v>
      </c>
      <c r="F1003" t="s">
        <v>2839</v>
      </c>
      <c r="G1003" t="s">
        <v>22</v>
      </c>
      <c r="H1003" t="s">
        <v>22</v>
      </c>
      <c r="I1003" t="s">
        <v>923</v>
      </c>
    </row>
    <row r="1004" spans="1:9" ht="11.25" customHeight="1">
      <c r="A1004" t="s">
        <v>2383</v>
      </c>
      <c r="B1004" t="s">
        <v>16</v>
      </c>
      <c r="C1004" s="1030" t="s">
        <v>3104</v>
      </c>
      <c r="D1004" s="1030" t="s">
        <v>3105</v>
      </c>
      <c r="E1004" t="s">
        <v>3106</v>
      </c>
      <c r="F1004" t="s">
        <v>2482</v>
      </c>
      <c r="G1004" t="s">
        <v>22</v>
      </c>
      <c r="H1004" t="s">
        <v>22</v>
      </c>
      <c r="I1004" t="s">
        <v>923</v>
      </c>
    </row>
    <row r="1005" spans="1:9" ht="11.25" customHeight="1">
      <c r="A1005" t="s">
        <v>2383</v>
      </c>
      <c r="B1005" t="s">
        <v>16</v>
      </c>
      <c r="C1005" s="1030" t="s">
        <v>3107</v>
      </c>
      <c r="D1005" s="1030" t="s">
        <v>3108</v>
      </c>
      <c r="E1005" t="s">
        <v>3109</v>
      </c>
      <c r="F1005" t="s">
        <v>2440</v>
      </c>
      <c r="G1005" t="s">
        <v>22</v>
      </c>
      <c r="H1005" t="s">
        <v>22</v>
      </c>
      <c r="I1005" t="s">
        <v>923</v>
      </c>
    </row>
    <row r="1006" spans="1:9" ht="11.25" customHeight="1">
      <c r="A1006" t="s">
        <v>2383</v>
      </c>
      <c r="B1006" t="s">
        <v>16</v>
      </c>
      <c r="C1006" s="1030" t="s">
        <v>3116</v>
      </c>
      <c r="D1006" s="1030" t="s">
        <v>3117</v>
      </c>
      <c r="E1006" t="s">
        <v>3118</v>
      </c>
      <c r="F1006" t="s">
        <v>2817</v>
      </c>
      <c r="G1006" t="s">
        <v>22</v>
      </c>
      <c r="H1006" t="s">
        <v>22</v>
      </c>
      <c r="I1006" t="s">
        <v>923</v>
      </c>
    </row>
    <row r="1007" spans="1:9" ht="11.25" customHeight="1">
      <c r="A1007" t="s">
        <v>2383</v>
      </c>
      <c r="B1007" t="s">
        <v>16</v>
      </c>
      <c r="C1007" s="1030" t="s">
        <v>4173</v>
      </c>
      <c r="D1007" s="1030" t="s">
        <v>4174</v>
      </c>
      <c r="E1007" t="s">
        <v>4175</v>
      </c>
      <c r="F1007" t="s">
        <v>3025</v>
      </c>
      <c r="G1007" t="s">
        <v>22</v>
      </c>
      <c r="H1007" t="s">
        <v>22</v>
      </c>
      <c r="I1007" t="s">
        <v>923</v>
      </c>
    </row>
    <row r="1008" spans="1:9" ht="11.25" customHeight="1">
      <c r="A1008" t="s">
        <v>2383</v>
      </c>
      <c r="B1008" t="s">
        <v>16</v>
      </c>
      <c r="C1008" s="1030" t="s">
        <v>3125</v>
      </c>
      <c r="D1008" s="1030" t="s">
        <v>3126</v>
      </c>
      <c r="E1008" t="s">
        <v>2697</v>
      </c>
      <c r="F1008" t="s">
        <v>3127</v>
      </c>
      <c r="G1008" t="s">
        <v>22</v>
      </c>
      <c r="H1008" t="s">
        <v>22</v>
      </c>
      <c r="I1008" t="s">
        <v>923</v>
      </c>
    </row>
    <row r="1009" spans="1:9" ht="11.25" customHeight="1">
      <c r="A1009" t="s">
        <v>2383</v>
      </c>
      <c r="B1009" t="s">
        <v>16</v>
      </c>
      <c r="C1009" s="1030" t="s">
        <v>3131</v>
      </c>
      <c r="D1009" s="1030" t="s">
        <v>3132</v>
      </c>
      <c r="E1009" t="s">
        <v>3133</v>
      </c>
      <c r="F1009" t="s">
        <v>2404</v>
      </c>
      <c r="G1009" t="s">
        <v>22</v>
      </c>
      <c r="H1009" t="s">
        <v>22</v>
      </c>
      <c r="I1009" t="s">
        <v>923</v>
      </c>
    </row>
    <row r="1010" spans="1:9" ht="11.25" customHeight="1">
      <c r="A1010" t="s">
        <v>2383</v>
      </c>
      <c r="B1010" t="s">
        <v>16</v>
      </c>
      <c r="C1010" s="1030" t="s">
        <v>3998</v>
      </c>
      <c r="D1010" s="1030" t="s">
        <v>3999</v>
      </c>
      <c r="E1010" t="s">
        <v>4000</v>
      </c>
      <c r="F1010" t="s">
        <v>2447</v>
      </c>
      <c r="G1010" t="s">
        <v>22</v>
      </c>
      <c r="H1010" t="s">
        <v>22</v>
      </c>
      <c r="I1010" t="s">
        <v>923</v>
      </c>
    </row>
    <row r="1011" spans="1:9" ht="11.25" customHeight="1">
      <c r="A1011" t="s">
        <v>2383</v>
      </c>
      <c r="B1011" t="s">
        <v>16</v>
      </c>
      <c r="C1011" s="1030" t="s">
        <v>3137</v>
      </c>
      <c r="D1011" s="1030" t="s">
        <v>3138</v>
      </c>
      <c r="E1011" t="s">
        <v>3139</v>
      </c>
      <c r="F1011" t="s">
        <v>2391</v>
      </c>
      <c r="G1011" t="s">
        <v>22</v>
      </c>
      <c r="H1011" t="s">
        <v>22</v>
      </c>
      <c r="I1011" t="s">
        <v>923</v>
      </c>
    </row>
    <row r="1012" spans="1:9" ht="11.25" customHeight="1">
      <c r="A1012" t="s">
        <v>2383</v>
      </c>
      <c r="B1012" t="s">
        <v>16</v>
      </c>
      <c r="C1012" s="1030" t="s">
        <v>3140</v>
      </c>
      <c r="D1012" s="1030" t="s">
        <v>3141</v>
      </c>
      <c r="E1012" t="s">
        <v>3142</v>
      </c>
      <c r="F1012" t="s">
        <v>2649</v>
      </c>
      <c r="G1012" t="s">
        <v>22</v>
      </c>
      <c r="H1012" t="s">
        <v>22</v>
      </c>
      <c r="I1012" t="s">
        <v>923</v>
      </c>
    </row>
    <row r="1013" spans="1:9" ht="11.25" customHeight="1">
      <c r="A1013" t="s">
        <v>2383</v>
      </c>
      <c r="B1013" t="s">
        <v>16</v>
      </c>
      <c r="C1013" s="1030" t="s">
        <v>3143</v>
      </c>
      <c r="D1013" s="1030" t="s">
        <v>3144</v>
      </c>
      <c r="E1013" t="s">
        <v>3145</v>
      </c>
      <c r="F1013" t="s">
        <v>3146</v>
      </c>
      <c r="G1013" t="s">
        <v>22</v>
      </c>
      <c r="H1013" t="s">
        <v>22</v>
      </c>
      <c r="I1013" t="s">
        <v>923</v>
      </c>
    </row>
    <row r="1014" spans="1:9" ht="11.25" customHeight="1">
      <c r="A1014" t="s">
        <v>2383</v>
      </c>
      <c r="B1014" t="s">
        <v>16</v>
      </c>
      <c r="C1014" s="1030" t="s">
        <v>4176</v>
      </c>
      <c r="D1014" s="1030" t="s">
        <v>4177</v>
      </c>
      <c r="E1014" t="s">
        <v>4178</v>
      </c>
      <c r="F1014" t="s">
        <v>2391</v>
      </c>
      <c r="G1014" t="s">
        <v>22</v>
      </c>
      <c r="H1014" t="s">
        <v>22</v>
      </c>
      <c r="I1014" t="s">
        <v>923</v>
      </c>
    </row>
    <row r="1015" spans="1:9" ht="11.25" customHeight="1">
      <c r="A1015" t="s">
        <v>2383</v>
      </c>
      <c r="B1015" t="s">
        <v>16</v>
      </c>
      <c r="C1015" s="1030" t="s">
        <v>4001</v>
      </c>
      <c r="D1015" s="1030" t="s">
        <v>4002</v>
      </c>
      <c r="E1015" t="s">
        <v>4003</v>
      </c>
      <c r="F1015" t="s">
        <v>2404</v>
      </c>
      <c r="G1015" t="s">
        <v>4004</v>
      </c>
      <c r="H1015" t="s">
        <v>22</v>
      </c>
      <c r="I1015" t="s">
        <v>923</v>
      </c>
    </row>
    <row r="1016" spans="1:9" ht="11.25" customHeight="1">
      <c r="A1016" t="s">
        <v>2383</v>
      </c>
      <c r="B1016" t="s">
        <v>16</v>
      </c>
      <c r="C1016" s="1030" t="s">
        <v>4005</v>
      </c>
      <c r="D1016" s="1030" t="s">
        <v>4006</v>
      </c>
      <c r="E1016" t="s">
        <v>4007</v>
      </c>
      <c r="F1016" t="s">
        <v>2584</v>
      </c>
      <c r="G1016" t="s">
        <v>22</v>
      </c>
      <c r="H1016" t="s">
        <v>22</v>
      </c>
      <c r="I1016" t="s">
        <v>923</v>
      </c>
    </row>
    <row r="1017" spans="1:9" ht="11.25" customHeight="1">
      <c r="A1017" t="s">
        <v>2383</v>
      </c>
      <c r="B1017" t="s">
        <v>16</v>
      </c>
      <c r="C1017" s="1030" t="s">
        <v>4179</v>
      </c>
      <c r="D1017" s="1030" t="s">
        <v>4180</v>
      </c>
      <c r="E1017" t="s">
        <v>4181</v>
      </c>
      <c r="F1017" t="s">
        <v>2414</v>
      </c>
      <c r="G1017" t="s">
        <v>22</v>
      </c>
      <c r="H1017" t="s">
        <v>22</v>
      </c>
      <c r="I1017" t="s">
        <v>923</v>
      </c>
    </row>
    <row r="1018" spans="1:9" ht="11.25" customHeight="1">
      <c r="A1018" t="s">
        <v>2383</v>
      </c>
      <c r="B1018" t="s">
        <v>16</v>
      </c>
      <c r="C1018" s="1030" t="s">
        <v>4182</v>
      </c>
      <c r="D1018" s="1030" t="s">
        <v>4183</v>
      </c>
      <c r="E1018" t="s">
        <v>4184</v>
      </c>
      <c r="F1018" t="s">
        <v>2432</v>
      </c>
      <c r="G1018" t="s">
        <v>22</v>
      </c>
      <c r="H1018" t="s">
        <v>22</v>
      </c>
      <c r="I1018" t="s">
        <v>923</v>
      </c>
    </row>
    <row r="1019" spans="1:9" ht="11.25" customHeight="1">
      <c r="A1019" t="s">
        <v>2383</v>
      </c>
      <c r="B1019" t="s">
        <v>16</v>
      </c>
      <c r="C1019" s="1030" t="s">
        <v>4008</v>
      </c>
      <c r="D1019" s="1030" t="s">
        <v>4009</v>
      </c>
      <c r="E1019" t="s">
        <v>4010</v>
      </c>
      <c r="F1019" t="s">
        <v>3208</v>
      </c>
      <c r="G1019" t="s">
        <v>22</v>
      </c>
      <c r="H1019" t="s">
        <v>22</v>
      </c>
      <c r="I1019" t="s">
        <v>923</v>
      </c>
    </row>
    <row r="1020" spans="1:9" ht="11.25" customHeight="1">
      <c r="A1020" t="s">
        <v>2383</v>
      </c>
      <c r="B1020" t="s">
        <v>16</v>
      </c>
      <c r="C1020" s="1030" t="s">
        <v>4011</v>
      </c>
      <c r="D1020" s="1030" t="s">
        <v>4012</v>
      </c>
      <c r="E1020" t="s">
        <v>4013</v>
      </c>
      <c r="F1020" t="s">
        <v>2777</v>
      </c>
      <c r="G1020" t="s">
        <v>22</v>
      </c>
      <c r="H1020" t="s">
        <v>22</v>
      </c>
      <c r="I1020" t="s">
        <v>923</v>
      </c>
    </row>
    <row r="1021" spans="1:9" ht="11.25" customHeight="1">
      <c r="A1021" t="s">
        <v>2383</v>
      </c>
      <c r="B1021" t="s">
        <v>16</v>
      </c>
      <c r="C1021" s="1030" t="s">
        <v>4185</v>
      </c>
      <c r="D1021" s="1030" t="s">
        <v>4186</v>
      </c>
      <c r="E1021" t="s">
        <v>4187</v>
      </c>
      <c r="F1021" t="s">
        <v>2510</v>
      </c>
      <c r="G1021" t="s">
        <v>4188</v>
      </c>
      <c r="H1021" t="s">
        <v>22</v>
      </c>
      <c r="I1021" t="s">
        <v>923</v>
      </c>
    </row>
    <row r="1022" spans="1:9" ht="11.25" customHeight="1">
      <c r="A1022" t="s">
        <v>2383</v>
      </c>
      <c r="B1022" t="s">
        <v>16</v>
      </c>
      <c r="C1022" s="1030" t="s">
        <v>4017</v>
      </c>
      <c r="D1022" s="1030" t="s">
        <v>4018</v>
      </c>
      <c r="E1022" t="s">
        <v>4019</v>
      </c>
      <c r="F1022" t="s">
        <v>3025</v>
      </c>
      <c r="G1022" t="s">
        <v>22</v>
      </c>
      <c r="H1022" t="s">
        <v>22</v>
      </c>
      <c r="I1022" t="s">
        <v>923</v>
      </c>
    </row>
    <row r="1023" spans="1:9" ht="11.25" customHeight="1">
      <c r="A1023" t="s">
        <v>2383</v>
      </c>
      <c r="B1023" t="s">
        <v>16</v>
      </c>
      <c r="C1023" s="1030" t="s">
        <v>4020</v>
      </c>
      <c r="D1023" s="1030" t="s">
        <v>4021</v>
      </c>
      <c r="E1023" t="s">
        <v>4022</v>
      </c>
      <c r="F1023" t="s">
        <v>2765</v>
      </c>
      <c r="G1023" t="s">
        <v>22</v>
      </c>
      <c r="H1023" t="s">
        <v>22</v>
      </c>
      <c r="I1023" t="s">
        <v>923</v>
      </c>
    </row>
    <row r="1024" spans="1:9" ht="11.25" customHeight="1">
      <c r="A1024" t="s">
        <v>2383</v>
      </c>
      <c r="B1024" t="s">
        <v>16</v>
      </c>
      <c r="C1024" s="1030" t="s">
        <v>4023</v>
      </c>
      <c r="D1024" s="1030" t="s">
        <v>4024</v>
      </c>
      <c r="E1024" t="s">
        <v>4025</v>
      </c>
      <c r="F1024" t="s">
        <v>2629</v>
      </c>
      <c r="G1024" t="s">
        <v>22</v>
      </c>
      <c r="H1024" t="s">
        <v>22</v>
      </c>
      <c r="I1024" t="s">
        <v>923</v>
      </c>
    </row>
    <row r="1025" spans="1:9" ht="11.25" customHeight="1">
      <c r="A1025" t="s">
        <v>2383</v>
      </c>
      <c r="B1025" t="s">
        <v>16</v>
      </c>
      <c r="C1025" s="1030" t="s">
        <v>4189</v>
      </c>
      <c r="D1025" s="1030" t="s">
        <v>4190</v>
      </c>
      <c r="E1025" t="s">
        <v>4191</v>
      </c>
      <c r="F1025" t="s">
        <v>4192</v>
      </c>
      <c r="G1025" t="s">
        <v>4193</v>
      </c>
      <c r="H1025" t="s">
        <v>22</v>
      </c>
      <c r="I1025" t="s">
        <v>923</v>
      </c>
    </row>
    <row r="1026" spans="1:9" ht="11.25" customHeight="1">
      <c r="A1026" t="s">
        <v>2383</v>
      </c>
      <c r="B1026" t="s">
        <v>16</v>
      </c>
      <c r="C1026" s="1030" t="s">
        <v>4028</v>
      </c>
      <c r="D1026" s="1030" t="s">
        <v>4029</v>
      </c>
      <c r="E1026" t="s">
        <v>4030</v>
      </c>
      <c r="F1026" t="s">
        <v>2432</v>
      </c>
      <c r="G1026" t="s">
        <v>22</v>
      </c>
      <c r="H1026" t="s">
        <v>22</v>
      </c>
      <c r="I1026" t="s">
        <v>923</v>
      </c>
    </row>
    <row r="1027" spans="1:9" ht="11.25" customHeight="1">
      <c r="A1027" t="s">
        <v>2383</v>
      </c>
      <c r="B1027" t="s">
        <v>16</v>
      </c>
      <c r="C1027" s="1030" t="s">
        <v>3233</v>
      </c>
      <c r="D1027" s="1030" t="s">
        <v>3234</v>
      </c>
      <c r="E1027" t="s">
        <v>3235</v>
      </c>
      <c r="F1027" t="s">
        <v>2657</v>
      </c>
      <c r="G1027" t="s">
        <v>22</v>
      </c>
      <c r="H1027" t="s">
        <v>22</v>
      </c>
      <c r="I1027" t="s">
        <v>923</v>
      </c>
    </row>
    <row r="1028" spans="1:9" ht="11.25" customHeight="1">
      <c r="A1028" t="s">
        <v>2383</v>
      </c>
      <c r="B1028" t="s">
        <v>16</v>
      </c>
      <c r="C1028" s="1030" t="s">
        <v>4031</v>
      </c>
      <c r="D1028" s="1030" t="s">
        <v>4032</v>
      </c>
      <c r="E1028" t="s">
        <v>4033</v>
      </c>
      <c r="F1028" t="s">
        <v>4034</v>
      </c>
      <c r="G1028" t="s">
        <v>22</v>
      </c>
      <c r="H1028" t="s">
        <v>22</v>
      </c>
      <c r="I1028" t="s">
        <v>923</v>
      </c>
    </row>
    <row r="1029" spans="1:9" ht="11.25" customHeight="1">
      <c r="A1029" t="s">
        <v>2383</v>
      </c>
      <c r="B1029" t="s">
        <v>16</v>
      </c>
      <c r="C1029" s="1030" t="s">
        <v>4194</v>
      </c>
      <c r="D1029" s="1030" t="s">
        <v>4195</v>
      </c>
      <c r="E1029" t="s">
        <v>4196</v>
      </c>
      <c r="F1029" t="s">
        <v>2391</v>
      </c>
      <c r="G1029" t="s">
        <v>22</v>
      </c>
      <c r="H1029" t="s">
        <v>22</v>
      </c>
      <c r="I1029" t="s">
        <v>923</v>
      </c>
    </row>
    <row r="1030" spans="1:9" ht="11.25" customHeight="1">
      <c r="A1030" t="s">
        <v>2383</v>
      </c>
      <c r="B1030" t="s">
        <v>16</v>
      </c>
      <c r="C1030" s="1030" t="s">
        <v>3267</v>
      </c>
      <c r="D1030" s="1030" t="s">
        <v>3268</v>
      </c>
      <c r="E1030" t="s">
        <v>3269</v>
      </c>
      <c r="F1030" t="s">
        <v>2461</v>
      </c>
      <c r="G1030" t="s">
        <v>22</v>
      </c>
      <c r="H1030" t="s">
        <v>22</v>
      </c>
      <c r="I1030" t="s">
        <v>923</v>
      </c>
    </row>
    <row r="1031" spans="1:9" ht="11.25" customHeight="1">
      <c r="A1031" t="s">
        <v>2383</v>
      </c>
      <c r="B1031" t="s">
        <v>16</v>
      </c>
      <c r="C1031" s="1030" t="s">
        <v>4035</v>
      </c>
      <c r="D1031" s="1030" t="s">
        <v>4036</v>
      </c>
      <c r="E1031" t="s">
        <v>4037</v>
      </c>
      <c r="F1031" t="s">
        <v>2440</v>
      </c>
      <c r="G1031" t="s">
        <v>22</v>
      </c>
      <c r="H1031" t="s">
        <v>22</v>
      </c>
      <c r="I1031" t="s">
        <v>923</v>
      </c>
    </row>
    <row r="1032" spans="1:9" ht="11.25" customHeight="1">
      <c r="A1032" t="s">
        <v>2383</v>
      </c>
      <c r="B1032" t="s">
        <v>16</v>
      </c>
      <c r="C1032" s="1030" t="s">
        <v>3270</v>
      </c>
      <c r="D1032" s="1030" t="s">
        <v>3271</v>
      </c>
      <c r="E1032" t="s">
        <v>3272</v>
      </c>
      <c r="F1032" t="s">
        <v>2584</v>
      </c>
      <c r="G1032" t="s">
        <v>22</v>
      </c>
      <c r="H1032" t="s">
        <v>22</v>
      </c>
      <c r="I1032" t="s">
        <v>923</v>
      </c>
    </row>
    <row r="1033" spans="1:9" ht="11.25" customHeight="1">
      <c r="A1033" t="s">
        <v>2383</v>
      </c>
      <c r="B1033" t="s">
        <v>16</v>
      </c>
      <c r="C1033" s="1030" t="s">
        <v>4038</v>
      </c>
      <c r="D1033" s="1030" t="s">
        <v>4039</v>
      </c>
      <c r="E1033" t="s">
        <v>4040</v>
      </c>
      <c r="F1033" t="s">
        <v>3025</v>
      </c>
      <c r="G1033" t="s">
        <v>22</v>
      </c>
      <c r="H1033" t="s">
        <v>22</v>
      </c>
      <c r="I1033" t="s">
        <v>923</v>
      </c>
    </row>
    <row r="1034" spans="1:9" ht="11.25" customHeight="1">
      <c r="A1034" t="s">
        <v>2383</v>
      </c>
      <c r="B1034" t="s">
        <v>16</v>
      </c>
      <c r="C1034" s="1030" t="s">
        <v>3280</v>
      </c>
      <c r="D1034" s="1030" t="s">
        <v>3281</v>
      </c>
      <c r="E1034" t="s">
        <v>3282</v>
      </c>
      <c r="F1034" t="s">
        <v>2399</v>
      </c>
      <c r="G1034" t="s">
        <v>22</v>
      </c>
      <c r="H1034" t="s">
        <v>22</v>
      </c>
      <c r="I1034" t="s">
        <v>923</v>
      </c>
    </row>
    <row r="1035" spans="1:9" ht="11.25" customHeight="1">
      <c r="A1035" t="s">
        <v>2383</v>
      </c>
      <c r="B1035" t="s">
        <v>16</v>
      </c>
      <c r="C1035" s="1030" t="s">
        <v>3283</v>
      </c>
      <c r="D1035" s="1030" t="s">
        <v>3284</v>
      </c>
      <c r="E1035" t="s">
        <v>3285</v>
      </c>
      <c r="F1035" t="s">
        <v>2611</v>
      </c>
      <c r="G1035" t="s">
        <v>22</v>
      </c>
      <c r="H1035" t="s">
        <v>22</v>
      </c>
      <c r="I1035" t="s">
        <v>923</v>
      </c>
    </row>
    <row r="1036" spans="1:9" ht="11.25" customHeight="1">
      <c r="A1036" t="s">
        <v>2383</v>
      </c>
      <c r="B1036" t="s">
        <v>16</v>
      </c>
      <c r="C1036" s="1030" t="s">
        <v>4041</v>
      </c>
      <c r="D1036" s="1030" t="s">
        <v>4042</v>
      </c>
      <c r="E1036" t="s">
        <v>4043</v>
      </c>
      <c r="F1036" t="s">
        <v>2447</v>
      </c>
      <c r="G1036" t="s">
        <v>22</v>
      </c>
      <c r="H1036" t="s">
        <v>22</v>
      </c>
      <c r="I1036" t="s">
        <v>923</v>
      </c>
    </row>
    <row r="1037" spans="1:9" ht="11.25" customHeight="1">
      <c r="A1037" t="s">
        <v>2383</v>
      </c>
      <c r="B1037" t="s">
        <v>16</v>
      </c>
      <c r="C1037" s="1030" t="s">
        <v>4044</v>
      </c>
      <c r="D1037" s="1030" t="s">
        <v>4045</v>
      </c>
      <c r="E1037" t="s">
        <v>4046</v>
      </c>
      <c r="F1037" t="s">
        <v>2447</v>
      </c>
      <c r="G1037" t="s">
        <v>22</v>
      </c>
      <c r="H1037" t="s">
        <v>22</v>
      </c>
      <c r="I1037" t="s">
        <v>923</v>
      </c>
    </row>
    <row r="1038" spans="1:9" ht="11.25" customHeight="1">
      <c r="A1038" t="s">
        <v>2383</v>
      </c>
      <c r="B1038" t="s">
        <v>16</v>
      </c>
      <c r="C1038" s="1030" t="s">
        <v>4047</v>
      </c>
      <c r="D1038" s="1030" t="s">
        <v>4048</v>
      </c>
      <c r="E1038" t="s">
        <v>4049</v>
      </c>
      <c r="F1038" t="s">
        <v>2461</v>
      </c>
      <c r="G1038" t="s">
        <v>22</v>
      </c>
      <c r="H1038" t="s">
        <v>22</v>
      </c>
      <c r="I1038" t="s">
        <v>923</v>
      </c>
    </row>
    <row r="1039" spans="1:9" ht="11.25" customHeight="1">
      <c r="A1039" t="s">
        <v>2383</v>
      </c>
      <c r="B1039" t="s">
        <v>16</v>
      </c>
      <c r="C1039" s="1030" t="s">
        <v>3305</v>
      </c>
      <c r="D1039" s="1030" t="s">
        <v>3306</v>
      </c>
      <c r="E1039" t="s">
        <v>3307</v>
      </c>
      <c r="F1039" t="s">
        <v>2520</v>
      </c>
      <c r="G1039" t="s">
        <v>3308</v>
      </c>
      <c r="H1039" t="s">
        <v>22</v>
      </c>
      <c r="I1039" t="s">
        <v>923</v>
      </c>
    </row>
    <row r="1040" spans="1:9" ht="11.25" customHeight="1">
      <c r="A1040" t="s">
        <v>2383</v>
      </c>
      <c r="B1040" t="s">
        <v>16</v>
      </c>
      <c r="C1040" s="1030" t="s">
        <v>4050</v>
      </c>
      <c r="D1040" s="1030" t="s">
        <v>4051</v>
      </c>
      <c r="E1040" t="s">
        <v>4052</v>
      </c>
      <c r="F1040" t="s">
        <v>2896</v>
      </c>
      <c r="G1040" t="s">
        <v>22</v>
      </c>
      <c r="H1040" t="s">
        <v>22</v>
      </c>
      <c r="I1040" t="s">
        <v>923</v>
      </c>
    </row>
    <row r="1041" spans="1:9" ht="11.25" customHeight="1">
      <c r="A1041" t="s">
        <v>2383</v>
      </c>
      <c r="B1041" t="s">
        <v>16</v>
      </c>
      <c r="C1041" s="1030" t="s">
        <v>3309</v>
      </c>
      <c r="D1041" s="1030" t="s">
        <v>3310</v>
      </c>
      <c r="E1041" t="s">
        <v>3311</v>
      </c>
      <c r="F1041" t="s">
        <v>2425</v>
      </c>
      <c r="G1041" t="s">
        <v>22</v>
      </c>
      <c r="H1041" t="s">
        <v>22</v>
      </c>
      <c r="I1041" t="s">
        <v>923</v>
      </c>
    </row>
    <row r="1042" spans="1:9" ht="11.25" customHeight="1">
      <c r="A1042" t="s">
        <v>2383</v>
      </c>
      <c r="B1042" t="s">
        <v>16</v>
      </c>
      <c r="C1042" s="1030" t="s">
        <v>3329</v>
      </c>
      <c r="D1042" s="1030" t="s">
        <v>3330</v>
      </c>
      <c r="E1042" t="s">
        <v>3331</v>
      </c>
      <c r="F1042" t="s">
        <v>2520</v>
      </c>
      <c r="G1042" t="s">
        <v>22</v>
      </c>
      <c r="H1042" t="s">
        <v>22</v>
      </c>
      <c r="I1042" t="s">
        <v>923</v>
      </c>
    </row>
    <row r="1043" spans="1:9" ht="11.25" customHeight="1">
      <c r="A1043" t="s">
        <v>2383</v>
      </c>
      <c r="B1043" t="s">
        <v>16</v>
      </c>
      <c r="C1043" s="1030" t="s">
        <v>4053</v>
      </c>
      <c r="D1043" s="1030" t="s">
        <v>3330</v>
      </c>
      <c r="E1043" t="s">
        <v>4054</v>
      </c>
      <c r="F1043" t="s">
        <v>2391</v>
      </c>
      <c r="G1043" t="s">
        <v>22</v>
      </c>
      <c r="H1043" t="s">
        <v>22</v>
      </c>
      <c r="I1043" t="s">
        <v>923</v>
      </c>
    </row>
    <row r="1044" spans="1:9" ht="11.25" customHeight="1">
      <c r="A1044" t="s">
        <v>2383</v>
      </c>
      <c r="B1044" t="s">
        <v>16</v>
      </c>
      <c r="C1044" s="1030" t="s">
        <v>3332</v>
      </c>
      <c r="D1044" s="1030" t="s">
        <v>3333</v>
      </c>
      <c r="E1044" t="s">
        <v>3334</v>
      </c>
      <c r="F1044" t="s">
        <v>2672</v>
      </c>
      <c r="G1044" t="s">
        <v>22</v>
      </c>
      <c r="H1044" t="s">
        <v>22</v>
      </c>
      <c r="I1044" t="s">
        <v>923</v>
      </c>
    </row>
    <row r="1045" spans="1:9" ht="11.25" customHeight="1">
      <c r="A1045" t="s">
        <v>2383</v>
      </c>
      <c r="B1045" t="s">
        <v>16</v>
      </c>
      <c r="C1045" s="1030" t="s">
        <v>4055</v>
      </c>
      <c r="D1045" s="1030" t="s">
        <v>4056</v>
      </c>
      <c r="E1045" t="s">
        <v>4057</v>
      </c>
      <c r="F1045" t="s">
        <v>2843</v>
      </c>
      <c r="G1045" t="s">
        <v>22</v>
      </c>
      <c r="H1045" t="s">
        <v>22</v>
      </c>
      <c r="I1045" t="s">
        <v>923</v>
      </c>
    </row>
    <row r="1046" spans="1:9" ht="11.25" customHeight="1">
      <c r="A1046" t="s">
        <v>2383</v>
      </c>
      <c r="B1046" t="s">
        <v>16</v>
      </c>
      <c r="C1046" s="1030" t="s">
        <v>4058</v>
      </c>
      <c r="D1046" s="1030" t="s">
        <v>4059</v>
      </c>
      <c r="E1046" t="s">
        <v>4060</v>
      </c>
      <c r="F1046" t="s">
        <v>2817</v>
      </c>
      <c r="G1046" t="s">
        <v>22</v>
      </c>
      <c r="H1046" t="s">
        <v>22</v>
      </c>
      <c r="I1046" t="s">
        <v>923</v>
      </c>
    </row>
    <row r="1047" spans="1:9" ht="11.25" customHeight="1">
      <c r="A1047" t="s">
        <v>2383</v>
      </c>
      <c r="B1047" t="s">
        <v>16</v>
      </c>
      <c r="C1047" s="1030" t="s">
        <v>3348</v>
      </c>
      <c r="D1047" s="1030" t="s">
        <v>3349</v>
      </c>
      <c r="E1047" t="s">
        <v>3350</v>
      </c>
      <c r="F1047" t="s">
        <v>2946</v>
      </c>
      <c r="G1047" t="s">
        <v>3351</v>
      </c>
      <c r="H1047" t="s">
        <v>22</v>
      </c>
      <c r="I1047" t="s">
        <v>923</v>
      </c>
    </row>
    <row r="1048" spans="1:9" ht="11.25" customHeight="1">
      <c r="A1048" t="s">
        <v>2383</v>
      </c>
      <c r="B1048" t="s">
        <v>16</v>
      </c>
      <c r="C1048" s="1030" t="s">
        <v>4197</v>
      </c>
      <c r="D1048" s="1030" t="s">
        <v>4198</v>
      </c>
      <c r="E1048" t="s">
        <v>4199</v>
      </c>
      <c r="F1048" t="s">
        <v>2688</v>
      </c>
      <c r="G1048" t="s">
        <v>22</v>
      </c>
      <c r="H1048" t="s">
        <v>22</v>
      </c>
      <c r="I1048" t="s">
        <v>923</v>
      </c>
    </row>
    <row r="1049" spans="1:9" ht="11.25" customHeight="1">
      <c r="A1049" t="s">
        <v>2383</v>
      </c>
      <c r="B1049" t="s">
        <v>16</v>
      </c>
      <c r="C1049" s="1030" t="s">
        <v>4064</v>
      </c>
      <c r="D1049" s="1030" t="s">
        <v>4065</v>
      </c>
      <c r="E1049" t="s">
        <v>4066</v>
      </c>
      <c r="F1049" t="s">
        <v>3100</v>
      </c>
      <c r="G1049" t="s">
        <v>22</v>
      </c>
      <c r="H1049" t="s">
        <v>22</v>
      </c>
      <c r="I1049" t="s">
        <v>923</v>
      </c>
    </row>
    <row r="1050" spans="1:9" ht="11.25" customHeight="1">
      <c r="A1050" t="s">
        <v>2383</v>
      </c>
      <c r="B1050" t="s">
        <v>16</v>
      </c>
      <c r="C1050" s="1030" t="s">
        <v>3371</v>
      </c>
      <c r="D1050" s="1030" t="s">
        <v>3372</v>
      </c>
      <c r="E1050" t="s">
        <v>3373</v>
      </c>
      <c r="F1050" t="s">
        <v>50</v>
      </c>
      <c r="G1050" t="s">
        <v>22</v>
      </c>
      <c r="H1050" t="s">
        <v>22</v>
      </c>
      <c r="I1050" t="s">
        <v>923</v>
      </c>
    </row>
    <row r="1051" spans="1:9" ht="11.25" customHeight="1">
      <c r="A1051" t="s">
        <v>2383</v>
      </c>
      <c r="B1051" t="s">
        <v>16</v>
      </c>
      <c r="C1051" s="1030" t="s">
        <v>4200</v>
      </c>
      <c r="D1051" s="1030" t="s">
        <v>4201</v>
      </c>
      <c r="E1051" t="s">
        <v>4202</v>
      </c>
      <c r="F1051" t="s">
        <v>4203</v>
      </c>
      <c r="G1051" t="s">
        <v>22</v>
      </c>
      <c r="H1051" t="s">
        <v>22</v>
      </c>
      <c r="I1051" t="s">
        <v>923</v>
      </c>
    </row>
    <row r="1052" spans="1:9" ht="11.25" customHeight="1">
      <c r="A1052" t="s">
        <v>2383</v>
      </c>
      <c r="B1052" t="s">
        <v>16</v>
      </c>
      <c r="C1052" s="1030" t="s">
        <v>4204</v>
      </c>
      <c r="D1052" s="1030" t="s">
        <v>4205</v>
      </c>
      <c r="E1052" t="s">
        <v>4206</v>
      </c>
      <c r="F1052" t="s">
        <v>2828</v>
      </c>
      <c r="G1052" t="s">
        <v>22</v>
      </c>
      <c r="H1052" t="s">
        <v>22</v>
      </c>
      <c r="I1052" t="s">
        <v>923</v>
      </c>
    </row>
    <row r="1053" spans="1:9" ht="11.25" customHeight="1">
      <c r="A1053" t="s">
        <v>2383</v>
      </c>
      <c r="B1053" t="s">
        <v>16</v>
      </c>
      <c r="C1053" s="1030" t="s">
        <v>3443</v>
      </c>
      <c r="D1053" s="1030" t="s">
        <v>3444</v>
      </c>
      <c r="E1053" t="s">
        <v>3445</v>
      </c>
      <c r="F1053" t="s">
        <v>3446</v>
      </c>
      <c r="G1053" t="s">
        <v>22</v>
      </c>
      <c r="H1053" t="s">
        <v>22</v>
      </c>
      <c r="I1053" t="s">
        <v>923</v>
      </c>
    </row>
    <row r="1054" spans="1:9" ht="11.25" customHeight="1">
      <c r="A1054" t="s">
        <v>2383</v>
      </c>
      <c r="B1054" t="s">
        <v>16</v>
      </c>
      <c r="C1054" s="1030" t="s">
        <v>4077</v>
      </c>
      <c r="D1054" s="1030" t="s">
        <v>4078</v>
      </c>
      <c r="E1054" t="s">
        <v>4079</v>
      </c>
      <c r="F1054" t="s">
        <v>2404</v>
      </c>
      <c r="G1054" t="s">
        <v>22</v>
      </c>
      <c r="H1054" t="s">
        <v>22</v>
      </c>
      <c r="I1054" t="s">
        <v>923</v>
      </c>
    </row>
    <row r="1055" spans="1:9" ht="11.25" customHeight="1">
      <c r="A1055" t="s">
        <v>2383</v>
      </c>
      <c r="B1055" t="s">
        <v>16</v>
      </c>
      <c r="C1055" s="1030" t="s">
        <v>4080</v>
      </c>
      <c r="D1055" s="1030" t="s">
        <v>4081</v>
      </c>
      <c r="E1055" t="s">
        <v>4082</v>
      </c>
      <c r="F1055" t="s">
        <v>3438</v>
      </c>
      <c r="G1055" t="s">
        <v>22</v>
      </c>
      <c r="H1055" t="s">
        <v>22</v>
      </c>
      <c r="I1055" t="s">
        <v>923</v>
      </c>
    </row>
    <row r="1056" spans="1:9" ht="11.25" customHeight="1">
      <c r="A1056" t="s">
        <v>2383</v>
      </c>
      <c r="B1056" t="s">
        <v>16</v>
      </c>
      <c r="C1056" s="1030" t="s">
        <v>4083</v>
      </c>
      <c r="D1056" s="1030" t="s">
        <v>4084</v>
      </c>
      <c r="E1056" t="s">
        <v>4085</v>
      </c>
      <c r="F1056" t="s">
        <v>2447</v>
      </c>
      <c r="G1056" t="s">
        <v>4086</v>
      </c>
      <c r="H1056" t="s">
        <v>22</v>
      </c>
      <c r="I1056" t="s">
        <v>923</v>
      </c>
    </row>
    <row r="1057" spans="1:9" ht="11.25" customHeight="1">
      <c r="A1057" t="s">
        <v>2383</v>
      </c>
      <c r="B1057" t="s">
        <v>16</v>
      </c>
      <c r="C1057" s="1030" t="s">
        <v>4090</v>
      </c>
      <c r="D1057" s="1030" t="s">
        <v>4091</v>
      </c>
      <c r="E1057" t="s">
        <v>4092</v>
      </c>
      <c r="F1057" t="s">
        <v>2946</v>
      </c>
      <c r="G1057" t="s">
        <v>4093</v>
      </c>
      <c r="H1057" t="s">
        <v>22</v>
      </c>
      <c r="I1057" t="s">
        <v>923</v>
      </c>
    </row>
    <row r="1058" spans="1:9" ht="11.25" customHeight="1">
      <c r="A1058" t="s">
        <v>2383</v>
      </c>
      <c r="B1058" t="s">
        <v>16</v>
      </c>
      <c r="C1058" s="1030" t="s">
        <v>3464</v>
      </c>
      <c r="D1058" s="1030" t="s">
        <v>3465</v>
      </c>
      <c r="E1058" t="s">
        <v>3466</v>
      </c>
      <c r="F1058" t="s">
        <v>2440</v>
      </c>
      <c r="G1058" t="s">
        <v>22</v>
      </c>
      <c r="H1058" t="s">
        <v>22</v>
      </c>
      <c r="I1058" t="s">
        <v>923</v>
      </c>
    </row>
    <row r="1059" spans="1:9" ht="11.25" customHeight="1">
      <c r="A1059" t="s">
        <v>2383</v>
      </c>
      <c r="B1059" t="s">
        <v>16</v>
      </c>
      <c r="C1059" s="1030" t="s">
        <v>3467</v>
      </c>
      <c r="D1059" s="1030" t="s">
        <v>3468</v>
      </c>
      <c r="E1059" t="s">
        <v>3469</v>
      </c>
      <c r="F1059" t="s">
        <v>2638</v>
      </c>
      <c r="G1059" t="s">
        <v>22</v>
      </c>
      <c r="H1059" t="s">
        <v>22</v>
      </c>
      <c r="I1059" t="s">
        <v>923</v>
      </c>
    </row>
    <row r="1060" spans="1:9" ht="11.25" customHeight="1">
      <c r="A1060" t="s">
        <v>2383</v>
      </c>
      <c r="B1060" t="s">
        <v>16</v>
      </c>
      <c r="C1060" s="1030" t="s">
        <v>4207</v>
      </c>
      <c r="D1060" s="1030" t="s">
        <v>4208</v>
      </c>
      <c r="E1060" t="s">
        <v>4209</v>
      </c>
      <c r="F1060" t="s">
        <v>2447</v>
      </c>
      <c r="G1060" t="s">
        <v>22</v>
      </c>
      <c r="H1060" t="s">
        <v>22</v>
      </c>
      <c r="I1060" t="s">
        <v>923</v>
      </c>
    </row>
    <row r="1061" spans="1:9" ht="11.25" customHeight="1">
      <c r="A1061" t="s">
        <v>2383</v>
      </c>
      <c r="B1061" t="s">
        <v>16</v>
      </c>
      <c r="C1061" s="1030" t="s">
        <v>4210</v>
      </c>
      <c r="D1061" s="1030" t="s">
        <v>4211</v>
      </c>
      <c r="E1061" t="s">
        <v>4212</v>
      </c>
      <c r="F1061" t="s">
        <v>50</v>
      </c>
      <c r="G1061" t="s">
        <v>22</v>
      </c>
      <c r="H1061" t="s">
        <v>22</v>
      </c>
      <c r="I1061" t="s">
        <v>923</v>
      </c>
    </row>
    <row r="1062" spans="1:9" ht="11.25" customHeight="1">
      <c r="A1062" t="s">
        <v>2383</v>
      </c>
      <c r="B1062" t="s">
        <v>16</v>
      </c>
      <c r="C1062" s="1030" t="s">
        <v>4213</v>
      </c>
      <c r="D1062" s="1030" t="s">
        <v>4214</v>
      </c>
      <c r="E1062" t="s">
        <v>4215</v>
      </c>
      <c r="F1062" t="s">
        <v>2510</v>
      </c>
      <c r="G1062" t="s">
        <v>22</v>
      </c>
      <c r="H1062" t="s">
        <v>22</v>
      </c>
      <c r="I1062" t="s">
        <v>923</v>
      </c>
    </row>
    <row r="1063" spans="1:9" ht="11.25" customHeight="1">
      <c r="A1063" t="s">
        <v>2383</v>
      </c>
      <c r="B1063" t="s">
        <v>16</v>
      </c>
      <c r="C1063" s="1030" t="s">
        <v>3490</v>
      </c>
      <c r="D1063" s="1030" t="s">
        <v>3491</v>
      </c>
      <c r="E1063" t="s">
        <v>3492</v>
      </c>
      <c r="F1063" t="s">
        <v>2817</v>
      </c>
      <c r="G1063" t="s">
        <v>3493</v>
      </c>
      <c r="H1063" t="s">
        <v>22</v>
      </c>
      <c r="I1063" t="s">
        <v>923</v>
      </c>
    </row>
    <row r="1064" spans="1:9" ht="11.25" customHeight="1">
      <c r="A1064" t="s">
        <v>2383</v>
      </c>
      <c r="B1064" t="s">
        <v>16</v>
      </c>
      <c r="C1064" s="1030" t="s">
        <v>4094</v>
      </c>
      <c r="D1064" s="1030" t="s">
        <v>4095</v>
      </c>
      <c r="E1064" t="s">
        <v>4096</v>
      </c>
      <c r="F1064" t="s">
        <v>2835</v>
      </c>
      <c r="G1064" t="s">
        <v>22</v>
      </c>
      <c r="H1064" t="s">
        <v>22</v>
      </c>
      <c r="I1064" t="s">
        <v>923</v>
      </c>
    </row>
    <row r="1065" spans="1:9" ht="11.25" customHeight="1">
      <c r="A1065" t="s">
        <v>2383</v>
      </c>
      <c r="B1065" t="s">
        <v>16</v>
      </c>
      <c r="C1065" s="1030" t="s">
        <v>3506</v>
      </c>
      <c r="D1065" s="1030" t="s">
        <v>3507</v>
      </c>
      <c r="E1065" t="s">
        <v>3508</v>
      </c>
      <c r="F1065" t="s">
        <v>2584</v>
      </c>
      <c r="G1065" t="s">
        <v>22</v>
      </c>
      <c r="H1065" t="s">
        <v>22</v>
      </c>
      <c r="I1065" t="s">
        <v>923</v>
      </c>
    </row>
    <row r="1066" spans="1:9" ht="11.25" customHeight="1">
      <c r="A1066" t="s">
        <v>2383</v>
      </c>
      <c r="B1066" t="s">
        <v>16</v>
      </c>
      <c r="C1066" s="1030" t="s">
        <v>3509</v>
      </c>
      <c r="D1066" s="1030" t="s">
        <v>3510</v>
      </c>
      <c r="E1066" t="s">
        <v>3511</v>
      </c>
      <c r="F1066" t="s">
        <v>2451</v>
      </c>
      <c r="G1066" t="s">
        <v>22</v>
      </c>
      <c r="H1066" t="s">
        <v>22</v>
      </c>
      <c r="I1066" t="s">
        <v>923</v>
      </c>
    </row>
    <row r="1067" spans="1:9" ht="11.25" customHeight="1">
      <c r="A1067" t="s">
        <v>2383</v>
      </c>
      <c r="B1067" t="s">
        <v>16</v>
      </c>
      <c r="C1067" s="1030" t="s">
        <v>3530</v>
      </c>
      <c r="D1067" s="1030" t="s">
        <v>3531</v>
      </c>
      <c r="E1067" t="s">
        <v>3532</v>
      </c>
      <c r="F1067" t="s">
        <v>2432</v>
      </c>
      <c r="G1067" t="s">
        <v>22</v>
      </c>
      <c r="H1067" t="s">
        <v>22</v>
      </c>
      <c r="I1067" t="s">
        <v>923</v>
      </c>
    </row>
    <row r="1068" spans="1:9" ht="11.25" customHeight="1">
      <c r="A1068" t="s">
        <v>2383</v>
      </c>
      <c r="B1068" t="s">
        <v>16</v>
      </c>
      <c r="C1068" s="1030" t="s">
        <v>3542</v>
      </c>
      <c r="D1068" s="1030" t="s">
        <v>3543</v>
      </c>
      <c r="E1068" t="s">
        <v>3544</v>
      </c>
      <c r="F1068" t="s">
        <v>2451</v>
      </c>
      <c r="G1068" t="s">
        <v>22</v>
      </c>
      <c r="H1068" t="s">
        <v>22</v>
      </c>
      <c r="I1068" t="s">
        <v>923</v>
      </c>
    </row>
    <row r="1069" spans="1:9" ht="11.25" customHeight="1">
      <c r="A1069" t="s">
        <v>2383</v>
      </c>
      <c r="B1069" t="s">
        <v>16</v>
      </c>
      <c r="C1069" s="1030" t="s">
        <v>4216</v>
      </c>
      <c r="D1069" s="1030" t="s">
        <v>4217</v>
      </c>
      <c r="E1069" t="s">
        <v>4218</v>
      </c>
      <c r="F1069" t="s">
        <v>3025</v>
      </c>
      <c r="G1069" t="s">
        <v>22</v>
      </c>
      <c r="H1069" t="s">
        <v>22</v>
      </c>
      <c r="I1069" t="s">
        <v>923</v>
      </c>
    </row>
    <row r="1070" spans="1:9" ht="11.25" customHeight="1">
      <c r="A1070" t="s">
        <v>2383</v>
      </c>
      <c r="B1070" t="s">
        <v>16</v>
      </c>
      <c r="C1070" s="1030" t="s">
        <v>4100</v>
      </c>
      <c r="D1070" s="1030" t="s">
        <v>4101</v>
      </c>
      <c r="E1070" t="s">
        <v>4102</v>
      </c>
      <c r="F1070" t="s">
        <v>2665</v>
      </c>
      <c r="G1070" t="s">
        <v>22</v>
      </c>
      <c r="H1070" t="s">
        <v>22</v>
      </c>
      <c r="I1070" t="s">
        <v>923</v>
      </c>
    </row>
    <row r="1071" spans="1:9" ht="11.25" customHeight="1">
      <c r="A1071" t="s">
        <v>2383</v>
      </c>
      <c r="B1071" t="s">
        <v>16</v>
      </c>
      <c r="C1071" s="1030" t="s">
        <v>4219</v>
      </c>
      <c r="D1071" s="1030" t="s">
        <v>4220</v>
      </c>
      <c r="E1071" t="s">
        <v>4221</v>
      </c>
      <c r="F1071" t="s">
        <v>2447</v>
      </c>
      <c r="G1071" t="s">
        <v>22</v>
      </c>
      <c r="H1071" t="s">
        <v>22</v>
      </c>
      <c r="I1071" t="s">
        <v>923</v>
      </c>
    </row>
    <row r="1072" spans="1:9" ht="11.25" customHeight="1">
      <c r="A1072" t="s">
        <v>2383</v>
      </c>
      <c r="B1072" t="s">
        <v>16</v>
      </c>
      <c r="C1072" s="1030" t="s">
        <v>4106</v>
      </c>
      <c r="D1072" s="1030" t="s">
        <v>4107</v>
      </c>
      <c r="E1072" t="s">
        <v>4108</v>
      </c>
      <c r="F1072" t="s">
        <v>2672</v>
      </c>
      <c r="G1072" t="s">
        <v>22</v>
      </c>
      <c r="H1072" t="s">
        <v>22</v>
      </c>
      <c r="I1072" t="s">
        <v>923</v>
      </c>
    </row>
    <row r="1073" spans="1:9" ht="11.25" customHeight="1">
      <c r="A1073" t="s">
        <v>2383</v>
      </c>
      <c r="B1073" t="s">
        <v>16</v>
      </c>
      <c r="C1073" s="1030" t="s">
        <v>4222</v>
      </c>
      <c r="D1073" s="1030" t="s">
        <v>4223</v>
      </c>
      <c r="E1073" t="s">
        <v>4224</v>
      </c>
      <c r="F1073" t="s">
        <v>2611</v>
      </c>
      <c r="G1073" t="s">
        <v>22</v>
      </c>
      <c r="H1073" t="s">
        <v>22</v>
      </c>
      <c r="I1073" t="s">
        <v>923</v>
      </c>
    </row>
    <row r="1074" spans="1:9" ht="11.25" customHeight="1">
      <c r="A1074" t="s">
        <v>2383</v>
      </c>
      <c r="B1074" t="s">
        <v>16</v>
      </c>
      <c r="C1074" s="1030" t="s">
        <v>4109</v>
      </c>
      <c r="D1074" s="1030" t="s">
        <v>4110</v>
      </c>
      <c r="E1074" t="s">
        <v>4111</v>
      </c>
      <c r="F1074" t="s">
        <v>2447</v>
      </c>
      <c r="G1074" t="s">
        <v>22</v>
      </c>
      <c r="H1074" t="s">
        <v>22</v>
      </c>
      <c r="I1074" t="s">
        <v>923</v>
      </c>
    </row>
    <row r="1075" spans="1:9" ht="11.25" customHeight="1">
      <c r="A1075" t="s">
        <v>2383</v>
      </c>
      <c r="B1075" t="s">
        <v>16</v>
      </c>
      <c r="C1075" s="1030" t="s">
        <v>3612</v>
      </c>
      <c r="D1075" s="1030" t="s">
        <v>3613</v>
      </c>
      <c r="E1075" t="s">
        <v>3614</v>
      </c>
      <c r="F1075" t="s">
        <v>50</v>
      </c>
      <c r="G1075" t="s">
        <v>22</v>
      </c>
      <c r="H1075" t="s">
        <v>22</v>
      </c>
      <c r="I1075" t="s">
        <v>923</v>
      </c>
    </row>
    <row r="1076" spans="1:9" ht="11.25" customHeight="1">
      <c r="A1076" t="s">
        <v>2383</v>
      </c>
      <c r="B1076" t="s">
        <v>16</v>
      </c>
      <c r="C1076" s="1030" t="s">
        <v>4112</v>
      </c>
      <c r="D1076" s="1030" t="s">
        <v>4113</v>
      </c>
      <c r="E1076" t="s">
        <v>4114</v>
      </c>
      <c r="F1076" t="s">
        <v>2688</v>
      </c>
      <c r="G1076" t="s">
        <v>22</v>
      </c>
      <c r="H1076" t="s">
        <v>22</v>
      </c>
      <c r="I1076" t="s">
        <v>923</v>
      </c>
    </row>
    <row r="1077" spans="1:9" ht="11.25" customHeight="1">
      <c r="A1077" t="s">
        <v>2383</v>
      </c>
      <c r="B1077" t="s">
        <v>16</v>
      </c>
      <c r="C1077" s="1030" t="s">
        <v>4115</v>
      </c>
      <c r="D1077" s="1030" t="s">
        <v>4116</v>
      </c>
      <c r="E1077" t="s">
        <v>4117</v>
      </c>
      <c r="F1077" t="s">
        <v>3100</v>
      </c>
      <c r="G1077" t="s">
        <v>22</v>
      </c>
      <c r="H1077" t="s">
        <v>22</v>
      </c>
      <c r="I1077" t="s">
        <v>923</v>
      </c>
    </row>
    <row r="1078" spans="1:9" ht="11.25" customHeight="1">
      <c r="A1078" t="s">
        <v>2383</v>
      </c>
      <c r="B1078" t="s">
        <v>16</v>
      </c>
      <c r="C1078" s="1030" t="s">
        <v>4118</v>
      </c>
      <c r="D1078" s="1030" t="s">
        <v>4119</v>
      </c>
      <c r="E1078" t="s">
        <v>4120</v>
      </c>
      <c r="F1078" t="s">
        <v>2665</v>
      </c>
      <c r="G1078" t="s">
        <v>22</v>
      </c>
      <c r="H1078" t="s">
        <v>22</v>
      </c>
      <c r="I1078" t="s">
        <v>923</v>
      </c>
    </row>
    <row r="1079" spans="1:9" ht="11.25" customHeight="1">
      <c r="A1079" t="s">
        <v>2383</v>
      </c>
      <c r="B1079" t="s">
        <v>16</v>
      </c>
      <c r="C1079" s="1030" t="s">
        <v>4121</v>
      </c>
      <c r="D1079" s="1030" t="s">
        <v>4122</v>
      </c>
      <c r="E1079" t="s">
        <v>4123</v>
      </c>
      <c r="F1079" t="s">
        <v>2777</v>
      </c>
      <c r="G1079" t="s">
        <v>22</v>
      </c>
      <c r="H1079" t="s">
        <v>22</v>
      </c>
      <c r="I1079" t="s">
        <v>923</v>
      </c>
    </row>
    <row r="1080" spans="1:9" ht="11.25" customHeight="1">
      <c r="A1080" t="s">
        <v>2383</v>
      </c>
      <c r="B1080" t="s">
        <v>16</v>
      </c>
      <c r="C1080" s="1030" t="s">
        <v>3684</v>
      </c>
      <c r="D1080" s="1030" t="s">
        <v>3685</v>
      </c>
      <c r="E1080" t="s">
        <v>2435</v>
      </c>
      <c r="F1080" t="s">
        <v>3686</v>
      </c>
      <c r="G1080" t="s">
        <v>22</v>
      </c>
      <c r="H1080" t="s">
        <v>22</v>
      </c>
      <c r="I1080" t="s">
        <v>923</v>
      </c>
    </row>
    <row r="1081" spans="1:9" ht="11.25" customHeight="1">
      <c r="A1081" t="s">
        <v>2383</v>
      </c>
      <c r="B1081" t="s">
        <v>16</v>
      </c>
      <c r="C1081" s="1030" t="s">
        <v>3691</v>
      </c>
      <c r="D1081" s="1030" t="s">
        <v>3692</v>
      </c>
      <c r="E1081" t="s">
        <v>3693</v>
      </c>
      <c r="F1081" t="s">
        <v>2817</v>
      </c>
      <c r="G1081" t="s">
        <v>22</v>
      </c>
      <c r="H1081" t="s">
        <v>22</v>
      </c>
      <c r="I1081" t="s">
        <v>923</v>
      </c>
    </row>
    <row r="1082" spans="1:9" ht="11.25" customHeight="1">
      <c r="A1082" t="s">
        <v>2383</v>
      </c>
      <c r="B1082" t="s">
        <v>16</v>
      </c>
      <c r="C1082" s="1030" t="s">
        <v>3694</v>
      </c>
      <c r="D1082" s="1030" t="s">
        <v>3695</v>
      </c>
      <c r="E1082" t="s">
        <v>3696</v>
      </c>
      <c r="F1082" t="s">
        <v>2461</v>
      </c>
      <c r="G1082" t="s">
        <v>22</v>
      </c>
      <c r="H1082" t="s">
        <v>22</v>
      </c>
      <c r="I1082" t="s">
        <v>923</v>
      </c>
    </row>
    <row r="1083" spans="1:9" ht="11.25" customHeight="1">
      <c r="A1083" t="s">
        <v>2383</v>
      </c>
      <c r="B1083" t="s">
        <v>16</v>
      </c>
      <c r="C1083" s="1030" t="s">
        <v>4225</v>
      </c>
      <c r="D1083" s="1030" t="s">
        <v>4226</v>
      </c>
      <c r="E1083" t="s">
        <v>4227</v>
      </c>
      <c r="F1083" t="s">
        <v>2440</v>
      </c>
      <c r="G1083" t="s">
        <v>22</v>
      </c>
      <c r="H1083" t="s">
        <v>22</v>
      </c>
      <c r="I1083" t="s">
        <v>923</v>
      </c>
    </row>
    <row r="1084" spans="1:9" ht="11.25" customHeight="1">
      <c r="A1084" t="s">
        <v>2383</v>
      </c>
      <c r="B1084" t="s">
        <v>16</v>
      </c>
      <c r="C1084" s="1030" t="s">
        <v>3704</v>
      </c>
      <c r="D1084" s="1030" t="s">
        <v>3705</v>
      </c>
      <c r="E1084" t="s">
        <v>3706</v>
      </c>
      <c r="F1084" t="s">
        <v>2570</v>
      </c>
      <c r="G1084" t="s">
        <v>22</v>
      </c>
      <c r="H1084" t="s">
        <v>22</v>
      </c>
      <c r="I1084" t="s">
        <v>923</v>
      </c>
    </row>
    <row r="1085" spans="1:9" ht="11.25" customHeight="1">
      <c r="A1085" t="s">
        <v>2383</v>
      </c>
      <c r="B1085" t="s">
        <v>16</v>
      </c>
      <c r="C1085" s="1030" t="s">
        <v>3707</v>
      </c>
      <c r="D1085" s="1030" t="s">
        <v>3708</v>
      </c>
      <c r="E1085" t="s">
        <v>3709</v>
      </c>
      <c r="F1085" t="s">
        <v>2440</v>
      </c>
      <c r="G1085" t="s">
        <v>22</v>
      </c>
      <c r="H1085" t="s">
        <v>22</v>
      </c>
      <c r="I1085" t="s">
        <v>923</v>
      </c>
    </row>
    <row r="1086" spans="1:9" ht="11.25" customHeight="1">
      <c r="A1086" t="s">
        <v>2383</v>
      </c>
      <c r="B1086" t="s">
        <v>16</v>
      </c>
      <c r="C1086" s="1030" t="s">
        <v>3713</v>
      </c>
      <c r="D1086" s="1030" t="s">
        <v>3714</v>
      </c>
      <c r="E1086" t="s">
        <v>3715</v>
      </c>
      <c r="F1086" t="s">
        <v>2761</v>
      </c>
      <c r="G1086" t="s">
        <v>22</v>
      </c>
      <c r="H1086" t="s">
        <v>22</v>
      </c>
      <c r="I1086" t="s">
        <v>923</v>
      </c>
    </row>
    <row r="1087" spans="1:9" ht="11.25" customHeight="1">
      <c r="A1087" t="s">
        <v>2383</v>
      </c>
      <c r="B1087" t="s">
        <v>16</v>
      </c>
      <c r="C1087" s="1030" t="s">
        <v>3725</v>
      </c>
      <c r="D1087" s="1030" t="s">
        <v>3726</v>
      </c>
      <c r="E1087" t="s">
        <v>3727</v>
      </c>
      <c r="F1087" t="s">
        <v>2584</v>
      </c>
      <c r="G1087" t="s">
        <v>22</v>
      </c>
      <c r="H1087" t="s">
        <v>22</v>
      </c>
      <c r="I1087" t="s">
        <v>923</v>
      </c>
    </row>
    <row r="1088" spans="1:9" ht="11.25" customHeight="1">
      <c r="A1088" t="s">
        <v>2383</v>
      </c>
      <c r="B1088" t="s">
        <v>16</v>
      </c>
      <c r="C1088" s="1030" t="s">
        <v>3728</v>
      </c>
      <c r="D1088" s="1030" t="s">
        <v>3729</v>
      </c>
      <c r="E1088" t="s">
        <v>3730</v>
      </c>
      <c r="F1088" t="s">
        <v>2828</v>
      </c>
      <c r="G1088" t="s">
        <v>22</v>
      </c>
      <c r="H1088" t="s">
        <v>22</v>
      </c>
      <c r="I1088" t="s">
        <v>923</v>
      </c>
    </row>
    <row r="1089" spans="1:9" ht="11.25" customHeight="1">
      <c r="A1089" t="s">
        <v>2383</v>
      </c>
      <c r="B1089" t="s">
        <v>16</v>
      </c>
      <c r="C1089" s="1030" t="s">
        <v>22</v>
      </c>
      <c r="D1089" s="1030" t="s">
        <v>3731</v>
      </c>
      <c r="E1089" t="s">
        <v>3732</v>
      </c>
      <c r="F1089" t="s">
        <v>2391</v>
      </c>
      <c r="G1089" t="s">
        <v>22</v>
      </c>
      <c r="H1089" t="s">
        <v>22</v>
      </c>
      <c r="I1089" t="s">
        <v>923</v>
      </c>
    </row>
    <row r="1090" spans="1:9" ht="11.25" customHeight="1">
      <c r="A1090" t="s">
        <v>2383</v>
      </c>
      <c r="B1090" t="s">
        <v>16</v>
      </c>
      <c r="C1090" s="1030" t="s">
        <v>4127</v>
      </c>
      <c r="D1090" s="1030" t="s">
        <v>4128</v>
      </c>
      <c r="E1090" t="s">
        <v>4129</v>
      </c>
      <c r="F1090" t="s">
        <v>3025</v>
      </c>
      <c r="G1090" t="s">
        <v>22</v>
      </c>
      <c r="H1090" t="s">
        <v>22</v>
      </c>
      <c r="I1090" t="s">
        <v>923</v>
      </c>
    </row>
    <row r="1091" spans="1:9" ht="11.25" customHeight="1">
      <c r="A1091" t="s">
        <v>2383</v>
      </c>
      <c r="B1091" t="s">
        <v>16</v>
      </c>
      <c r="C1091" s="1030" t="s">
        <v>3736</v>
      </c>
      <c r="D1091" s="1030" t="s">
        <v>3737</v>
      </c>
      <c r="E1091" t="s">
        <v>3738</v>
      </c>
      <c r="F1091" t="s">
        <v>2629</v>
      </c>
      <c r="G1091" t="s">
        <v>3739</v>
      </c>
      <c r="H1091" t="s">
        <v>22</v>
      </c>
      <c r="I1091" t="s">
        <v>923</v>
      </c>
    </row>
    <row r="1092" spans="1:9" ht="11.25" customHeight="1">
      <c r="A1092" t="s">
        <v>2383</v>
      </c>
      <c r="B1092" t="s">
        <v>16</v>
      </c>
      <c r="C1092" s="1030" t="s">
        <v>3740</v>
      </c>
      <c r="D1092" s="1030" t="s">
        <v>3741</v>
      </c>
      <c r="E1092" t="s">
        <v>3742</v>
      </c>
      <c r="F1092" t="s">
        <v>2629</v>
      </c>
      <c r="G1092" t="s">
        <v>22</v>
      </c>
      <c r="H1092" t="s">
        <v>22</v>
      </c>
      <c r="I1092" t="s">
        <v>923</v>
      </c>
    </row>
    <row r="1093" spans="1:9" ht="11.25" customHeight="1">
      <c r="A1093" t="s">
        <v>2383</v>
      </c>
      <c r="B1093" t="s">
        <v>16</v>
      </c>
      <c r="C1093" s="1030" t="s">
        <v>3752</v>
      </c>
      <c r="D1093" s="1030" t="s">
        <v>3753</v>
      </c>
      <c r="E1093" t="s">
        <v>3754</v>
      </c>
      <c r="F1093" t="s">
        <v>3686</v>
      </c>
      <c r="G1093" t="s">
        <v>22</v>
      </c>
      <c r="H1093" t="s">
        <v>22</v>
      </c>
      <c r="I1093" t="s">
        <v>923</v>
      </c>
    </row>
    <row r="1094" spans="1:9" ht="11.25" customHeight="1">
      <c r="A1094" t="s">
        <v>2383</v>
      </c>
      <c r="B1094" t="s">
        <v>16</v>
      </c>
      <c r="C1094" s="1030" t="s">
        <v>3755</v>
      </c>
      <c r="D1094" s="1030" t="s">
        <v>3753</v>
      </c>
      <c r="E1094" t="s">
        <v>3754</v>
      </c>
      <c r="F1094" t="s">
        <v>2566</v>
      </c>
      <c r="G1094" t="s">
        <v>22</v>
      </c>
      <c r="H1094" t="s">
        <v>22</v>
      </c>
      <c r="I1094" t="s">
        <v>923</v>
      </c>
    </row>
    <row r="1095" spans="1:9" ht="11.25" customHeight="1">
      <c r="A1095" t="s">
        <v>2383</v>
      </c>
      <c r="B1095" t="s">
        <v>16</v>
      </c>
      <c r="C1095" s="1030" t="s">
        <v>4139</v>
      </c>
      <c r="D1095" s="1030" t="s">
        <v>4140</v>
      </c>
      <c r="E1095" t="s">
        <v>4141</v>
      </c>
      <c r="F1095" t="s">
        <v>3100</v>
      </c>
      <c r="G1095" t="s">
        <v>22</v>
      </c>
      <c r="H1095" t="s">
        <v>22</v>
      </c>
      <c r="I1095" t="s">
        <v>923</v>
      </c>
    </row>
    <row r="1096" spans="1:9" ht="11.25" customHeight="1">
      <c r="A1096" t="s">
        <v>2383</v>
      </c>
      <c r="B1096" t="s">
        <v>16</v>
      </c>
      <c r="C1096" s="1030" t="s">
        <v>3756</v>
      </c>
      <c r="D1096" s="1030" t="s">
        <v>3757</v>
      </c>
      <c r="E1096" t="s">
        <v>3758</v>
      </c>
      <c r="F1096" t="s">
        <v>2574</v>
      </c>
      <c r="G1096" t="s">
        <v>22</v>
      </c>
      <c r="H1096" t="s">
        <v>22</v>
      </c>
      <c r="I1096" t="s">
        <v>923</v>
      </c>
    </row>
    <row r="1097" spans="1:9" ht="11.25" customHeight="1">
      <c r="A1097" t="s">
        <v>2383</v>
      </c>
      <c r="B1097" t="s">
        <v>16</v>
      </c>
      <c r="C1097" s="1030" t="s">
        <v>3763</v>
      </c>
      <c r="D1097" s="1030" t="s">
        <v>3764</v>
      </c>
      <c r="E1097" t="s">
        <v>3765</v>
      </c>
      <c r="F1097" t="s">
        <v>2447</v>
      </c>
      <c r="G1097" t="s">
        <v>22</v>
      </c>
      <c r="H1097" t="s">
        <v>22</v>
      </c>
      <c r="I1097" t="s">
        <v>923</v>
      </c>
    </row>
    <row r="1098" spans="1:9" ht="11.25" customHeight="1">
      <c r="A1098" t="s">
        <v>2383</v>
      </c>
      <c r="B1098" t="s">
        <v>16</v>
      </c>
      <c r="C1098" s="1030" t="s">
        <v>4228</v>
      </c>
      <c r="D1098" s="1030" t="s">
        <v>4229</v>
      </c>
      <c r="E1098" t="s">
        <v>4230</v>
      </c>
      <c r="F1098" t="s">
        <v>2584</v>
      </c>
      <c r="G1098" t="s">
        <v>22</v>
      </c>
      <c r="H1098" t="s">
        <v>22</v>
      </c>
      <c r="I1098" t="s">
        <v>923</v>
      </c>
    </row>
    <row r="1099" spans="1:9" ht="11.25" customHeight="1">
      <c r="A1099" t="s">
        <v>2383</v>
      </c>
      <c r="B1099" t="s">
        <v>16</v>
      </c>
      <c r="C1099" s="1030" t="s">
        <v>3786</v>
      </c>
      <c r="D1099" s="1030" t="s">
        <v>3787</v>
      </c>
      <c r="E1099" t="s">
        <v>3788</v>
      </c>
      <c r="F1099" t="s">
        <v>2784</v>
      </c>
      <c r="G1099" t="s">
        <v>22</v>
      </c>
      <c r="H1099" t="s">
        <v>22</v>
      </c>
      <c r="I1099" t="s">
        <v>923</v>
      </c>
    </row>
    <row r="1100" spans="1:9" ht="11.25" customHeight="1">
      <c r="A1100" t="s">
        <v>2383</v>
      </c>
      <c r="B1100" t="s">
        <v>16</v>
      </c>
      <c r="C1100" s="1030" t="s">
        <v>3789</v>
      </c>
      <c r="D1100" s="1030" t="s">
        <v>3790</v>
      </c>
      <c r="E1100" t="s">
        <v>3791</v>
      </c>
      <c r="F1100" t="s">
        <v>2769</v>
      </c>
      <c r="G1100" t="s">
        <v>3792</v>
      </c>
      <c r="H1100" t="s">
        <v>22</v>
      </c>
      <c r="I1100" t="s">
        <v>923</v>
      </c>
    </row>
    <row r="1101" spans="1:9" ht="11.25" customHeight="1">
      <c r="A1101" t="s">
        <v>2383</v>
      </c>
      <c r="B1101" t="s">
        <v>16</v>
      </c>
      <c r="C1101" s="1030" t="s">
        <v>3793</v>
      </c>
      <c r="D1101" s="1030" t="s">
        <v>3794</v>
      </c>
      <c r="E1101" t="s">
        <v>3795</v>
      </c>
      <c r="F1101" t="s">
        <v>2440</v>
      </c>
      <c r="G1101" t="s">
        <v>22</v>
      </c>
      <c r="H1101" t="s">
        <v>22</v>
      </c>
      <c r="I1101" t="s">
        <v>923</v>
      </c>
    </row>
    <row r="1102" spans="1:9" ht="11.25" customHeight="1">
      <c r="A1102" t="s">
        <v>2383</v>
      </c>
      <c r="B1102" t="s">
        <v>16</v>
      </c>
      <c r="C1102" s="1030" t="s">
        <v>4231</v>
      </c>
      <c r="D1102" s="1030" t="s">
        <v>4232</v>
      </c>
      <c r="E1102" t="s">
        <v>4233</v>
      </c>
      <c r="F1102" t="s">
        <v>2391</v>
      </c>
      <c r="G1102" t="s">
        <v>22</v>
      </c>
      <c r="H1102" t="s">
        <v>22</v>
      </c>
      <c r="I1102" t="s">
        <v>1775</v>
      </c>
    </row>
    <row r="1103" spans="1:9" ht="11.25" customHeight="1">
      <c r="A1103" t="s">
        <v>2383</v>
      </c>
      <c r="B1103" t="s">
        <v>16</v>
      </c>
      <c r="C1103" s="1030" t="s">
        <v>4234</v>
      </c>
      <c r="D1103" s="1030" t="s">
        <v>4235</v>
      </c>
      <c r="E1103" t="s">
        <v>4236</v>
      </c>
      <c r="F1103" t="s">
        <v>2584</v>
      </c>
      <c r="G1103" t="s">
        <v>22</v>
      </c>
      <c r="H1103" t="s">
        <v>22</v>
      </c>
      <c r="I1103" t="s">
        <v>1775</v>
      </c>
    </row>
    <row r="1104" spans="1:9" ht="11.25" customHeight="1">
      <c r="A1104" t="s">
        <v>2383</v>
      </c>
      <c r="B1104" t="s">
        <v>16</v>
      </c>
      <c r="C1104" s="1030" t="s">
        <v>3894</v>
      </c>
      <c r="D1104" s="1030" t="s">
        <v>3895</v>
      </c>
      <c r="E1104" t="s">
        <v>3896</v>
      </c>
      <c r="F1104" t="s">
        <v>2797</v>
      </c>
      <c r="G1104" t="s">
        <v>22</v>
      </c>
      <c r="H1104" t="s">
        <v>22</v>
      </c>
      <c r="I1104" t="s">
        <v>1775</v>
      </c>
    </row>
    <row r="1105" spans="1:9" ht="11.25" customHeight="1">
      <c r="A1105" t="s">
        <v>2383</v>
      </c>
      <c r="B1105" t="s">
        <v>16</v>
      </c>
      <c r="C1105" s="1030" t="s">
        <v>4237</v>
      </c>
      <c r="D1105" s="1030" t="s">
        <v>4238</v>
      </c>
      <c r="E1105" t="s">
        <v>4239</v>
      </c>
      <c r="F1105" t="s">
        <v>2574</v>
      </c>
      <c r="G1105" t="s">
        <v>22</v>
      </c>
      <c r="H1105" t="s">
        <v>22</v>
      </c>
      <c r="I1105" t="s">
        <v>1775</v>
      </c>
    </row>
    <row r="1106" spans="1:9" ht="11.25" customHeight="1">
      <c r="A1106" t="s">
        <v>2383</v>
      </c>
      <c r="B1106" t="s">
        <v>16</v>
      </c>
      <c r="C1106" s="1030" t="s">
        <v>2897</v>
      </c>
      <c r="D1106" s="1030" t="s">
        <v>2898</v>
      </c>
      <c r="E1106" t="s">
        <v>2899</v>
      </c>
      <c r="F1106" t="s">
        <v>2638</v>
      </c>
      <c r="G1106" t="s">
        <v>22</v>
      </c>
      <c r="H1106" t="s">
        <v>22</v>
      </c>
      <c r="I1106" t="s">
        <v>1775</v>
      </c>
    </row>
    <row r="1107" spans="1:9" ht="11.25" customHeight="1">
      <c r="A1107" t="s">
        <v>2383</v>
      </c>
      <c r="B1107" t="s">
        <v>16</v>
      </c>
      <c r="C1107" s="1030" t="s">
        <v>2900</v>
      </c>
      <c r="D1107" s="1030" t="s">
        <v>2901</v>
      </c>
      <c r="E1107" t="s">
        <v>2902</v>
      </c>
      <c r="F1107" t="s">
        <v>2661</v>
      </c>
      <c r="G1107" t="s">
        <v>22</v>
      </c>
      <c r="H1107" t="s">
        <v>22</v>
      </c>
      <c r="I1107" t="s">
        <v>1775</v>
      </c>
    </row>
    <row r="1108" spans="1:9" ht="11.25" customHeight="1">
      <c r="A1108" t="s">
        <v>2383</v>
      </c>
      <c r="B1108" t="s">
        <v>16</v>
      </c>
      <c r="C1108" s="1030" t="s">
        <v>2906</v>
      </c>
      <c r="D1108" s="1030" t="s">
        <v>2907</v>
      </c>
      <c r="E1108" t="s">
        <v>2908</v>
      </c>
      <c r="F1108" t="s">
        <v>2909</v>
      </c>
      <c r="G1108" t="s">
        <v>22</v>
      </c>
      <c r="H1108" t="s">
        <v>22</v>
      </c>
      <c r="I1108" t="s">
        <v>1775</v>
      </c>
    </row>
    <row r="1109" spans="1:9" ht="11.25" customHeight="1">
      <c r="A1109" t="s">
        <v>2383</v>
      </c>
      <c r="B1109" t="s">
        <v>16</v>
      </c>
      <c r="C1109" s="1030" t="s">
        <v>2937</v>
      </c>
      <c r="D1109" s="1030" t="s">
        <v>2938</v>
      </c>
      <c r="E1109" t="s">
        <v>2939</v>
      </c>
      <c r="F1109" t="s">
        <v>2653</v>
      </c>
      <c r="G1109" t="s">
        <v>22</v>
      </c>
      <c r="H1109" t="s">
        <v>22</v>
      </c>
      <c r="I1109" t="s">
        <v>1775</v>
      </c>
    </row>
    <row r="1110" spans="1:9" ht="11.25" customHeight="1">
      <c r="A1110" t="s">
        <v>2383</v>
      </c>
      <c r="B1110" t="s">
        <v>16</v>
      </c>
      <c r="C1110" s="1030" t="s">
        <v>2970</v>
      </c>
      <c r="D1110" s="1030" t="s">
        <v>2971</v>
      </c>
      <c r="E1110" t="s">
        <v>2972</v>
      </c>
      <c r="F1110" t="s">
        <v>2973</v>
      </c>
      <c r="G1110" t="s">
        <v>22</v>
      </c>
      <c r="H1110" t="s">
        <v>22</v>
      </c>
      <c r="I1110" t="s">
        <v>1775</v>
      </c>
    </row>
    <row r="1111" spans="1:9" ht="11.25" customHeight="1">
      <c r="A1111" t="s">
        <v>2383</v>
      </c>
      <c r="B1111" t="s">
        <v>16</v>
      </c>
      <c r="C1111" s="1030" t="s">
        <v>3140</v>
      </c>
      <c r="D1111" s="1030" t="s">
        <v>3141</v>
      </c>
      <c r="E1111" t="s">
        <v>3142</v>
      </c>
      <c r="F1111" t="s">
        <v>2649</v>
      </c>
      <c r="G1111" t="s">
        <v>22</v>
      </c>
      <c r="H1111" t="s">
        <v>22</v>
      </c>
      <c r="I1111" t="s">
        <v>1775</v>
      </c>
    </row>
    <row r="1112" spans="1:9" ht="11.25" customHeight="1">
      <c r="A1112" t="s">
        <v>2383</v>
      </c>
      <c r="B1112" t="s">
        <v>16</v>
      </c>
      <c r="C1112" s="1030" t="s">
        <v>4240</v>
      </c>
      <c r="D1112" s="1030" t="s">
        <v>4241</v>
      </c>
      <c r="E1112" t="s">
        <v>4242</v>
      </c>
      <c r="F1112" t="s">
        <v>2425</v>
      </c>
      <c r="G1112" t="s">
        <v>22</v>
      </c>
      <c r="H1112" t="s">
        <v>22</v>
      </c>
      <c r="I1112" t="s">
        <v>1775</v>
      </c>
    </row>
    <row r="1113" spans="1:9" ht="11.25" customHeight="1">
      <c r="A1113" t="s">
        <v>2383</v>
      </c>
      <c r="B1113" t="s">
        <v>16</v>
      </c>
      <c r="C1113" s="1030" t="s">
        <v>4243</v>
      </c>
      <c r="D1113" s="1030" t="s">
        <v>4244</v>
      </c>
      <c r="E1113" t="s">
        <v>4245</v>
      </c>
      <c r="F1113" t="s">
        <v>2461</v>
      </c>
      <c r="G1113" t="s">
        <v>22</v>
      </c>
      <c r="H1113" t="s">
        <v>22</v>
      </c>
      <c r="I1113" t="s">
        <v>1775</v>
      </c>
    </row>
    <row r="1114" spans="1:9" ht="11.25" customHeight="1">
      <c r="A1114" t="s">
        <v>2383</v>
      </c>
      <c r="B1114" t="s">
        <v>16</v>
      </c>
      <c r="C1114" s="1030" t="s">
        <v>4246</v>
      </c>
      <c r="D1114" s="1030" t="s">
        <v>4247</v>
      </c>
      <c r="E1114" t="s">
        <v>4248</v>
      </c>
      <c r="F1114" t="s">
        <v>3146</v>
      </c>
      <c r="G1114" t="s">
        <v>22</v>
      </c>
      <c r="H1114" t="s">
        <v>22</v>
      </c>
      <c r="I1114" t="s">
        <v>1775</v>
      </c>
    </row>
    <row r="1115" spans="1:9" ht="11.25" customHeight="1">
      <c r="A1115" t="s">
        <v>2383</v>
      </c>
      <c r="B1115" t="s">
        <v>16</v>
      </c>
      <c r="C1115" s="1030" t="s">
        <v>4249</v>
      </c>
      <c r="D1115" s="1030" t="s">
        <v>4250</v>
      </c>
      <c r="E1115" t="s">
        <v>4251</v>
      </c>
      <c r="F1115" t="s">
        <v>2418</v>
      </c>
      <c r="G1115" t="s">
        <v>22</v>
      </c>
      <c r="H1115" t="s">
        <v>22</v>
      </c>
      <c r="I1115" t="s">
        <v>1775</v>
      </c>
    </row>
    <row r="1116" spans="1:9" ht="11.25" customHeight="1">
      <c r="A1116" t="s">
        <v>2383</v>
      </c>
      <c r="B1116" t="s">
        <v>16</v>
      </c>
      <c r="C1116" s="1030" t="s">
        <v>4252</v>
      </c>
      <c r="D1116" s="1030" t="s">
        <v>4253</v>
      </c>
      <c r="E1116" t="s">
        <v>4254</v>
      </c>
      <c r="F1116" t="s">
        <v>4255</v>
      </c>
      <c r="G1116" t="s">
        <v>22</v>
      </c>
      <c r="H1116" t="s">
        <v>22</v>
      </c>
      <c r="I1116" t="s">
        <v>1775</v>
      </c>
    </row>
    <row r="1117" spans="1:9" ht="11.25" customHeight="1">
      <c r="A1117" t="s">
        <v>2383</v>
      </c>
      <c r="B1117" t="s">
        <v>16</v>
      </c>
      <c r="C1117" s="1030" t="s">
        <v>4023</v>
      </c>
      <c r="D1117" s="1030" t="s">
        <v>4024</v>
      </c>
      <c r="E1117" t="s">
        <v>4025</v>
      </c>
      <c r="F1117" t="s">
        <v>2629</v>
      </c>
      <c r="G1117" t="s">
        <v>22</v>
      </c>
      <c r="H1117" t="s">
        <v>22</v>
      </c>
      <c r="I1117" t="s">
        <v>1775</v>
      </c>
    </row>
    <row r="1118" spans="1:9" ht="11.25" customHeight="1">
      <c r="A1118" t="s">
        <v>2383</v>
      </c>
      <c r="B1118" t="s">
        <v>16</v>
      </c>
      <c r="C1118" s="1030" t="s">
        <v>4256</v>
      </c>
      <c r="D1118" s="1030" t="s">
        <v>4257</v>
      </c>
      <c r="E1118" t="s">
        <v>4258</v>
      </c>
      <c r="F1118" t="s">
        <v>2506</v>
      </c>
      <c r="G1118" t="s">
        <v>22</v>
      </c>
      <c r="H1118" t="s">
        <v>22</v>
      </c>
      <c r="I1118" t="s">
        <v>1775</v>
      </c>
    </row>
    <row r="1119" spans="1:9" ht="11.25" customHeight="1">
      <c r="A1119" t="s">
        <v>2383</v>
      </c>
      <c r="B1119" t="s">
        <v>16</v>
      </c>
      <c r="C1119" s="1030" t="s">
        <v>4259</v>
      </c>
      <c r="D1119" s="1030" t="s">
        <v>4260</v>
      </c>
      <c r="E1119" t="s">
        <v>4261</v>
      </c>
      <c r="F1119" t="s">
        <v>2688</v>
      </c>
      <c r="G1119" t="s">
        <v>22</v>
      </c>
      <c r="H1119" t="s">
        <v>22</v>
      </c>
      <c r="I1119" t="s">
        <v>1775</v>
      </c>
    </row>
    <row r="1120" spans="1:9" ht="11.25" customHeight="1">
      <c r="A1120" t="s">
        <v>2383</v>
      </c>
      <c r="B1120" t="s">
        <v>16</v>
      </c>
      <c r="C1120" s="1030" t="s">
        <v>4262</v>
      </c>
      <c r="D1120" s="1030" t="s">
        <v>4263</v>
      </c>
      <c r="E1120" t="s">
        <v>4264</v>
      </c>
      <c r="F1120" t="s">
        <v>4265</v>
      </c>
      <c r="G1120" t="s">
        <v>4266</v>
      </c>
      <c r="H1120" t="s">
        <v>22</v>
      </c>
      <c r="I1120" t="s">
        <v>1775</v>
      </c>
    </row>
    <row r="1121" spans="1:9" ht="11.25" customHeight="1">
      <c r="A1121" t="s">
        <v>2383</v>
      </c>
      <c r="B1121" t="s">
        <v>16</v>
      </c>
      <c r="C1121" s="1030" t="s">
        <v>4267</v>
      </c>
      <c r="D1121" s="1030" t="s">
        <v>4268</v>
      </c>
      <c r="E1121" t="s">
        <v>4269</v>
      </c>
      <c r="F1121" t="s">
        <v>50</v>
      </c>
      <c r="G1121" t="s">
        <v>22</v>
      </c>
      <c r="H1121" t="s">
        <v>22</v>
      </c>
      <c r="I1121" t="s">
        <v>1775</v>
      </c>
    </row>
    <row r="1122" spans="1:9" ht="11.25" customHeight="1">
      <c r="A1122" t="s">
        <v>2383</v>
      </c>
      <c r="B1122" t="s">
        <v>16</v>
      </c>
      <c r="C1122" s="1030" t="s">
        <v>4270</v>
      </c>
      <c r="D1122" s="1030" t="s">
        <v>4271</v>
      </c>
      <c r="E1122" t="s">
        <v>4272</v>
      </c>
      <c r="F1122" t="s">
        <v>2688</v>
      </c>
      <c r="G1122" t="s">
        <v>22</v>
      </c>
      <c r="H1122" t="s">
        <v>22</v>
      </c>
      <c r="I1122" t="s">
        <v>1775</v>
      </c>
    </row>
    <row r="1123" spans="1:9" ht="11.25" customHeight="1">
      <c r="A1123" t="s">
        <v>2383</v>
      </c>
      <c r="B1123" t="s">
        <v>16</v>
      </c>
      <c r="C1123" s="1030" t="s">
        <v>4273</v>
      </c>
      <c r="D1123" s="1030" t="s">
        <v>4274</v>
      </c>
      <c r="E1123" t="s">
        <v>4275</v>
      </c>
      <c r="F1123" t="s">
        <v>2391</v>
      </c>
      <c r="G1123" t="s">
        <v>22</v>
      </c>
      <c r="H1123" t="s">
        <v>22</v>
      </c>
      <c r="I1123" t="s">
        <v>1775</v>
      </c>
    </row>
    <row r="1124" spans="1:9" ht="11.25" customHeight="1">
      <c r="A1124" t="s">
        <v>2383</v>
      </c>
      <c r="B1124" t="s">
        <v>16</v>
      </c>
      <c r="C1124" s="1030" t="s">
        <v>4276</v>
      </c>
      <c r="D1124" s="1030" t="s">
        <v>4277</v>
      </c>
      <c r="E1124" t="s">
        <v>4275</v>
      </c>
      <c r="F1124" t="s">
        <v>4278</v>
      </c>
      <c r="G1124" t="s">
        <v>22</v>
      </c>
      <c r="H1124" t="s">
        <v>22</v>
      </c>
      <c r="I1124" t="s">
        <v>1775</v>
      </c>
    </row>
    <row r="1125" spans="1:9" ht="11.25" customHeight="1">
      <c r="A1125" t="s">
        <v>2383</v>
      </c>
      <c r="B1125" t="s">
        <v>16</v>
      </c>
      <c r="C1125" s="1030" t="s">
        <v>4279</v>
      </c>
      <c r="D1125" s="1030" t="s">
        <v>4280</v>
      </c>
      <c r="E1125" t="s">
        <v>4281</v>
      </c>
      <c r="F1125" t="s">
        <v>3100</v>
      </c>
      <c r="G1125" t="s">
        <v>22</v>
      </c>
      <c r="H1125" t="s">
        <v>22</v>
      </c>
      <c r="I1125" t="s">
        <v>1775</v>
      </c>
    </row>
    <row r="1126" spans="1:9" ht="11.25" customHeight="1">
      <c r="A1126" t="s">
        <v>2383</v>
      </c>
      <c r="B1126" t="s">
        <v>16</v>
      </c>
      <c r="C1126" s="1030" t="s">
        <v>4282</v>
      </c>
      <c r="D1126" s="1030" t="s">
        <v>4283</v>
      </c>
      <c r="E1126" t="s">
        <v>4284</v>
      </c>
      <c r="F1126" t="s">
        <v>2688</v>
      </c>
      <c r="G1126" t="s">
        <v>22</v>
      </c>
      <c r="H1126" t="s">
        <v>22</v>
      </c>
      <c r="I1126" t="s">
        <v>1775</v>
      </c>
    </row>
    <row r="1127" spans="1:9" ht="11.25" customHeight="1">
      <c r="A1127" t="s">
        <v>2383</v>
      </c>
      <c r="B1127" t="s">
        <v>16</v>
      </c>
      <c r="C1127" s="1030" t="s">
        <v>4285</v>
      </c>
      <c r="D1127" s="1030" t="s">
        <v>4286</v>
      </c>
      <c r="E1127" t="s">
        <v>4287</v>
      </c>
      <c r="F1127" t="s">
        <v>2688</v>
      </c>
      <c r="G1127" t="s">
        <v>22</v>
      </c>
      <c r="H1127" t="s">
        <v>22</v>
      </c>
      <c r="I1127" t="s">
        <v>1775</v>
      </c>
    </row>
    <row r="1128" spans="1:9" ht="11.25" customHeight="1">
      <c r="A1128" t="s">
        <v>2383</v>
      </c>
      <c r="B1128" t="s">
        <v>16</v>
      </c>
      <c r="C1128" s="1030" t="s">
        <v>4288</v>
      </c>
      <c r="D1128" s="1030" t="s">
        <v>4289</v>
      </c>
      <c r="E1128" t="s">
        <v>4290</v>
      </c>
      <c r="F1128" t="s">
        <v>2506</v>
      </c>
      <c r="G1128" t="s">
        <v>22</v>
      </c>
      <c r="H1128" t="s">
        <v>22</v>
      </c>
      <c r="I1128" t="s">
        <v>1775</v>
      </c>
    </row>
    <row r="1129" spans="1:9" ht="11.25" customHeight="1">
      <c r="A1129" t="s">
        <v>2383</v>
      </c>
      <c r="B1129" t="s">
        <v>16</v>
      </c>
      <c r="C1129" s="1030" t="s">
        <v>4291</v>
      </c>
      <c r="D1129" s="1030" t="s">
        <v>4292</v>
      </c>
      <c r="E1129" t="s">
        <v>4293</v>
      </c>
      <c r="F1129" t="s">
        <v>2506</v>
      </c>
      <c r="G1129" t="s">
        <v>22</v>
      </c>
      <c r="H1129" t="s">
        <v>22</v>
      </c>
      <c r="I1129" t="s">
        <v>1775</v>
      </c>
    </row>
    <row r="1130" spans="1:9" ht="11.25" customHeight="1">
      <c r="A1130" t="s">
        <v>2383</v>
      </c>
      <c r="B1130" t="s">
        <v>16</v>
      </c>
      <c r="C1130" s="1030" t="s">
        <v>4294</v>
      </c>
      <c r="D1130" s="1030" t="s">
        <v>4295</v>
      </c>
      <c r="E1130" t="s">
        <v>4296</v>
      </c>
      <c r="F1130" t="s">
        <v>2391</v>
      </c>
      <c r="G1130" t="s">
        <v>22</v>
      </c>
      <c r="H1130" t="s">
        <v>22</v>
      </c>
      <c r="I1130" t="s">
        <v>1775</v>
      </c>
    </row>
    <row r="1131" spans="1:9" ht="11.25" customHeight="1">
      <c r="A1131" t="s">
        <v>2383</v>
      </c>
      <c r="B1131" t="s">
        <v>16</v>
      </c>
      <c r="C1131" s="1030" t="s">
        <v>4297</v>
      </c>
      <c r="D1131" s="1030" t="s">
        <v>4298</v>
      </c>
      <c r="E1131" t="s">
        <v>4299</v>
      </c>
      <c r="F1131" t="s">
        <v>4300</v>
      </c>
      <c r="G1131" t="s">
        <v>22</v>
      </c>
      <c r="H1131" t="s">
        <v>22</v>
      </c>
      <c r="I1131" t="s">
        <v>1775</v>
      </c>
    </row>
    <row r="1132" spans="1:9" ht="11.25" customHeight="1">
      <c r="A1132" t="s">
        <v>2383</v>
      </c>
      <c r="B1132" t="s">
        <v>16</v>
      </c>
      <c r="C1132" s="1030" t="s">
        <v>4301</v>
      </c>
      <c r="D1132" s="1030" t="s">
        <v>4302</v>
      </c>
      <c r="E1132" t="s">
        <v>4303</v>
      </c>
      <c r="F1132" t="s">
        <v>4304</v>
      </c>
      <c r="G1132" t="s">
        <v>22</v>
      </c>
      <c r="H1132" t="s">
        <v>22</v>
      </c>
      <c r="I1132" t="s">
        <v>1775</v>
      </c>
    </row>
    <row r="1133" spans="1:9" ht="11.25" customHeight="1">
      <c r="A1133" t="s">
        <v>2383</v>
      </c>
      <c r="B1133" t="s">
        <v>16</v>
      </c>
      <c r="C1133" s="1030" t="s">
        <v>4305</v>
      </c>
      <c r="D1133" s="1030" t="s">
        <v>4306</v>
      </c>
      <c r="E1133" t="s">
        <v>4307</v>
      </c>
      <c r="F1133" t="s">
        <v>2461</v>
      </c>
      <c r="G1133" t="s">
        <v>4308</v>
      </c>
      <c r="H1133" t="s">
        <v>22</v>
      </c>
      <c r="I1133" t="s">
        <v>1775</v>
      </c>
    </row>
    <row r="1134" spans="1:9" ht="11.25" customHeight="1">
      <c r="A1134" t="s">
        <v>2383</v>
      </c>
      <c r="B1134" t="s">
        <v>16</v>
      </c>
      <c r="C1134" s="1030" t="s">
        <v>4309</v>
      </c>
      <c r="D1134" s="1030" t="s">
        <v>4310</v>
      </c>
      <c r="E1134" t="s">
        <v>4311</v>
      </c>
      <c r="F1134" t="s">
        <v>2391</v>
      </c>
      <c r="G1134" t="s">
        <v>22</v>
      </c>
      <c r="H1134" t="s">
        <v>22</v>
      </c>
      <c r="I1134" t="s">
        <v>1775</v>
      </c>
    </row>
    <row r="1135" spans="1:9" ht="11.25" customHeight="1">
      <c r="A1135" t="s">
        <v>2383</v>
      </c>
      <c r="B1135" t="s">
        <v>16</v>
      </c>
      <c r="C1135" s="1030" t="s">
        <v>22</v>
      </c>
      <c r="D1135" s="1030" t="s">
        <v>3731</v>
      </c>
      <c r="E1135" t="s">
        <v>3732</v>
      </c>
      <c r="F1135" t="s">
        <v>2391</v>
      </c>
      <c r="G1135" t="s">
        <v>22</v>
      </c>
      <c r="H1135" t="s">
        <v>22</v>
      </c>
      <c r="I1135" t="s">
        <v>1775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41" t="s">
        <v>4312</v>
      </c>
      <c r="B1" s="41" t="s">
        <v>4313</v>
      </c>
      <c r="C1" s="41" t="s">
        <v>4314</v>
      </c>
      <c r="D1" s="41" t="s">
        <v>4315</v>
      </c>
      <c r="E1" t="s">
        <v>4316</v>
      </c>
      <c r="F1" t="s">
        <v>4317</v>
      </c>
      <c r="G1" t="s">
        <v>4318</v>
      </c>
    </row>
    <row r="2" spans="1:7" ht="11.25" customHeight="1">
      <c r="A2" s="41" t="s">
        <v>16</v>
      </c>
      <c r="B2" t="s">
        <v>4319</v>
      </c>
      <c r="C2" t="s">
        <v>4320</v>
      </c>
      <c r="D2" t="s">
        <v>4319</v>
      </c>
      <c r="E2" t="s">
        <v>4320</v>
      </c>
      <c r="F2" t="s">
        <v>4321</v>
      </c>
      <c r="G2" t="s">
        <v>114</v>
      </c>
    </row>
    <row r="3" spans="1:7" ht="11.25" customHeight="1">
      <c r="A3" s="41" t="s">
        <v>16</v>
      </c>
      <c r="B3" t="s">
        <v>4322</v>
      </c>
      <c r="C3" t="s">
        <v>4323</v>
      </c>
      <c r="D3" t="s">
        <v>4322</v>
      </c>
      <c r="E3" t="s">
        <v>4323</v>
      </c>
      <c r="F3" t="s">
        <v>4321</v>
      </c>
      <c r="G3" t="s">
        <v>102</v>
      </c>
    </row>
    <row r="4" spans="1:7" ht="11.25" customHeight="1">
      <c r="A4" s="41" t="s">
        <v>16</v>
      </c>
      <c r="B4" t="s">
        <v>4324</v>
      </c>
      <c r="C4" t="s">
        <v>4325</v>
      </c>
      <c r="D4" t="s">
        <v>4324</v>
      </c>
      <c r="E4" t="s">
        <v>4325</v>
      </c>
      <c r="F4" t="s">
        <v>4321</v>
      </c>
      <c r="G4" t="s">
        <v>89</v>
      </c>
    </row>
    <row r="5" spans="1:7" ht="11.25" customHeight="1">
      <c r="A5" s="41" t="s">
        <v>16</v>
      </c>
      <c r="B5" t="s">
        <v>4326</v>
      </c>
      <c r="C5" t="s">
        <v>4327</v>
      </c>
      <c r="D5" t="s">
        <v>4326</v>
      </c>
      <c r="E5" t="s">
        <v>4327</v>
      </c>
      <c r="F5" t="s">
        <v>4321</v>
      </c>
      <c r="G5" t="s">
        <v>90</v>
      </c>
    </row>
    <row r="6" spans="1:7" ht="11.25" customHeight="1">
      <c r="A6" s="41" t="s">
        <v>16</v>
      </c>
      <c r="B6" t="s">
        <v>4328</v>
      </c>
      <c r="C6" t="s">
        <v>4329</v>
      </c>
      <c r="D6" t="s">
        <v>4328</v>
      </c>
      <c r="E6" t="s">
        <v>4329</v>
      </c>
      <c r="F6" t="s">
        <v>4321</v>
      </c>
      <c r="G6" t="s">
        <v>115</v>
      </c>
    </row>
    <row r="7" spans="1:7" ht="11.25" customHeight="1">
      <c r="A7" s="41" t="s">
        <v>16</v>
      </c>
      <c r="B7" t="s">
        <v>4330</v>
      </c>
      <c r="C7" t="s">
        <v>4331</v>
      </c>
      <c r="D7" t="s">
        <v>4330</v>
      </c>
      <c r="E7" t="s">
        <v>4331</v>
      </c>
      <c r="F7" t="s">
        <v>4321</v>
      </c>
      <c r="G7" t="s">
        <v>91</v>
      </c>
    </row>
    <row r="8" spans="1:7" ht="11.25" customHeight="1">
      <c r="A8" s="41" t="s">
        <v>16</v>
      </c>
      <c r="B8" t="s">
        <v>4332</v>
      </c>
      <c r="C8" t="s">
        <v>4333</v>
      </c>
      <c r="D8" t="s">
        <v>4332</v>
      </c>
      <c r="E8" t="s">
        <v>4333</v>
      </c>
      <c r="F8" t="s">
        <v>4321</v>
      </c>
      <c r="G8" t="s">
        <v>92</v>
      </c>
    </row>
    <row r="9" spans="1:7" ht="11.25" customHeight="1">
      <c r="A9" s="41" t="s">
        <v>16</v>
      </c>
      <c r="B9" t="s">
        <v>4334</v>
      </c>
      <c r="C9" t="s">
        <v>4335</v>
      </c>
      <c r="D9" t="s">
        <v>4334</v>
      </c>
      <c r="E9" t="s">
        <v>4335</v>
      </c>
      <c r="F9" t="s">
        <v>4321</v>
      </c>
      <c r="G9" t="s">
        <v>116</v>
      </c>
    </row>
    <row r="10" spans="1:7" ht="11.25" customHeight="1">
      <c r="A10" s="41" t="s">
        <v>16</v>
      </c>
      <c r="B10" t="s">
        <v>4336</v>
      </c>
      <c r="C10" t="s">
        <v>4337</v>
      </c>
      <c r="D10" t="s">
        <v>4336</v>
      </c>
      <c r="E10" t="s">
        <v>4337</v>
      </c>
      <c r="F10" t="s">
        <v>4321</v>
      </c>
      <c r="G10" t="s">
        <v>158</v>
      </c>
    </row>
    <row r="11" spans="1:7" ht="11.25" customHeight="1">
      <c r="A11" s="41" t="s">
        <v>16</v>
      </c>
      <c r="B11" t="s">
        <v>4338</v>
      </c>
      <c r="C11" t="s">
        <v>4339</v>
      </c>
      <c r="D11" t="s">
        <v>4338</v>
      </c>
      <c r="E11" t="s">
        <v>4339</v>
      </c>
      <c r="F11" t="s">
        <v>4321</v>
      </c>
      <c r="G11" t="s">
        <v>159</v>
      </c>
    </row>
    <row r="12" spans="1:7" ht="11.25" customHeight="1">
      <c r="A12" s="41" t="s">
        <v>16</v>
      </c>
      <c r="B12" t="s">
        <v>4340</v>
      </c>
      <c r="C12" t="s">
        <v>4341</v>
      </c>
      <c r="D12" t="s">
        <v>4340</v>
      </c>
      <c r="E12" t="s">
        <v>4341</v>
      </c>
      <c r="F12" t="s">
        <v>4321</v>
      </c>
      <c r="G12" t="s">
        <v>160</v>
      </c>
    </row>
    <row r="13" spans="1:7" ht="11.25" customHeight="1">
      <c r="A13" s="41" t="s">
        <v>16</v>
      </c>
      <c r="B13" t="s">
        <v>4342</v>
      </c>
      <c r="C13" t="s">
        <v>4343</v>
      </c>
      <c r="D13" t="s">
        <v>4342</v>
      </c>
      <c r="E13" t="s">
        <v>4343</v>
      </c>
      <c r="F13" t="s">
        <v>4321</v>
      </c>
      <c r="G13" t="s">
        <v>161</v>
      </c>
    </row>
    <row r="14" spans="1:7" ht="11.25" customHeight="1">
      <c r="A14" s="41" t="s">
        <v>16</v>
      </c>
      <c r="B14" t="s">
        <v>4344</v>
      </c>
      <c r="C14" t="s">
        <v>4345</v>
      </c>
      <c r="D14" t="s">
        <v>4344</v>
      </c>
      <c r="E14" t="s">
        <v>4345</v>
      </c>
      <c r="F14" t="s">
        <v>4346</v>
      </c>
      <c r="G14" t="s">
        <v>162</v>
      </c>
    </row>
    <row r="15" spans="1:7" ht="11.25" customHeight="1">
      <c r="A15" s="41" t="s">
        <v>16</v>
      </c>
      <c r="B15" t="s">
        <v>4347</v>
      </c>
      <c r="C15" t="s">
        <v>4348</v>
      </c>
      <c r="D15" t="s">
        <v>4347</v>
      </c>
      <c r="E15" t="s">
        <v>4348</v>
      </c>
      <c r="F15" t="s">
        <v>4321</v>
      </c>
      <c r="G15" t="s">
        <v>163</v>
      </c>
    </row>
    <row r="16" spans="1:7" ht="11.25" customHeight="1">
      <c r="A16" s="41" t="s">
        <v>16</v>
      </c>
      <c r="B16" t="s">
        <v>4349</v>
      </c>
      <c r="C16" t="s">
        <v>4350</v>
      </c>
      <c r="D16" t="s">
        <v>4349</v>
      </c>
      <c r="E16" t="s">
        <v>4350</v>
      </c>
      <c r="F16" t="s">
        <v>4321</v>
      </c>
      <c r="G16" t="s">
        <v>1127</v>
      </c>
    </row>
    <row r="17" spans="1:7" ht="11.25" customHeight="1">
      <c r="A17" s="41" t="s">
        <v>16</v>
      </c>
      <c r="B17" t="s">
        <v>4351</v>
      </c>
      <c r="C17" t="s">
        <v>4352</v>
      </c>
      <c r="D17" t="s">
        <v>4351</v>
      </c>
      <c r="E17" t="s">
        <v>4352</v>
      </c>
      <c r="F17" t="s">
        <v>4321</v>
      </c>
      <c r="G17" t="s">
        <v>1129</v>
      </c>
    </row>
    <row r="18" spans="1:7" ht="11.25" customHeight="1">
      <c r="A18" s="41" t="s">
        <v>16</v>
      </c>
      <c r="B18" t="s">
        <v>4353</v>
      </c>
      <c r="C18" t="s">
        <v>4354</v>
      </c>
      <c r="D18" t="s">
        <v>4353</v>
      </c>
      <c r="E18" t="s">
        <v>4354</v>
      </c>
      <c r="F18" t="s">
        <v>4321</v>
      </c>
      <c r="G18" t="s">
        <v>1131</v>
      </c>
    </row>
    <row r="19" spans="1:7" ht="11.25" customHeight="1">
      <c r="A19" s="41" t="s">
        <v>16</v>
      </c>
      <c r="B19" t="s">
        <v>4355</v>
      </c>
      <c r="C19" t="s">
        <v>4356</v>
      </c>
      <c r="D19" t="s">
        <v>4355</v>
      </c>
      <c r="E19" t="s">
        <v>4356</v>
      </c>
      <c r="F19" t="s">
        <v>4321</v>
      </c>
      <c r="G19" t="s">
        <v>1132</v>
      </c>
    </row>
    <row r="20" spans="1:7" ht="11.25" customHeight="1">
      <c r="A20" s="41" t="s">
        <v>16</v>
      </c>
      <c r="B20" t="s">
        <v>4357</v>
      </c>
      <c r="C20" t="s">
        <v>4358</v>
      </c>
      <c r="D20" t="s">
        <v>4357</v>
      </c>
      <c r="E20" t="s">
        <v>4358</v>
      </c>
      <c r="F20" t="s">
        <v>4346</v>
      </c>
      <c r="G20" t="s">
        <v>1134</v>
      </c>
    </row>
    <row r="21" spans="1:7" ht="11.25" customHeight="1">
      <c r="A21" s="41" t="s">
        <v>16</v>
      </c>
      <c r="B21" t="s">
        <v>4359</v>
      </c>
      <c r="C21" t="s">
        <v>4360</v>
      </c>
      <c r="D21" t="s">
        <v>4359</v>
      </c>
      <c r="E21" t="s">
        <v>4360</v>
      </c>
      <c r="F21" t="s">
        <v>4321</v>
      </c>
      <c r="G21" t="s">
        <v>1136</v>
      </c>
    </row>
    <row r="22" spans="1:7" ht="11.25" customHeight="1">
      <c r="A22" s="41" t="s">
        <v>16</v>
      </c>
      <c r="B22" t="s">
        <v>4361</v>
      </c>
      <c r="C22" t="s">
        <v>4362</v>
      </c>
      <c r="D22" t="s">
        <v>4361</v>
      </c>
      <c r="E22" t="s">
        <v>4362</v>
      </c>
      <c r="F22" t="s">
        <v>4321</v>
      </c>
      <c r="G22" t="s">
        <v>1143</v>
      </c>
    </row>
    <row r="23" spans="1:7" ht="11.25" customHeight="1">
      <c r="A23" s="41" t="s">
        <v>16</v>
      </c>
      <c r="B23" t="s">
        <v>4363</v>
      </c>
      <c r="C23" t="s">
        <v>4364</v>
      </c>
      <c r="D23" t="s">
        <v>4363</v>
      </c>
      <c r="E23" t="s">
        <v>4364</v>
      </c>
      <c r="F23" t="s">
        <v>4321</v>
      </c>
      <c r="G23" t="s">
        <v>1144</v>
      </c>
    </row>
    <row r="24" spans="1:7" ht="11.25" customHeight="1">
      <c r="A24" s="41" t="s">
        <v>16</v>
      </c>
      <c r="B24" t="s">
        <v>4365</v>
      </c>
      <c r="C24" t="s">
        <v>4366</v>
      </c>
      <c r="D24" t="s">
        <v>4365</v>
      </c>
      <c r="E24" t="s">
        <v>4366</v>
      </c>
      <c r="F24" t="s">
        <v>4321</v>
      </c>
      <c r="G24" t="s">
        <v>1145</v>
      </c>
    </row>
    <row r="25" spans="1:7" ht="11.25" customHeight="1">
      <c r="A25" s="41" t="s">
        <v>16</v>
      </c>
      <c r="B25" t="s">
        <v>106</v>
      </c>
      <c r="C25" t="s">
        <v>107</v>
      </c>
      <c r="D25" t="s">
        <v>106</v>
      </c>
      <c r="E25" t="s">
        <v>107</v>
      </c>
      <c r="F25" t="s">
        <v>4321</v>
      </c>
      <c r="G25" t="s">
        <v>105</v>
      </c>
    </row>
    <row r="26" spans="1:7" ht="11.25" customHeight="1">
      <c r="A26" s="41" t="s">
        <v>16</v>
      </c>
      <c r="B26" t="s">
        <v>4367</v>
      </c>
      <c r="C26" t="s">
        <v>4368</v>
      </c>
      <c r="D26" t="s">
        <v>4367</v>
      </c>
      <c r="E26" t="s">
        <v>4368</v>
      </c>
      <c r="F26" t="s">
        <v>4321</v>
      </c>
      <c r="G26" t="s">
        <v>1158</v>
      </c>
    </row>
    <row r="27" spans="1:7" ht="11.25" customHeight="1">
      <c r="A27" s="41" t="s">
        <v>16</v>
      </c>
      <c r="B27" t="s">
        <v>4369</v>
      </c>
      <c r="C27" t="s">
        <v>4370</v>
      </c>
      <c r="D27" t="s">
        <v>4369</v>
      </c>
      <c r="E27" t="s">
        <v>4370</v>
      </c>
      <c r="F27" t="s">
        <v>4321</v>
      </c>
      <c r="G27" t="s">
        <v>1160</v>
      </c>
    </row>
    <row r="28" spans="1:7" ht="11.25" customHeight="1">
      <c r="A28" s="41" t="s">
        <v>16</v>
      </c>
      <c r="B28" t="s">
        <v>4371</v>
      </c>
      <c r="C28" t="s">
        <v>4372</v>
      </c>
      <c r="D28" t="s">
        <v>4371</v>
      </c>
      <c r="E28" t="s">
        <v>4372</v>
      </c>
      <c r="F28" t="s">
        <v>4346</v>
      </c>
      <c r="G28" t="s">
        <v>1162</v>
      </c>
    </row>
    <row r="29" spans="1:7" ht="11.25" customHeight="1">
      <c r="A29" s="41" t="s">
        <v>16</v>
      </c>
      <c r="B29" t="s">
        <v>4373</v>
      </c>
      <c r="C29" t="s">
        <v>4374</v>
      </c>
      <c r="D29" t="s">
        <v>4373</v>
      </c>
      <c r="E29" t="s">
        <v>4374</v>
      </c>
      <c r="F29" t="s">
        <v>4321</v>
      </c>
      <c r="G29" t="s">
        <v>1164</v>
      </c>
    </row>
    <row r="30" spans="1:7" ht="11.25" customHeight="1">
      <c r="A30" s="41" t="s">
        <v>16</v>
      </c>
      <c r="B30" t="s">
        <v>4375</v>
      </c>
      <c r="C30" t="s">
        <v>4376</v>
      </c>
      <c r="D30" t="s">
        <v>4375</v>
      </c>
      <c r="E30" t="s">
        <v>4376</v>
      </c>
      <c r="F30" t="s">
        <v>4346</v>
      </c>
      <c r="G30" t="s">
        <v>1166</v>
      </c>
    </row>
    <row r="31" spans="1:7" ht="11.25" customHeight="1">
      <c r="A31" s="41" t="s">
        <v>16</v>
      </c>
      <c r="B31" t="s">
        <v>4377</v>
      </c>
      <c r="C31" t="s">
        <v>4378</v>
      </c>
      <c r="D31" t="s">
        <v>4377</v>
      </c>
      <c r="E31" t="s">
        <v>4378</v>
      </c>
      <c r="F31" t="s">
        <v>4321</v>
      </c>
      <c r="G31" t="s">
        <v>1168</v>
      </c>
    </row>
    <row r="32" spans="1:7" ht="11.25" customHeight="1">
      <c r="A32" s="41" t="s">
        <v>16</v>
      </c>
      <c r="B32" t="s">
        <v>4379</v>
      </c>
      <c r="C32" t="s">
        <v>4380</v>
      </c>
      <c r="D32" t="s">
        <v>4379</v>
      </c>
      <c r="E32" t="s">
        <v>4380</v>
      </c>
      <c r="F32" t="s">
        <v>4321</v>
      </c>
      <c r="G32" t="s">
        <v>1170</v>
      </c>
    </row>
    <row r="33" spans="1:7" ht="11.25" customHeight="1">
      <c r="A33" s="41" t="s">
        <v>16</v>
      </c>
      <c r="B33" t="s">
        <v>4381</v>
      </c>
      <c r="C33" t="s">
        <v>4382</v>
      </c>
      <c r="D33" t="s">
        <v>4381</v>
      </c>
      <c r="E33" t="s">
        <v>4382</v>
      </c>
      <c r="F33" t="s">
        <v>4346</v>
      </c>
      <c r="G33" t="s">
        <v>1172</v>
      </c>
    </row>
    <row r="34" spans="1:7" ht="11.25" customHeight="1">
      <c r="A34" s="41" t="s">
        <v>16</v>
      </c>
      <c r="B34" t="s">
        <v>4383</v>
      </c>
      <c r="C34" t="s">
        <v>4384</v>
      </c>
      <c r="D34" t="s">
        <v>4383</v>
      </c>
      <c r="E34" t="s">
        <v>4384</v>
      </c>
      <c r="F34" t="s">
        <v>4321</v>
      </c>
      <c r="G34" t="s">
        <v>1174</v>
      </c>
    </row>
    <row r="35" spans="1:7" ht="11.25" customHeight="1">
      <c r="A35" s="41" t="s">
        <v>16</v>
      </c>
      <c r="B35" t="s">
        <v>4385</v>
      </c>
      <c r="C35" t="s">
        <v>4386</v>
      </c>
      <c r="D35" t="s">
        <v>4385</v>
      </c>
      <c r="E35" t="s">
        <v>4386</v>
      </c>
      <c r="F35" t="s">
        <v>4321</v>
      </c>
      <c r="G35" t="s">
        <v>1176</v>
      </c>
    </row>
    <row r="36" spans="1:7" ht="11.25" customHeight="1">
      <c r="A36" s="41" t="s">
        <v>16</v>
      </c>
      <c r="B36" t="s">
        <v>4387</v>
      </c>
      <c r="C36" t="s">
        <v>4388</v>
      </c>
      <c r="D36" t="s">
        <v>4387</v>
      </c>
      <c r="E36" t="s">
        <v>4388</v>
      </c>
      <c r="F36" t="s">
        <v>4346</v>
      </c>
      <c r="G36" t="s">
        <v>1178</v>
      </c>
    </row>
    <row r="37" spans="1:7" ht="11.25" customHeight="1">
      <c r="A37" s="41" t="s">
        <v>16</v>
      </c>
      <c r="B37" t="s">
        <v>4389</v>
      </c>
      <c r="C37" t="s">
        <v>4390</v>
      </c>
      <c r="D37" t="s">
        <v>4389</v>
      </c>
      <c r="E37" t="s">
        <v>4390</v>
      </c>
      <c r="F37" t="s">
        <v>4321</v>
      </c>
      <c r="G37" t="s">
        <v>1180</v>
      </c>
    </row>
    <row r="38" spans="1:7" ht="11.25" customHeight="1">
      <c r="A38" s="41" t="s">
        <v>16</v>
      </c>
      <c r="B38" t="s">
        <v>4391</v>
      </c>
      <c r="C38" t="s">
        <v>4392</v>
      </c>
      <c r="D38" t="s">
        <v>4391</v>
      </c>
      <c r="E38" t="s">
        <v>4392</v>
      </c>
      <c r="F38" t="s">
        <v>4321</v>
      </c>
      <c r="G38" t="s">
        <v>1182</v>
      </c>
    </row>
    <row r="39" spans="1:7" ht="11.25" customHeight="1">
      <c r="A39" s="41" t="s">
        <v>16</v>
      </c>
      <c r="B39" t="s">
        <v>4393</v>
      </c>
      <c r="C39" t="s">
        <v>4394</v>
      </c>
      <c r="D39" t="s">
        <v>4393</v>
      </c>
      <c r="E39" t="s">
        <v>4394</v>
      </c>
      <c r="F39" t="s">
        <v>4321</v>
      </c>
      <c r="G39" t="s">
        <v>1184</v>
      </c>
    </row>
    <row r="40" spans="1:7" ht="11.25" customHeight="1">
      <c r="A40" s="41" t="s">
        <v>16</v>
      </c>
      <c r="B40" t="s">
        <v>4395</v>
      </c>
      <c r="C40" t="s">
        <v>4396</v>
      </c>
      <c r="D40" t="s">
        <v>4395</v>
      </c>
      <c r="E40" t="s">
        <v>4396</v>
      </c>
      <c r="F40" t="s">
        <v>4321</v>
      </c>
      <c r="G40" t="s">
        <v>1185</v>
      </c>
    </row>
    <row r="41" spans="1:7" ht="11.25" customHeight="1">
      <c r="A41" s="41" t="s">
        <v>16</v>
      </c>
      <c r="B41" t="s">
        <v>4397</v>
      </c>
      <c r="C41" t="s">
        <v>4398</v>
      </c>
      <c r="D41" t="s">
        <v>4397</v>
      </c>
      <c r="E41" t="s">
        <v>4398</v>
      </c>
      <c r="F41" t="s">
        <v>4321</v>
      </c>
      <c r="G41" t="s">
        <v>1186</v>
      </c>
    </row>
    <row r="42" spans="1:7" ht="11.25" customHeight="1">
      <c r="A42" s="41" t="s">
        <v>16</v>
      </c>
      <c r="B42" t="s">
        <v>4399</v>
      </c>
      <c r="C42" t="s">
        <v>4400</v>
      </c>
      <c r="D42" t="s">
        <v>4399</v>
      </c>
      <c r="E42" t="s">
        <v>4400</v>
      </c>
      <c r="F42" t="s">
        <v>4321</v>
      </c>
      <c r="G42" t="s">
        <v>1188</v>
      </c>
    </row>
    <row r="43" spans="1:7" ht="11.25" customHeight="1">
      <c r="A43" s="41" t="s">
        <v>16</v>
      </c>
      <c r="B43" t="s">
        <v>4401</v>
      </c>
      <c r="C43" t="s">
        <v>4402</v>
      </c>
      <c r="D43" t="s">
        <v>4401</v>
      </c>
      <c r="E43" t="s">
        <v>4402</v>
      </c>
      <c r="F43" t="s">
        <v>4321</v>
      </c>
      <c r="G43" t="s">
        <v>1189</v>
      </c>
    </row>
    <row r="44" spans="1:7" ht="11.25" customHeight="1">
      <c r="A44" s="41" t="s">
        <v>16</v>
      </c>
      <c r="B44" t="s">
        <v>4403</v>
      </c>
      <c r="C44" t="s">
        <v>4404</v>
      </c>
      <c r="D44" t="s">
        <v>4403</v>
      </c>
      <c r="E44" t="s">
        <v>4404</v>
      </c>
      <c r="F44" t="s">
        <v>4346</v>
      </c>
      <c r="G44" t="s">
        <v>1191</v>
      </c>
    </row>
    <row r="45" spans="1:7" ht="11.25" customHeight="1">
      <c r="A45" s="41" t="s">
        <v>16</v>
      </c>
      <c r="B45" t="s">
        <v>4405</v>
      </c>
      <c r="C45" t="s">
        <v>4406</v>
      </c>
      <c r="D45" t="s">
        <v>4405</v>
      </c>
      <c r="E45" t="s">
        <v>4406</v>
      </c>
      <c r="F45" t="s">
        <v>4346</v>
      </c>
      <c r="G45" t="s">
        <v>1799</v>
      </c>
    </row>
    <row r="46" spans="1:7" ht="11.25" customHeight="1">
      <c r="A46" s="41" t="s">
        <v>16</v>
      </c>
      <c r="B46" t="s">
        <v>4407</v>
      </c>
      <c r="C46" t="s">
        <v>4408</v>
      </c>
      <c r="D46" t="s">
        <v>4407</v>
      </c>
      <c r="E46" t="s">
        <v>4408</v>
      </c>
      <c r="F46" t="s">
        <v>4346</v>
      </c>
      <c r="G46" t="s">
        <v>1803</v>
      </c>
    </row>
    <row r="47" spans="1:7" ht="11.25" customHeight="1">
      <c r="A47" s="41" t="s">
        <v>16</v>
      </c>
      <c r="B47" t="s">
        <v>4409</v>
      </c>
      <c r="C47" t="s">
        <v>4410</v>
      </c>
      <c r="D47" t="s">
        <v>4409</v>
      </c>
      <c r="E47" t="s">
        <v>4410</v>
      </c>
      <c r="F47" t="s">
        <v>4346</v>
      </c>
      <c r="G47" t="s">
        <v>1808</v>
      </c>
    </row>
    <row r="48" spans="1:7" ht="11.25" customHeight="1">
      <c r="A48" s="41" t="s">
        <v>16</v>
      </c>
      <c r="B48" t="s">
        <v>4411</v>
      </c>
      <c r="C48" t="s">
        <v>4412</v>
      </c>
      <c r="D48" t="s">
        <v>4411</v>
      </c>
      <c r="E48" t="s">
        <v>4412</v>
      </c>
      <c r="F48" t="s">
        <v>4346</v>
      </c>
      <c r="G48" t="s">
        <v>1813</v>
      </c>
    </row>
    <row r="49" spans="1:7" ht="11.25" customHeight="1">
      <c r="A49" s="41" t="s">
        <v>16</v>
      </c>
      <c r="B49" t="s">
        <v>99</v>
      </c>
      <c r="C49" t="s">
        <v>100</v>
      </c>
      <c r="D49" t="s">
        <v>99</v>
      </c>
      <c r="E49" t="s">
        <v>100</v>
      </c>
      <c r="F49" t="s">
        <v>4346</v>
      </c>
      <c r="G49" t="s">
        <v>98</v>
      </c>
    </row>
    <row r="50" spans="1:7" ht="11.25" customHeight="1">
      <c r="A50" s="41" t="s">
        <v>16</v>
      </c>
      <c r="B50" t="s">
        <v>4413</v>
      </c>
      <c r="C50" t="s">
        <v>4414</v>
      </c>
      <c r="D50" t="s">
        <v>4413</v>
      </c>
      <c r="E50" t="s">
        <v>4414</v>
      </c>
      <c r="F50" t="s">
        <v>4346</v>
      </c>
      <c r="G50" t="s">
        <v>1819</v>
      </c>
    </row>
    <row r="51" spans="1:7" ht="11.25" customHeight="1">
      <c r="A51" s="41" t="s">
        <v>16</v>
      </c>
      <c r="B51" t="s">
        <v>4415</v>
      </c>
      <c r="C51" t="s">
        <v>4416</v>
      </c>
      <c r="D51" t="s">
        <v>4415</v>
      </c>
      <c r="E51" t="s">
        <v>4416</v>
      </c>
      <c r="F51" t="s">
        <v>4346</v>
      </c>
      <c r="G51" t="s">
        <v>1824</v>
      </c>
    </row>
    <row r="52" spans="1:7" ht="11.25" customHeight="1">
      <c r="A52" s="41" t="s">
        <v>16</v>
      </c>
      <c r="B52" t="s">
        <v>4417</v>
      </c>
      <c r="C52" t="s">
        <v>4418</v>
      </c>
      <c r="D52" t="s">
        <v>4417</v>
      </c>
      <c r="E52" t="s">
        <v>4418</v>
      </c>
      <c r="F52" t="s">
        <v>4346</v>
      </c>
      <c r="G52" t="s">
        <v>1828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1030" customWidth="1"/>
    <col min="2" max="2" width="10.42578125" style="1030" customWidth="1"/>
    <col min="3" max="3" width="7.5703125" style="1030" customWidth="1"/>
    <col min="4" max="4" width="13.85546875" style="1030" customWidth="1"/>
    <col min="5" max="5" width="11.5703125" style="1030" customWidth="1"/>
    <col min="6" max="6" width="16.28515625" style="1030" customWidth="1"/>
    <col min="7" max="7" width="16" style="1030" customWidth="1"/>
    <col min="8" max="9" width="16.140625" style="1030" customWidth="1"/>
  </cols>
  <sheetData>
    <row r="1" spans="1:9" ht="11.25" customHeight="1">
      <c r="A1" s="720" t="s">
        <v>4419</v>
      </c>
      <c r="B1" s="720" t="s">
        <v>4420</v>
      </c>
      <c r="C1" s="720" t="s">
        <v>4421</v>
      </c>
      <c r="D1" s="720" t="s">
        <v>4422</v>
      </c>
      <c r="E1" s="720" t="s">
        <v>4423</v>
      </c>
      <c r="F1" s="720" t="s">
        <v>4424</v>
      </c>
      <c r="G1" s="720" t="s">
        <v>4425</v>
      </c>
      <c r="H1" s="720" t="s">
        <v>4426</v>
      </c>
      <c r="I1" s="720" t="s">
        <v>4427</v>
      </c>
    </row>
    <row r="2" spans="1:9" ht="11.25" customHeight="1">
      <c r="A2" t="s">
        <v>114</v>
      </c>
      <c r="B2" t="s">
        <v>1005</v>
      </c>
      <c r="C2" t="s">
        <v>4428</v>
      </c>
      <c r="D2" t="s">
        <v>1009</v>
      </c>
      <c r="E2" t="s">
        <v>1010</v>
      </c>
      <c r="F2" t="s">
        <v>4429</v>
      </c>
      <c r="G2" t="s">
        <v>1012</v>
      </c>
      <c r="H2" t="s">
        <v>1013</v>
      </c>
      <c r="I2" t="s">
        <v>1014</v>
      </c>
    </row>
    <row r="3" spans="1:9" ht="11.25" customHeight="1">
      <c r="A3" t="s">
        <v>102</v>
      </c>
      <c r="B3" t="s">
        <v>1005</v>
      </c>
      <c r="C3" t="s">
        <v>4428</v>
      </c>
      <c r="D3" t="s">
        <v>1009</v>
      </c>
      <c r="E3" t="s">
        <v>1010</v>
      </c>
      <c r="F3" t="s">
        <v>4429</v>
      </c>
      <c r="G3" t="s">
        <v>1012</v>
      </c>
      <c r="H3" t="s">
        <v>1013</v>
      </c>
      <c r="I3" t="s">
        <v>1014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K206"/>
  <sheetViews>
    <sheetView workbookViewId="0"/>
  </sheetViews>
  <sheetFormatPr defaultRowHeight="11.25" customHeight="1"/>
  <sheetData>
    <row r="1" spans="1:37" ht="11.25" customHeight="1">
      <c r="A1" t="s">
        <v>2377</v>
      </c>
      <c r="B1" t="s">
        <v>2378</v>
      </c>
      <c r="C1" t="s">
        <v>2379</v>
      </c>
      <c r="D1" t="s">
        <v>4430</v>
      </c>
      <c r="E1" t="s">
        <v>4431</v>
      </c>
      <c r="F1" t="s">
        <v>4432</v>
      </c>
      <c r="G1" t="s">
        <v>4433</v>
      </c>
      <c r="H1" t="s">
        <v>4434</v>
      </c>
      <c r="I1" t="s">
        <v>4435</v>
      </c>
      <c r="J1" t="s">
        <v>4436</v>
      </c>
      <c r="K1" t="s">
        <v>4437</v>
      </c>
      <c r="L1" t="s">
        <v>4438</v>
      </c>
      <c r="M1" t="s">
        <v>4439</v>
      </c>
      <c r="N1" t="s">
        <v>4440</v>
      </c>
      <c r="O1" t="s">
        <v>4313</v>
      </c>
      <c r="P1" t="s">
        <v>4315</v>
      </c>
      <c r="Q1" t="s">
        <v>4316</v>
      </c>
      <c r="R1" t="s">
        <v>4441</v>
      </c>
      <c r="S1" t="s">
        <v>4442</v>
      </c>
      <c r="T1" t="s">
        <v>4443</v>
      </c>
      <c r="U1" t="s">
        <v>4444</v>
      </c>
      <c r="V1" t="s">
        <v>4445</v>
      </c>
      <c r="W1" t="s">
        <v>4446</v>
      </c>
      <c r="X1" t="s">
        <v>4447</v>
      </c>
      <c r="Y1" t="s">
        <v>4448</v>
      </c>
      <c r="Z1" t="s">
        <v>4449</v>
      </c>
      <c r="AA1" t="s">
        <v>4450</v>
      </c>
      <c r="AB1" t="s">
        <v>4451</v>
      </c>
      <c r="AC1" t="s">
        <v>4452</v>
      </c>
      <c r="AD1" t="s">
        <v>4453</v>
      </c>
      <c r="AE1" t="s">
        <v>4454</v>
      </c>
      <c r="AF1" t="s">
        <v>4455</v>
      </c>
      <c r="AG1" t="s">
        <v>4456</v>
      </c>
      <c r="AH1" t="s">
        <v>4457</v>
      </c>
      <c r="AI1" t="s">
        <v>4458</v>
      </c>
      <c r="AJ1" t="s">
        <v>4459</v>
      </c>
      <c r="AK1" t="s">
        <v>4460</v>
      </c>
    </row>
    <row r="2" spans="1:37" ht="11.25" customHeight="1">
      <c r="A2" t="s">
        <v>22</v>
      </c>
      <c r="B2" t="s">
        <v>48</v>
      </c>
      <c r="C2" t="s">
        <v>50</v>
      </c>
      <c r="D2" t="s">
        <v>22</v>
      </c>
      <c r="E2" t="s">
        <v>4461</v>
      </c>
      <c r="F2" t="s">
        <v>1075</v>
      </c>
      <c r="G2" t="s">
        <v>106</v>
      </c>
      <c r="H2" t="s">
        <v>106</v>
      </c>
      <c r="I2" t="s">
        <v>107</v>
      </c>
      <c r="J2" t="s">
        <v>4462</v>
      </c>
      <c r="K2" t="s">
        <v>4463</v>
      </c>
      <c r="L2" t="s">
        <v>4464</v>
      </c>
      <c r="M2" t="s">
        <v>782</v>
      </c>
      <c r="N2" t="s">
        <v>114</v>
      </c>
      <c r="O2" t="s">
        <v>106</v>
      </c>
      <c r="P2" t="s">
        <v>106</v>
      </c>
      <c r="Q2" t="s">
        <v>107</v>
      </c>
      <c r="R2" t="s">
        <v>4462</v>
      </c>
      <c r="S2" t="s">
        <v>4463</v>
      </c>
      <c r="T2" t="s">
        <v>4465</v>
      </c>
      <c r="U2" t="s">
        <v>4466</v>
      </c>
      <c r="V2" t="s">
        <v>4467</v>
      </c>
      <c r="W2" t="s">
        <v>4468</v>
      </c>
      <c r="X2" t="s">
        <v>4469</v>
      </c>
      <c r="Y2" t="s">
        <v>4466</v>
      </c>
      <c r="Z2" t="s">
        <v>1013</v>
      </c>
      <c r="AA2" t="s">
        <v>4470</v>
      </c>
      <c r="AB2" t="s">
        <v>4467</v>
      </c>
      <c r="AC2" t="s">
        <v>19</v>
      </c>
      <c r="AD2" t="s">
        <v>61</v>
      </c>
      <c r="AE2" t="s">
        <v>19</v>
      </c>
      <c r="AF2" t="s">
        <v>22</v>
      </c>
      <c r="AG2" t="s">
        <v>22</v>
      </c>
      <c r="AH2" t="s">
        <v>1143</v>
      </c>
      <c r="AI2" t="s">
        <v>161</v>
      </c>
      <c r="AJ2" t="s">
        <v>22</v>
      </c>
      <c r="AK2" t="s">
        <v>22</v>
      </c>
    </row>
    <row r="3" spans="1:37" ht="11.25" customHeight="1">
      <c r="A3" t="s">
        <v>22</v>
      </c>
      <c r="B3" t="s">
        <v>48</v>
      </c>
      <c r="C3" t="s">
        <v>50</v>
      </c>
      <c r="D3" t="s">
        <v>22</v>
      </c>
      <c r="E3" t="s">
        <v>4471</v>
      </c>
      <c r="F3" t="s">
        <v>1075</v>
      </c>
      <c r="G3" t="s">
        <v>106</v>
      </c>
      <c r="H3" t="s">
        <v>106</v>
      </c>
      <c r="I3" t="s">
        <v>107</v>
      </c>
      <c r="J3" t="s">
        <v>4472</v>
      </c>
      <c r="K3" t="s">
        <v>4473</v>
      </c>
      <c r="L3" t="s">
        <v>4474</v>
      </c>
      <c r="M3" t="s">
        <v>782</v>
      </c>
      <c r="N3" t="s">
        <v>114</v>
      </c>
      <c r="O3" t="s">
        <v>106</v>
      </c>
      <c r="P3" t="s">
        <v>106</v>
      </c>
      <c r="Q3" t="s">
        <v>107</v>
      </c>
      <c r="R3" t="s">
        <v>4472</v>
      </c>
      <c r="S3" t="s">
        <v>4473</v>
      </c>
      <c r="T3" t="s">
        <v>4465</v>
      </c>
      <c r="U3" t="s">
        <v>4466</v>
      </c>
      <c r="V3" t="s">
        <v>4467</v>
      </c>
      <c r="W3" t="s">
        <v>4475</v>
      </c>
      <c r="X3" t="s">
        <v>4469</v>
      </c>
      <c r="Y3" t="s">
        <v>4466</v>
      </c>
      <c r="Z3" t="s">
        <v>1013</v>
      </c>
      <c r="AA3" t="s">
        <v>4470</v>
      </c>
      <c r="AB3" t="s">
        <v>4467</v>
      </c>
      <c r="AC3" t="s">
        <v>19</v>
      </c>
      <c r="AD3" t="s">
        <v>61</v>
      </c>
      <c r="AE3" t="s">
        <v>19</v>
      </c>
      <c r="AF3" t="s">
        <v>22</v>
      </c>
      <c r="AG3" t="s">
        <v>22</v>
      </c>
      <c r="AH3" t="s">
        <v>115</v>
      </c>
      <c r="AI3" t="s">
        <v>90</v>
      </c>
      <c r="AJ3" t="s">
        <v>22</v>
      </c>
      <c r="AK3" t="s">
        <v>22</v>
      </c>
    </row>
    <row r="4" spans="1:37" ht="11.25" customHeight="1">
      <c r="A4" t="s">
        <v>22</v>
      </c>
      <c r="B4" t="s">
        <v>48</v>
      </c>
      <c r="C4" t="s">
        <v>50</v>
      </c>
      <c r="D4" t="s">
        <v>22</v>
      </c>
      <c r="E4" t="s">
        <v>1064</v>
      </c>
      <c r="F4" t="s">
        <v>1065</v>
      </c>
      <c r="G4" t="s">
        <v>99</v>
      </c>
      <c r="H4" t="s">
        <v>99</v>
      </c>
      <c r="I4" t="s">
        <v>100</v>
      </c>
      <c r="J4" t="s">
        <v>1066</v>
      </c>
      <c r="K4" t="s">
        <v>1067</v>
      </c>
      <c r="L4" t="s">
        <v>1068</v>
      </c>
      <c r="M4" t="s">
        <v>1069</v>
      </c>
      <c r="N4" t="s">
        <v>114</v>
      </c>
      <c r="O4" t="s">
        <v>4476</v>
      </c>
      <c r="P4" t="s">
        <v>4476</v>
      </c>
      <c r="Q4" t="s">
        <v>100</v>
      </c>
      <c r="R4" t="s">
        <v>1066</v>
      </c>
      <c r="S4" t="s">
        <v>1067</v>
      </c>
      <c r="T4" t="s">
        <v>4465</v>
      </c>
      <c r="U4" t="s">
        <v>4466</v>
      </c>
      <c r="V4" t="s">
        <v>4477</v>
      </c>
      <c r="W4" t="s">
        <v>4468</v>
      </c>
      <c r="X4" t="s">
        <v>4469</v>
      </c>
      <c r="Y4" t="s">
        <v>4466</v>
      </c>
      <c r="Z4" t="s">
        <v>1013</v>
      </c>
      <c r="AA4" t="s">
        <v>4478</v>
      </c>
      <c r="AB4" t="s">
        <v>4477</v>
      </c>
      <c r="AC4" t="s">
        <v>61</v>
      </c>
      <c r="AD4" t="s">
        <v>19</v>
      </c>
      <c r="AE4" t="s">
        <v>19</v>
      </c>
      <c r="AF4" t="s">
        <v>4479</v>
      </c>
      <c r="AG4" t="s">
        <v>4480</v>
      </c>
      <c r="AH4" t="s">
        <v>22</v>
      </c>
      <c r="AI4" t="s">
        <v>22</v>
      </c>
      <c r="AJ4" t="s">
        <v>22</v>
      </c>
      <c r="AK4" t="s">
        <v>22</v>
      </c>
    </row>
    <row r="5" spans="1:37" ht="11.25" customHeight="1">
      <c r="A5" t="s">
        <v>22</v>
      </c>
      <c r="B5" t="s">
        <v>48</v>
      </c>
      <c r="C5" t="s">
        <v>50</v>
      </c>
      <c r="D5" t="s">
        <v>22</v>
      </c>
      <c r="E5" t="s">
        <v>4481</v>
      </c>
      <c r="F5" t="s">
        <v>1065</v>
      </c>
      <c r="G5" t="s">
        <v>106</v>
      </c>
      <c r="H5" t="s">
        <v>106</v>
      </c>
      <c r="I5" t="s">
        <v>107</v>
      </c>
      <c r="J5" t="s">
        <v>4482</v>
      </c>
      <c r="K5" t="s">
        <v>4483</v>
      </c>
      <c r="L5" t="s">
        <v>4484</v>
      </c>
      <c r="M5" t="s">
        <v>782</v>
      </c>
      <c r="N5" t="s">
        <v>114</v>
      </c>
      <c r="O5" t="s">
        <v>106</v>
      </c>
      <c r="P5" t="s">
        <v>106</v>
      </c>
      <c r="Q5" t="s">
        <v>107</v>
      </c>
      <c r="R5" t="s">
        <v>4482</v>
      </c>
      <c r="S5" t="s">
        <v>4483</v>
      </c>
      <c r="T5" t="s">
        <v>4465</v>
      </c>
      <c r="U5" t="s">
        <v>4466</v>
      </c>
      <c r="V5" t="s">
        <v>4467</v>
      </c>
      <c r="W5" t="s">
        <v>4468</v>
      </c>
      <c r="X5" t="s">
        <v>4469</v>
      </c>
      <c r="Y5" t="s">
        <v>4466</v>
      </c>
      <c r="Z5" t="s">
        <v>1013</v>
      </c>
      <c r="AA5" t="s">
        <v>4470</v>
      </c>
      <c r="AB5" t="s">
        <v>4467</v>
      </c>
      <c r="AC5" t="s">
        <v>61</v>
      </c>
      <c r="AD5" t="s">
        <v>19</v>
      </c>
      <c r="AE5" t="s">
        <v>19</v>
      </c>
      <c r="AF5" t="s">
        <v>384</v>
      </c>
      <c r="AG5" t="s">
        <v>384</v>
      </c>
      <c r="AH5" t="s">
        <v>22</v>
      </c>
      <c r="AI5" t="s">
        <v>22</v>
      </c>
      <c r="AJ5" t="s">
        <v>22</v>
      </c>
      <c r="AK5" t="s">
        <v>22</v>
      </c>
    </row>
    <row r="6" spans="1:37" ht="11.25" customHeight="1">
      <c r="A6" t="s">
        <v>22</v>
      </c>
      <c r="B6" t="s">
        <v>48</v>
      </c>
      <c r="C6" t="s">
        <v>50</v>
      </c>
      <c r="D6" t="s">
        <v>22</v>
      </c>
      <c r="E6" t="s">
        <v>4485</v>
      </c>
      <c r="F6" t="s">
        <v>1075</v>
      </c>
      <c r="G6" t="s">
        <v>106</v>
      </c>
      <c r="H6" t="s">
        <v>106</v>
      </c>
      <c r="I6" t="s">
        <v>107</v>
      </c>
      <c r="J6" t="s">
        <v>4462</v>
      </c>
      <c r="K6" t="s">
        <v>4463</v>
      </c>
      <c r="L6" t="s">
        <v>4464</v>
      </c>
      <c r="M6" t="s">
        <v>782</v>
      </c>
      <c r="N6" t="s">
        <v>114</v>
      </c>
      <c r="O6" t="s">
        <v>106</v>
      </c>
      <c r="P6" t="s">
        <v>106</v>
      </c>
      <c r="Q6" t="s">
        <v>107</v>
      </c>
      <c r="R6" t="s">
        <v>4462</v>
      </c>
      <c r="S6" t="s">
        <v>4463</v>
      </c>
      <c r="T6" t="s">
        <v>4465</v>
      </c>
      <c r="U6" t="s">
        <v>4466</v>
      </c>
      <c r="V6" t="s">
        <v>4467</v>
      </c>
      <c r="W6" t="s">
        <v>4468</v>
      </c>
      <c r="X6" t="s">
        <v>4469</v>
      </c>
      <c r="Y6" t="s">
        <v>4466</v>
      </c>
      <c r="Z6" t="s">
        <v>1013</v>
      </c>
      <c r="AA6" t="s">
        <v>4470</v>
      </c>
      <c r="AB6" t="s">
        <v>4467</v>
      </c>
      <c r="AC6" t="s">
        <v>19</v>
      </c>
      <c r="AD6" t="s">
        <v>61</v>
      </c>
      <c r="AE6" t="s">
        <v>19</v>
      </c>
      <c r="AF6" t="s">
        <v>22</v>
      </c>
      <c r="AG6" t="s">
        <v>22</v>
      </c>
      <c r="AH6" t="s">
        <v>1143</v>
      </c>
      <c r="AI6" t="s">
        <v>161</v>
      </c>
      <c r="AJ6" t="s">
        <v>22</v>
      </c>
      <c r="AK6" t="s">
        <v>22</v>
      </c>
    </row>
    <row r="7" spans="1:37" ht="11.25" customHeight="1">
      <c r="A7" t="s">
        <v>22</v>
      </c>
      <c r="B7" t="s">
        <v>48</v>
      </c>
      <c r="C7" t="s">
        <v>50</v>
      </c>
      <c r="D7" t="s">
        <v>22</v>
      </c>
      <c r="E7" t="s">
        <v>4486</v>
      </c>
      <c r="F7" t="s">
        <v>1075</v>
      </c>
      <c r="G7" t="s">
        <v>106</v>
      </c>
      <c r="H7" t="s">
        <v>106</v>
      </c>
      <c r="I7" t="s">
        <v>107</v>
      </c>
      <c r="J7" t="s">
        <v>4462</v>
      </c>
      <c r="K7" t="s">
        <v>4463</v>
      </c>
      <c r="L7" t="s">
        <v>4464</v>
      </c>
      <c r="M7" t="s">
        <v>782</v>
      </c>
      <c r="N7" t="s">
        <v>114</v>
      </c>
      <c r="O7" t="s">
        <v>106</v>
      </c>
      <c r="P7" t="s">
        <v>106</v>
      </c>
      <c r="Q7" t="s">
        <v>107</v>
      </c>
      <c r="R7" t="s">
        <v>4462</v>
      </c>
      <c r="S7" t="s">
        <v>4463</v>
      </c>
      <c r="T7" t="s">
        <v>4465</v>
      </c>
      <c r="U7" t="s">
        <v>4466</v>
      </c>
      <c r="V7" t="s">
        <v>4467</v>
      </c>
      <c r="W7" t="s">
        <v>4468</v>
      </c>
      <c r="X7" t="s">
        <v>4469</v>
      </c>
      <c r="Y7" t="s">
        <v>4466</v>
      </c>
      <c r="Z7" t="s">
        <v>1013</v>
      </c>
      <c r="AA7" t="s">
        <v>4470</v>
      </c>
      <c r="AB7" t="s">
        <v>4467</v>
      </c>
      <c r="AC7" t="s">
        <v>19</v>
      </c>
      <c r="AD7" t="s">
        <v>61</v>
      </c>
      <c r="AE7" t="s">
        <v>19</v>
      </c>
      <c r="AF7" t="s">
        <v>22</v>
      </c>
      <c r="AG7" t="s">
        <v>22</v>
      </c>
      <c r="AH7" t="s">
        <v>1143</v>
      </c>
      <c r="AI7" t="s">
        <v>161</v>
      </c>
      <c r="AJ7" t="s">
        <v>22</v>
      </c>
      <c r="AK7" t="s">
        <v>22</v>
      </c>
    </row>
    <row r="8" spans="1:37" ht="11.25" customHeight="1">
      <c r="A8" t="s">
        <v>22</v>
      </c>
      <c r="B8" t="s">
        <v>48</v>
      </c>
      <c r="C8" t="s">
        <v>50</v>
      </c>
      <c r="D8" t="s">
        <v>22</v>
      </c>
      <c r="E8" t="s">
        <v>1065</v>
      </c>
      <c r="F8" t="s">
        <v>1065</v>
      </c>
      <c r="G8" t="s">
        <v>99</v>
      </c>
      <c r="H8" t="s">
        <v>99</v>
      </c>
      <c r="I8" t="s">
        <v>100</v>
      </c>
      <c r="J8" t="s">
        <v>1066</v>
      </c>
      <c r="K8" t="s">
        <v>1067</v>
      </c>
      <c r="L8" t="s">
        <v>4487</v>
      </c>
      <c r="M8" t="s">
        <v>4488</v>
      </c>
      <c r="N8" t="s">
        <v>114</v>
      </c>
      <c r="O8" t="s">
        <v>4476</v>
      </c>
      <c r="P8" t="s">
        <v>4476</v>
      </c>
      <c r="Q8" t="s">
        <v>100</v>
      </c>
      <c r="R8" t="s">
        <v>1066</v>
      </c>
      <c r="S8" t="s">
        <v>1067</v>
      </c>
      <c r="T8" t="s">
        <v>4465</v>
      </c>
      <c r="U8" t="s">
        <v>4466</v>
      </c>
      <c r="V8" t="s">
        <v>4477</v>
      </c>
      <c r="W8" t="s">
        <v>4468</v>
      </c>
      <c r="X8" t="s">
        <v>4469</v>
      </c>
      <c r="Y8" t="s">
        <v>4466</v>
      </c>
      <c r="Z8" t="s">
        <v>1013</v>
      </c>
      <c r="AA8" t="s">
        <v>4478</v>
      </c>
      <c r="AB8" t="s">
        <v>4477</v>
      </c>
      <c r="AC8" t="s">
        <v>61</v>
      </c>
      <c r="AD8" t="s">
        <v>19</v>
      </c>
      <c r="AE8" t="s">
        <v>19</v>
      </c>
      <c r="AF8" t="s">
        <v>1158</v>
      </c>
      <c r="AG8" t="s">
        <v>1158</v>
      </c>
      <c r="AH8" t="s">
        <v>22</v>
      </c>
      <c r="AI8" t="s">
        <v>22</v>
      </c>
      <c r="AJ8" t="s">
        <v>22</v>
      </c>
      <c r="AK8" t="s">
        <v>22</v>
      </c>
    </row>
    <row r="9" spans="1:37" ht="11.25" customHeight="1">
      <c r="A9" t="s">
        <v>22</v>
      </c>
      <c r="B9" t="s">
        <v>48</v>
      </c>
      <c r="C9" t="s">
        <v>50</v>
      </c>
      <c r="D9" t="s">
        <v>22</v>
      </c>
      <c r="E9" t="s">
        <v>1065</v>
      </c>
      <c r="F9" t="s">
        <v>1065</v>
      </c>
      <c r="G9" t="s">
        <v>99</v>
      </c>
      <c r="H9" t="s">
        <v>99</v>
      </c>
      <c r="I9" t="s">
        <v>100</v>
      </c>
      <c r="J9" t="s">
        <v>1066</v>
      </c>
      <c r="K9" t="s">
        <v>1067</v>
      </c>
      <c r="L9" t="s">
        <v>4489</v>
      </c>
      <c r="M9" t="s">
        <v>4490</v>
      </c>
      <c r="N9" t="s">
        <v>114</v>
      </c>
      <c r="O9" t="s">
        <v>4476</v>
      </c>
      <c r="P9" t="s">
        <v>4476</v>
      </c>
      <c r="Q9" t="s">
        <v>100</v>
      </c>
      <c r="R9" t="s">
        <v>1066</v>
      </c>
      <c r="S9" t="s">
        <v>1067</v>
      </c>
      <c r="T9" t="s">
        <v>4465</v>
      </c>
      <c r="U9" t="s">
        <v>4466</v>
      </c>
      <c r="V9" t="s">
        <v>4477</v>
      </c>
      <c r="W9" t="s">
        <v>4468</v>
      </c>
      <c r="X9" t="s">
        <v>4469</v>
      </c>
      <c r="Y9" t="s">
        <v>4466</v>
      </c>
      <c r="Z9" t="s">
        <v>1013</v>
      </c>
      <c r="AA9" t="s">
        <v>4478</v>
      </c>
      <c r="AB9" t="s">
        <v>4477</v>
      </c>
      <c r="AC9" t="s">
        <v>61</v>
      </c>
      <c r="AD9" t="s">
        <v>19</v>
      </c>
      <c r="AE9" t="s">
        <v>19</v>
      </c>
      <c r="AF9" t="s">
        <v>4491</v>
      </c>
      <c r="AG9" t="s">
        <v>4492</v>
      </c>
      <c r="AH9" t="s">
        <v>22</v>
      </c>
      <c r="AI9" t="s">
        <v>22</v>
      </c>
      <c r="AJ9" t="s">
        <v>22</v>
      </c>
      <c r="AK9" t="s">
        <v>22</v>
      </c>
    </row>
    <row r="10" spans="1:37" ht="11.25" customHeight="1">
      <c r="A10" t="s">
        <v>22</v>
      </c>
      <c r="B10" t="s">
        <v>48</v>
      </c>
      <c r="C10" t="s">
        <v>50</v>
      </c>
      <c r="D10" t="s">
        <v>22</v>
      </c>
      <c r="E10" t="s">
        <v>1065</v>
      </c>
      <c r="F10" t="s">
        <v>1065</v>
      </c>
      <c r="G10" t="s">
        <v>99</v>
      </c>
      <c r="H10" t="s">
        <v>99</v>
      </c>
      <c r="I10" t="s">
        <v>100</v>
      </c>
      <c r="J10" t="s">
        <v>1066</v>
      </c>
      <c r="K10" t="s">
        <v>1067</v>
      </c>
      <c r="L10" t="s">
        <v>4493</v>
      </c>
      <c r="M10" t="s">
        <v>4494</v>
      </c>
      <c r="N10" t="s">
        <v>114</v>
      </c>
      <c r="O10" t="s">
        <v>4476</v>
      </c>
      <c r="P10" t="s">
        <v>4476</v>
      </c>
      <c r="Q10" t="s">
        <v>100</v>
      </c>
      <c r="R10" t="s">
        <v>1066</v>
      </c>
      <c r="S10" t="s">
        <v>1067</v>
      </c>
      <c r="T10" t="s">
        <v>4465</v>
      </c>
      <c r="U10" t="s">
        <v>4466</v>
      </c>
      <c r="V10" t="s">
        <v>4477</v>
      </c>
      <c r="W10" t="s">
        <v>4468</v>
      </c>
      <c r="X10" t="s">
        <v>4469</v>
      </c>
      <c r="Y10" t="s">
        <v>4466</v>
      </c>
      <c r="Z10" t="s">
        <v>1013</v>
      </c>
      <c r="AA10" t="s">
        <v>4478</v>
      </c>
      <c r="AB10" t="s">
        <v>4477</v>
      </c>
      <c r="AC10" t="s">
        <v>61</v>
      </c>
      <c r="AD10" t="s">
        <v>19</v>
      </c>
      <c r="AE10" t="s">
        <v>19</v>
      </c>
      <c r="AF10" t="s">
        <v>4495</v>
      </c>
      <c r="AG10" t="s">
        <v>4496</v>
      </c>
      <c r="AH10" t="s">
        <v>22</v>
      </c>
      <c r="AI10" t="s">
        <v>22</v>
      </c>
      <c r="AJ10" t="s">
        <v>22</v>
      </c>
      <c r="AK10" t="s">
        <v>22</v>
      </c>
    </row>
    <row r="11" spans="1:37" ht="11.25" customHeight="1">
      <c r="A11" t="s">
        <v>22</v>
      </c>
      <c r="B11" t="s">
        <v>48</v>
      </c>
      <c r="C11" t="s">
        <v>50</v>
      </c>
      <c r="D11" t="s">
        <v>22</v>
      </c>
      <c r="E11" t="s">
        <v>1065</v>
      </c>
      <c r="F11" t="s">
        <v>1065</v>
      </c>
      <c r="G11" t="s">
        <v>99</v>
      </c>
      <c r="H11" t="s">
        <v>99</v>
      </c>
      <c r="I11" t="s">
        <v>100</v>
      </c>
      <c r="J11" t="s">
        <v>1066</v>
      </c>
      <c r="K11" t="s">
        <v>1067</v>
      </c>
      <c r="L11" t="s">
        <v>4497</v>
      </c>
      <c r="M11" t="s">
        <v>4498</v>
      </c>
      <c r="N11" t="s">
        <v>114</v>
      </c>
      <c r="O11" t="s">
        <v>4476</v>
      </c>
      <c r="P11" t="s">
        <v>4476</v>
      </c>
      <c r="Q11" t="s">
        <v>100</v>
      </c>
      <c r="R11" t="s">
        <v>1066</v>
      </c>
      <c r="S11" t="s">
        <v>1067</v>
      </c>
      <c r="T11" t="s">
        <v>4465</v>
      </c>
      <c r="U11" t="s">
        <v>4466</v>
      </c>
      <c r="V11" t="s">
        <v>4477</v>
      </c>
      <c r="W11" t="s">
        <v>4468</v>
      </c>
      <c r="X11" t="s">
        <v>4469</v>
      </c>
      <c r="Y11" t="s">
        <v>4466</v>
      </c>
      <c r="Z11" t="s">
        <v>1013</v>
      </c>
      <c r="AA11" t="s">
        <v>4478</v>
      </c>
      <c r="AB11" t="s">
        <v>4477</v>
      </c>
      <c r="AC11" t="s">
        <v>61</v>
      </c>
      <c r="AD11" t="s">
        <v>19</v>
      </c>
      <c r="AE11" t="s">
        <v>19</v>
      </c>
      <c r="AF11" t="s">
        <v>4499</v>
      </c>
      <c r="AG11" t="s">
        <v>4500</v>
      </c>
      <c r="AH11" t="s">
        <v>22</v>
      </c>
      <c r="AI11" t="s">
        <v>22</v>
      </c>
      <c r="AJ11" t="s">
        <v>22</v>
      </c>
      <c r="AK11" t="s">
        <v>22</v>
      </c>
    </row>
    <row r="12" spans="1:37" ht="11.25" customHeight="1">
      <c r="A12" t="s">
        <v>22</v>
      </c>
      <c r="B12" t="s">
        <v>48</v>
      </c>
      <c r="C12" t="s">
        <v>50</v>
      </c>
      <c r="D12" t="s">
        <v>22</v>
      </c>
      <c r="E12" t="s">
        <v>1065</v>
      </c>
      <c r="F12" t="s">
        <v>1065</v>
      </c>
      <c r="G12" t="s">
        <v>99</v>
      </c>
      <c r="H12" t="s">
        <v>99</v>
      </c>
      <c r="I12" t="s">
        <v>100</v>
      </c>
      <c r="J12" t="s">
        <v>1066</v>
      </c>
      <c r="K12" t="s">
        <v>1067</v>
      </c>
      <c r="L12" t="s">
        <v>4501</v>
      </c>
      <c r="M12" t="s">
        <v>4502</v>
      </c>
      <c r="N12" t="s">
        <v>114</v>
      </c>
      <c r="O12" t="s">
        <v>4476</v>
      </c>
      <c r="P12" t="s">
        <v>4476</v>
      </c>
      <c r="Q12" t="s">
        <v>100</v>
      </c>
      <c r="R12" t="s">
        <v>1066</v>
      </c>
      <c r="S12" t="s">
        <v>1067</v>
      </c>
      <c r="T12" t="s">
        <v>4465</v>
      </c>
      <c r="U12" t="s">
        <v>4466</v>
      </c>
      <c r="V12" t="s">
        <v>4477</v>
      </c>
      <c r="W12" t="s">
        <v>4468</v>
      </c>
      <c r="X12" t="s">
        <v>4469</v>
      </c>
      <c r="Y12" t="s">
        <v>4466</v>
      </c>
      <c r="Z12" t="s">
        <v>1013</v>
      </c>
      <c r="AA12" t="s">
        <v>4478</v>
      </c>
      <c r="AB12" t="s">
        <v>4477</v>
      </c>
      <c r="AC12" t="s">
        <v>61</v>
      </c>
      <c r="AD12" t="s">
        <v>19</v>
      </c>
      <c r="AE12" t="s">
        <v>19</v>
      </c>
      <c r="AF12" t="s">
        <v>4503</v>
      </c>
      <c r="AG12" t="s">
        <v>1824</v>
      </c>
      <c r="AH12" t="s">
        <v>22</v>
      </c>
      <c r="AI12" t="s">
        <v>22</v>
      </c>
      <c r="AJ12" t="s">
        <v>22</v>
      </c>
      <c r="AK12" t="s">
        <v>22</v>
      </c>
    </row>
    <row r="13" spans="1:37" ht="11.25" customHeight="1">
      <c r="A13" t="s">
        <v>22</v>
      </c>
      <c r="B13" t="s">
        <v>48</v>
      </c>
      <c r="C13" t="s">
        <v>50</v>
      </c>
      <c r="D13" t="s">
        <v>22</v>
      </c>
      <c r="E13" t="s">
        <v>1065</v>
      </c>
      <c r="F13" t="s">
        <v>1065</v>
      </c>
      <c r="G13" t="s">
        <v>99</v>
      </c>
      <c r="H13" t="s">
        <v>99</v>
      </c>
      <c r="I13" t="s">
        <v>100</v>
      </c>
      <c r="J13" t="s">
        <v>1066</v>
      </c>
      <c r="K13" t="s">
        <v>1067</v>
      </c>
      <c r="L13" t="s">
        <v>4497</v>
      </c>
      <c r="M13" t="s">
        <v>4504</v>
      </c>
      <c r="N13" t="s">
        <v>114</v>
      </c>
      <c r="O13" t="s">
        <v>4476</v>
      </c>
      <c r="P13" t="s">
        <v>4476</v>
      </c>
      <c r="Q13" t="s">
        <v>100</v>
      </c>
      <c r="R13" t="s">
        <v>1066</v>
      </c>
      <c r="S13" t="s">
        <v>1067</v>
      </c>
      <c r="T13" t="s">
        <v>4465</v>
      </c>
      <c r="U13" t="s">
        <v>4466</v>
      </c>
      <c r="V13" t="s">
        <v>4477</v>
      </c>
      <c r="W13" t="s">
        <v>4468</v>
      </c>
      <c r="X13" t="s">
        <v>4469</v>
      </c>
      <c r="Y13" t="s">
        <v>4466</v>
      </c>
      <c r="Z13" t="s">
        <v>1013</v>
      </c>
      <c r="AA13" t="s">
        <v>4478</v>
      </c>
      <c r="AB13" t="s">
        <v>4477</v>
      </c>
      <c r="AC13" t="s">
        <v>61</v>
      </c>
      <c r="AD13" t="s">
        <v>19</v>
      </c>
      <c r="AE13" t="s">
        <v>19</v>
      </c>
      <c r="AF13" t="s">
        <v>4505</v>
      </c>
      <c r="AG13" t="s">
        <v>4506</v>
      </c>
      <c r="AH13" t="s">
        <v>22</v>
      </c>
      <c r="AI13" t="s">
        <v>22</v>
      </c>
      <c r="AJ13" t="s">
        <v>22</v>
      </c>
      <c r="AK13" t="s">
        <v>22</v>
      </c>
    </row>
    <row r="14" spans="1:37" ht="11.25" customHeight="1">
      <c r="A14" t="s">
        <v>22</v>
      </c>
      <c r="B14" t="s">
        <v>48</v>
      </c>
      <c r="C14" t="s">
        <v>50</v>
      </c>
      <c r="D14" t="s">
        <v>22</v>
      </c>
      <c r="E14" t="s">
        <v>1065</v>
      </c>
      <c r="F14" t="s">
        <v>1065</v>
      </c>
      <c r="G14" t="s">
        <v>99</v>
      </c>
      <c r="H14" t="s">
        <v>99</v>
      </c>
      <c r="I14" t="s">
        <v>100</v>
      </c>
      <c r="J14" t="s">
        <v>1066</v>
      </c>
      <c r="K14" t="s">
        <v>1067</v>
      </c>
      <c r="L14" t="s">
        <v>4507</v>
      </c>
      <c r="M14" t="s">
        <v>4508</v>
      </c>
      <c r="N14" t="s">
        <v>114</v>
      </c>
      <c r="O14" t="s">
        <v>4476</v>
      </c>
      <c r="P14" t="s">
        <v>4476</v>
      </c>
      <c r="Q14" t="s">
        <v>100</v>
      </c>
      <c r="R14" t="s">
        <v>1066</v>
      </c>
      <c r="S14" t="s">
        <v>1067</v>
      </c>
      <c r="T14" t="s">
        <v>4465</v>
      </c>
      <c r="U14" t="s">
        <v>4466</v>
      </c>
      <c r="V14" t="s">
        <v>4477</v>
      </c>
      <c r="W14" t="s">
        <v>4468</v>
      </c>
      <c r="X14" t="s">
        <v>4469</v>
      </c>
      <c r="Y14" t="s">
        <v>4466</v>
      </c>
      <c r="Z14" t="s">
        <v>1013</v>
      </c>
      <c r="AA14" t="s">
        <v>4478</v>
      </c>
      <c r="AB14" t="s">
        <v>4477</v>
      </c>
      <c r="AC14" t="s">
        <v>61</v>
      </c>
      <c r="AD14" t="s">
        <v>19</v>
      </c>
      <c r="AE14" t="s">
        <v>19</v>
      </c>
      <c r="AF14" t="s">
        <v>4509</v>
      </c>
      <c r="AG14" t="s">
        <v>4503</v>
      </c>
      <c r="AH14" t="s">
        <v>22</v>
      </c>
      <c r="AI14" t="s">
        <v>22</v>
      </c>
      <c r="AJ14" t="s">
        <v>22</v>
      </c>
      <c r="AK14" t="s">
        <v>22</v>
      </c>
    </row>
    <row r="15" spans="1:37" ht="11.25" customHeight="1">
      <c r="A15" t="s">
        <v>22</v>
      </c>
      <c r="B15" t="s">
        <v>48</v>
      </c>
      <c r="C15" t="s">
        <v>50</v>
      </c>
      <c r="D15" t="s">
        <v>22</v>
      </c>
      <c r="E15" t="s">
        <v>1065</v>
      </c>
      <c r="F15" t="s">
        <v>1065</v>
      </c>
      <c r="G15" t="s">
        <v>99</v>
      </c>
      <c r="H15" t="s">
        <v>99</v>
      </c>
      <c r="I15" t="s">
        <v>100</v>
      </c>
      <c r="J15" t="s">
        <v>1066</v>
      </c>
      <c r="K15" t="s">
        <v>1067</v>
      </c>
      <c r="L15" t="s">
        <v>4510</v>
      </c>
      <c r="M15" t="s">
        <v>4511</v>
      </c>
      <c r="N15" t="s">
        <v>114</v>
      </c>
      <c r="O15" t="s">
        <v>4476</v>
      </c>
      <c r="P15" t="s">
        <v>4476</v>
      </c>
      <c r="Q15" t="s">
        <v>100</v>
      </c>
      <c r="R15" t="s">
        <v>1066</v>
      </c>
      <c r="S15" t="s">
        <v>1067</v>
      </c>
      <c r="T15" t="s">
        <v>4465</v>
      </c>
      <c r="U15" t="s">
        <v>4466</v>
      </c>
      <c r="V15" t="s">
        <v>4477</v>
      </c>
      <c r="W15" t="s">
        <v>4468</v>
      </c>
      <c r="X15" t="s">
        <v>4469</v>
      </c>
      <c r="Y15" t="s">
        <v>4466</v>
      </c>
      <c r="Z15" t="s">
        <v>1013</v>
      </c>
      <c r="AA15" t="s">
        <v>4478</v>
      </c>
      <c r="AB15" t="s">
        <v>4477</v>
      </c>
      <c r="AC15" t="s">
        <v>61</v>
      </c>
      <c r="AD15" t="s">
        <v>19</v>
      </c>
      <c r="AE15" t="s">
        <v>19</v>
      </c>
      <c r="AF15" t="s">
        <v>4509</v>
      </c>
      <c r="AG15" t="s">
        <v>4503</v>
      </c>
      <c r="AH15" t="s">
        <v>22</v>
      </c>
      <c r="AI15" t="s">
        <v>22</v>
      </c>
      <c r="AJ15" t="s">
        <v>22</v>
      </c>
      <c r="AK15" t="s">
        <v>22</v>
      </c>
    </row>
    <row r="16" spans="1:37" ht="11.25" customHeight="1">
      <c r="A16" t="s">
        <v>22</v>
      </c>
      <c r="B16" t="s">
        <v>48</v>
      </c>
      <c r="C16" t="s">
        <v>50</v>
      </c>
      <c r="D16" t="s">
        <v>22</v>
      </c>
      <c r="E16" t="s">
        <v>1065</v>
      </c>
      <c r="F16" t="s">
        <v>1065</v>
      </c>
      <c r="G16" t="s">
        <v>99</v>
      </c>
      <c r="H16" t="s">
        <v>99</v>
      </c>
      <c r="I16" t="s">
        <v>100</v>
      </c>
      <c r="J16" t="s">
        <v>1066</v>
      </c>
      <c r="K16" t="s">
        <v>1067</v>
      </c>
      <c r="L16" t="s">
        <v>4512</v>
      </c>
      <c r="M16" t="s">
        <v>4513</v>
      </c>
      <c r="N16" t="s">
        <v>114</v>
      </c>
      <c r="O16" t="s">
        <v>4476</v>
      </c>
      <c r="P16" t="s">
        <v>4476</v>
      </c>
      <c r="Q16" t="s">
        <v>100</v>
      </c>
      <c r="R16" t="s">
        <v>1066</v>
      </c>
      <c r="S16" t="s">
        <v>1067</v>
      </c>
      <c r="T16" t="s">
        <v>4465</v>
      </c>
      <c r="U16" t="s">
        <v>4466</v>
      </c>
      <c r="V16" t="s">
        <v>4477</v>
      </c>
      <c r="W16" t="s">
        <v>4468</v>
      </c>
      <c r="X16" t="s">
        <v>4469</v>
      </c>
      <c r="Y16" t="s">
        <v>4466</v>
      </c>
      <c r="Z16" t="s">
        <v>1013</v>
      </c>
      <c r="AA16" t="s">
        <v>4478</v>
      </c>
      <c r="AB16" t="s">
        <v>4477</v>
      </c>
      <c r="AC16" t="s">
        <v>61</v>
      </c>
      <c r="AD16" t="s">
        <v>19</v>
      </c>
      <c r="AE16" t="s">
        <v>19</v>
      </c>
      <c r="AF16" t="s">
        <v>1158</v>
      </c>
      <c r="AG16" t="s">
        <v>1158</v>
      </c>
      <c r="AH16" t="s">
        <v>22</v>
      </c>
      <c r="AI16" t="s">
        <v>22</v>
      </c>
      <c r="AJ16" t="s">
        <v>22</v>
      </c>
      <c r="AK16" t="s">
        <v>22</v>
      </c>
    </row>
    <row r="17" spans="1:37" ht="11.25" customHeight="1">
      <c r="A17" t="s">
        <v>22</v>
      </c>
      <c r="B17" t="s">
        <v>48</v>
      </c>
      <c r="C17" t="s">
        <v>50</v>
      </c>
      <c r="D17" t="s">
        <v>22</v>
      </c>
      <c r="E17" t="s">
        <v>1065</v>
      </c>
      <c r="F17" t="s">
        <v>1065</v>
      </c>
      <c r="G17" t="s">
        <v>99</v>
      </c>
      <c r="H17" t="s">
        <v>99</v>
      </c>
      <c r="I17" t="s">
        <v>100</v>
      </c>
      <c r="J17" t="s">
        <v>1066</v>
      </c>
      <c r="K17" t="s">
        <v>1067</v>
      </c>
      <c r="L17" t="s">
        <v>4514</v>
      </c>
      <c r="M17" t="s">
        <v>4515</v>
      </c>
      <c r="N17" t="s">
        <v>114</v>
      </c>
      <c r="O17" t="s">
        <v>4476</v>
      </c>
      <c r="P17" t="s">
        <v>4476</v>
      </c>
      <c r="Q17" t="s">
        <v>100</v>
      </c>
      <c r="R17" t="s">
        <v>1066</v>
      </c>
      <c r="S17" t="s">
        <v>1067</v>
      </c>
      <c r="T17" t="s">
        <v>4465</v>
      </c>
      <c r="U17" t="s">
        <v>4466</v>
      </c>
      <c r="V17" t="s">
        <v>4477</v>
      </c>
      <c r="W17" t="s">
        <v>4468</v>
      </c>
      <c r="X17" t="s">
        <v>4469</v>
      </c>
      <c r="Y17" t="s">
        <v>4466</v>
      </c>
      <c r="Z17" t="s">
        <v>1013</v>
      </c>
      <c r="AA17" t="s">
        <v>4478</v>
      </c>
      <c r="AB17" t="s">
        <v>4477</v>
      </c>
      <c r="AC17" t="s">
        <v>61</v>
      </c>
      <c r="AD17" t="s">
        <v>19</v>
      </c>
      <c r="AE17" t="s">
        <v>19</v>
      </c>
      <c r="AF17" t="s">
        <v>4516</v>
      </c>
      <c r="AG17" t="s">
        <v>4517</v>
      </c>
      <c r="AH17" t="s">
        <v>22</v>
      </c>
      <c r="AI17" t="s">
        <v>22</v>
      </c>
      <c r="AJ17" t="s">
        <v>22</v>
      </c>
      <c r="AK17" t="s">
        <v>22</v>
      </c>
    </row>
    <row r="18" spans="1:37" ht="11.25" customHeight="1">
      <c r="A18" t="s">
        <v>22</v>
      </c>
      <c r="B18" t="s">
        <v>48</v>
      </c>
      <c r="C18" t="s">
        <v>50</v>
      </c>
      <c r="D18" t="s">
        <v>22</v>
      </c>
      <c r="E18" t="s">
        <v>1065</v>
      </c>
      <c r="F18" t="s">
        <v>1065</v>
      </c>
      <c r="G18" t="s">
        <v>99</v>
      </c>
      <c r="H18" t="s">
        <v>99</v>
      </c>
      <c r="I18" t="s">
        <v>100</v>
      </c>
      <c r="J18" t="s">
        <v>1066</v>
      </c>
      <c r="K18" t="s">
        <v>1067</v>
      </c>
      <c r="L18" t="s">
        <v>4518</v>
      </c>
      <c r="M18" t="s">
        <v>1854</v>
      </c>
      <c r="N18" t="s">
        <v>114</v>
      </c>
      <c r="O18" t="s">
        <v>4476</v>
      </c>
      <c r="P18" t="s">
        <v>4476</v>
      </c>
      <c r="Q18" t="s">
        <v>100</v>
      </c>
      <c r="R18" t="s">
        <v>1066</v>
      </c>
      <c r="S18" t="s">
        <v>1067</v>
      </c>
      <c r="T18" t="s">
        <v>4465</v>
      </c>
      <c r="U18" t="s">
        <v>4466</v>
      </c>
      <c r="V18" t="s">
        <v>4477</v>
      </c>
      <c r="W18" t="s">
        <v>4468</v>
      </c>
      <c r="X18" t="s">
        <v>4469</v>
      </c>
      <c r="Y18" t="s">
        <v>4466</v>
      </c>
      <c r="Z18" t="s">
        <v>1013</v>
      </c>
      <c r="AA18" t="s">
        <v>4478</v>
      </c>
      <c r="AB18" t="s">
        <v>4477</v>
      </c>
      <c r="AC18" t="s">
        <v>61</v>
      </c>
      <c r="AD18" t="s">
        <v>19</v>
      </c>
      <c r="AE18" t="s">
        <v>19</v>
      </c>
      <c r="AF18" t="s">
        <v>4519</v>
      </c>
      <c r="AG18" t="s">
        <v>4520</v>
      </c>
      <c r="AH18" t="s">
        <v>22</v>
      </c>
      <c r="AI18" t="s">
        <v>22</v>
      </c>
      <c r="AJ18" t="s">
        <v>22</v>
      </c>
      <c r="AK18" t="s">
        <v>22</v>
      </c>
    </row>
    <row r="19" spans="1:37" ht="11.25" customHeight="1">
      <c r="A19" t="s">
        <v>22</v>
      </c>
      <c r="B19" t="s">
        <v>48</v>
      </c>
      <c r="C19" t="s">
        <v>50</v>
      </c>
      <c r="D19" t="s">
        <v>22</v>
      </c>
      <c r="E19" t="s">
        <v>1065</v>
      </c>
      <c r="F19" t="s">
        <v>1065</v>
      </c>
      <c r="G19" t="s">
        <v>99</v>
      </c>
      <c r="H19" t="s">
        <v>99</v>
      </c>
      <c r="I19" t="s">
        <v>100</v>
      </c>
      <c r="J19" t="s">
        <v>1066</v>
      </c>
      <c r="K19" t="s">
        <v>1067</v>
      </c>
      <c r="L19" t="s">
        <v>4521</v>
      </c>
      <c r="M19" t="s">
        <v>4498</v>
      </c>
      <c r="N19" t="s">
        <v>114</v>
      </c>
      <c r="O19" t="s">
        <v>4476</v>
      </c>
      <c r="P19" t="s">
        <v>4476</v>
      </c>
      <c r="Q19" t="s">
        <v>100</v>
      </c>
      <c r="R19" t="s">
        <v>1066</v>
      </c>
      <c r="S19" t="s">
        <v>1067</v>
      </c>
      <c r="T19" t="s">
        <v>4465</v>
      </c>
      <c r="U19" t="s">
        <v>4466</v>
      </c>
      <c r="V19" t="s">
        <v>4477</v>
      </c>
      <c r="W19" t="s">
        <v>4468</v>
      </c>
      <c r="X19" t="s">
        <v>4469</v>
      </c>
      <c r="Y19" t="s">
        <v>4466</v>
      </c>
      <c r="Z19" t="s">
        <v>1013</v>
      </c>
      <c r="AA19" t="s">
        <v>4478</v>
      </c>
      <c r="AB19" t="s">
        <v>4477</v>
      </c>
      <c r="AC19" t="s">
        <v>61</v>
      </c>
      <c r="AD19" t="s">
        <v>19</v>
      </c>
      <c r="AE19" t="s">
        <v>19</v>
      </c>
      <c r="AF19" t="s">
        <v>4503</v>
      </c>
      <c r="AG19" t="s">
        <v>1824</v>
      </c>
      <c r="AH19" t="s">
        <v>22</v>
      </c>
      <c r="AI19" t="s">
        <v>22</v>
      </c>
      <c r="AJ19" t="s">
        <v>22</v>
      </c>
      <c r="AK19" t="s">
        <v>22</v>
      </c>
    </row>
    <row r="20" spans="1:37" ht="11.25" customHeight="1">
      <c r="A20" t="s">
        <v>22</v>
      </c>
      <c r="B20" t="s">
        <v>48</v>
      </c>
      <c r="C20" t="s">
        <v>50</v>
      </c>
      <c r="D20" t="s">
        <v>22</v>
      </c>
      <c r="E20" t="s">
        <v>1065</v>
      </c>
      <c r="F20" t="s">
        <v>1065</v>
      </c>
      <c r="G20" t="s">
        <v>99</v>
      </c>
      <c r="H20" t="s">
        <v>99</v>
      </c>
      <c r="I20" t="s">
        <v>100</v>
      </c>
      <c r="J20" t="s">
        <v>1066</v>
      </c>
      <c r="K20" t="s">
        <v>1067</v>
      </c>
      <c r="L20" t="s">
        <v>4522</v>
      </c>
      <c r="M20" t="s">
        <v>4523</v>
      </c>
      <c r="N20" t="s">
        <v>114</v>
      </c>
      <c r="O20" t="s">
        <v>4476</v>
      </c>
      <c r="P20" t="s">
        <v>4476</v>
      </c>
      <c r="Q20" t="s">
        <v>100</v>
      </c>
      <c r="R20" t="s">
        <v>1066</v>
      </c>
      <c r="S20" t="s">
        <v>1067</v>
      </c>
      <c r="T20" t="s">
        <v>4465</v>
      </c>
      <c r="U20" t="s">
        <v>4466</v>
      </c>
      <c r="V20" t="s">
        <v>4477</v>
      </c>
      <c r="W20" t="s">
        <v>4468</v>
      </c>
      <c r="X20" t="s">
        <v>4469</v>
      </c>
      <c r="Y20" t="s">
        <v>4466</v>
      </c>
      <c r="Z20" t="s">
        <v>1013</v>
      </c>
      <c r="AA20" t="s">
        <v>4478</v>
      </c>
      <c r="AB20" t="s">
        <v>4477</v>
      </c>
      <c r="AC20" t="s">
        <v>61</v>
      </c>
      <c r="AD20" t="s">
        <v>19</v>
      </c>
      <c r="AE20" t="s">
        <v>19</v>
      </c>
      <c r="AF20" t="s">
        <v>4509</v>
      </c>
      <c r="AG20" t="s">
        <v>4503</v>
      </c>
      <c r="AH20" t="s">
        <v>22</v>
      </c>
      <c r="AI20" t="s">
        <v>22</v>
      </c>
      <c r="AJ20" t="s">
        <v>22</v>
      </c>
      <c r="AK20" t="s">
        <v>22</v>
      </c>
    </row>
    <row r="21" spans="1:37" ht="11.25" customHeight="1">
      <c r="A21" t="s">
        <v>22</v>
      </c>
      <c r="B21" t="s">
        <v>48</v>
      </c>
      <c r="C21" t="s">
        <v>50</v>
      </c>
      <c r="D21" t="s">
        <v>22</v>
      </c>
      <c r="E21" t="s">
        <v>1065</v>
      </c>
      <c r="F21" t="s">
        <v>1065</v>
      </c>
      <c r="G21" t="s">
        <v>99</v>
      </c>
      <c r="H21" t="s">
        <v>99</v>
      </c>
      <c r="I21" t="s">
        <v>100</v>
      </c>
      <c r="J21" t="s">
        <v>1066</v>
      </c>
      <c r="K21" t="s">
        <v>1067</v>
      </c>
      <c r="L21" t="s">
        <v>4524</v>
      </c>
      <c r="M21" t="s">
        <v>4525</v>
      </c>
      <c r="N21" t="s">
        <v>114</v>
      </c>
      <c r="O21" t="s">
        <v>4476</v>
      </c>
      <c r="P21" t="s">
        <v>4476</v>
      </c>
      <c r="Q21" t="s">
        <v>100</v>
      </c>
      <c r="R21" t="s">
        <v>1066</v>
      </c>
      <c r="S21" t="s">
        <v>1067</v>
      </c>
      <c r="T21" t="s">
        <v>4465</v>
      </c>
      <c r="U21" t="s">
        <v>4466</v>
      </c>
      <c r="V21" t="s">
        <v>4477</v>
      </c>
      <c r="W21" t="s">
        <v>4468</v>
      </c>
      <c r="X21" t="s">
        <v>4469</v>
      </c>
      <c r="Y21" t="s">
        <v>4466</v>
      </c>
      <c r="Z21" t="s">
        <v>1013</v>
      </c>
      <c r="AA21" t="s">
        <v>4478</v>
      </c>
      <c r="AB21" t="s">
        <v>4477</v>
      </c>
      <c r="AC21" t="s">
        <v>61</v>
      </c>
      <c r="AD21" t="s">
        <v>19</v>
      </c>
      <c r="AE21" t="s">
        <v>19</v>
      </c>
      <c r="AF21" t="s">
        <v>4526</v>
      </c>
      <c r="AG21" t="s">
        <v>4527</v>
      </c>
      <c r="AH21" t="s">
        <v>22</v>
      </c>
      <c r="AI21" t="s">
        <v>22</v>
      </c>
      <c r="AJ21" t="s">
        <v>22</v>
      </c>
      <c r="AK21" t="s">
        <v>22</v>
      </c>
    </row>
    <row r="22" spans="1:37" ht="11.25" customHeight="1">
      <c r="A22" t="s">
        <v>22</v>
      </c>
      <c r="B22" t="s">
        <v>48</v>
      </c>
      <c r="C22" t="s">
        <v>50</v>
      </c>
      <c r="D22" t="s">
        <v>22</v>
      </c>
      <c r="E22" t="s">
        <v>1065</v>
      </c>
      <c r="F22" t="s">
        <v>1065</v>
      </c>
      <c r="G22" t="s">
        <v>99</v>
      </c>
      <c r="H22" t="s">
        <v>99</v>
      </c>
      <c r="I22" t="s">
        <v>100</v>
      </c>
      <c r="J22" t="s">
        <v>1066</v>
      </c>
      <c r="K22" t="s">
        <v>1067</v>
      </c>
      <c r="L22" t="s">
        <v>4528</v>
      </c>
      <c r="M22" t="s">
        <v>4529</v>
      </c>
      <c r="N22" t="s">
        <v>114</v>
      </c>
      <c r="O22" t="s">
        <v>4476</v>
      </c>
      <c r="P22" t="s">
        <v>4476</v>
      </c>
      <c r="Q22" t="s">
        <v>100</v>
      </c>
      <c r="R22" t="s">
        <v>1066</v>
      </c>
      <c r="S22" t="s">
        <v>1067</v>
      </c>
      <c r="T22" t="s">
        <v>4465</v>
      </c>
      <c r="U22" t="s">
        <v>4466</v>
      </c>
      <c r="V22" t="s">
        <v>4477</v>
      </c>
      <c r="W22" t="s">
        <v>4468</v>
      </c>
      <c r="X22" t="s">
        <v>4469</v>
      </c>
      <c r="Y22" t="s">
        <v>4466</v>
      </c>
      <c r="Z22" t="s">
        <v>1013</v>
      </c>
      <c r="AA22" t="s">
        <v>4478</v>
      </c>
      <c r="AB22" t="s">
        <v>4477</v>
      </c>
      <c r="AC22" t="s">
        <v>61</v>
      </c>
      <c r="AD22" t="s">
        <v>19</v>
      </c>
      <c r="AE22" t="s">
        <v>19</v>
      </c>
      <c r="AF22" t="s">
        <v>1129</v>
      </c>
      <c r="AG22" t="s">
        <v>1129</v>
      </c>
      <c r="AH22" t="s">
        <v>22</v>
      </c>
      <c r="AI22" t="s">
        <v>22</v>
      </c>
      <c r="AJ22" t="s">
        <v>22</v>
      </c>
      <c r="AK22" t="s">
        <v>22</v>
      </c>
    </row>
    <row r="23" spans="1:37" ht="11.25" customHeight="1">
      <c r="A23" t="s">
        <v>22</v>
      </c>
      <c r="B23" t="s">
        <v>48</v>
      </c>
      <c r="C23" t="s">
        <v>50</v>
      </c>
      <c r="D23" t="s">
        <v>22</v>
      </c>
      <c r="E23" t="s">
        <v>1065</v>
      </c>
      <c r="F23" t="s">
        <v>1065</v>
      </c>
      <c r="G23" t="s">
        <v>99</v>
      </c>
      <c r="H23" t="s">
        <v>99</v>
      </c>
      <c r="I23" t="s">
        <v>100</v>
      </c>
      <c r="J23" t="s">
        <v>1066</v>
      </c>
      <c r="K23" t="s">
        <v>1067</v>
      </c>
      <c r="L23" t="s">
        <v>4530</v>
      </c>
      <c r="M23" t="s">
        <v>4531</v>
      </c>
      <c r="N23" t="s">
        <v>114</v>
      </c>
      <c r="O23" t="s">
        <v>4476</v>
      </c>
      <c r="P23" t="s">
        <v>4476</v>
      </c>
      <c r="Q23" t="s">
        <v>100</v>
      </c>
      <c r="R23" t="s">
        <v>1066</v>
      </c>
      <c r="S23" t="s">
        <v>1067</v>
      </c>
      <c r="T23" t="s">
        <v>4465</v>
      </c>
      <c r="U23" t="s">
        <v>4466</v>
      </c>
      <c r="V23" t="s">
        <v>4477</v>
      </c>
      <c r="W23" t="s">
        <v>4468</v>
      </c>
      <c r="X23" t="s">
        <v>4469</v>
      </c>
      <c r="Y23" t="s">
        <v>4466</v>
      </c>
      <c r="Z23" t="s">
        <v>1013</v>
      </c>
      <c r="AA23" t="s">
        <v>4478</v>
      </c>
      <c r="AB23" t="s">
        <v>4477</v>
      </c>
      <c r="AC23" t="s">
        <v>61</v>
      </c>
      <c r="AD23" t="s">
        <v>19</v>
      </c>
      <c r="AE23" t="s">
        <v>19</v>
      </c>
      <c r="AF23" t="s">
        <v>4526</v>
      </c>
      <c r="AG23" t="s">
        <v>4527</v>
      </c>
      <c r="AH23" t="s">
        <v>22</v>
      </c>
      <c r="AI23" t="s">
        <v>22</v>
      </c>
      <c r="AJ23" t="s">
        <v>22</v>
      </c>
      <c r="AK23" t="s">
        <v>22</v>
      </c>
    </row>
    <row r="24" spans="1:37" ht="11.25" customHeight="1">
      <c r="A24" t="s">
        <v>22</v>
      </c>
      <c r="B24" t="s">
        <v>48</v>
      </c>
      <c r="C24" t="s">
        <v>50</v>
      </c>
      <c r="D24" t="s">
        <v>22</v>
      </c>
      <c r="E24" t="s">
        <v>1065</v>
      </c>
      <c r="F24" t="s">
        <v>1065</v>
      </c>
      <c r="G24" t="s">
        <v>99</v>
      </c>
      <c r="H24" t="s">
        <v>99</v>
      </c>
      <c r="I24" t="s">
        <v>100</v>
      </c>
      <c r="J24" t="s">
        <v>1066</v>
      </c>
      <c r="K24" t="s">
        <v>1067</v>
      </c>
      <c r="L24" t="s">
        <v>4532</v>
      </c>
      <c r="M24" t="s">
        <v>4533</v>
      </c>
      <c r="N24" t="s">
        <v>114</v>
      </c>
      <c r="O24" t="s">
        <v>4476</v>
      </c>
      <c r="P24" t="s">
        <v>4476</v>
      </c>
      <c r="Q24" t="s">
        <v>100</v>
      </c>
      <c r="R24" t="s">
        <v>1066</v>
      </c>
      <c r="S24" t="s">
        <v>1067</v>
      </c>
      <c r="T24" t="s">
        <v>4465</v>
      </c>
      <c r="U24" t="s">
        <v>4466</v>
      </c>
      <c r="V24" t="s">
        <v>4477</v>
      </c>
      <c r="W24" t="s">
        <v>4468</v>
      </c>
      <c r="X24" t="s">
        <v>4469</v>
      </c>
      <c r="Y24" t="s">
        <v>4466</v>
      </c>
      <c r="Z24" t="s">
        <v>1013</v>
      </c>
      <c r="AA24" t="s">
        <v>4478</v>
      </c>
      <c r="AB24" t="s">
        <v>4477</v>
      </c>
      <c r="AC24" t="s">
        <v>61</v>
      </c>
      <c r="AD24" t="s">
        <v>19</v>
      </c>
      <c r="AE24" t="s">
        <v>19</v>
      </c>
      <c r="AF24" t="s">
        <v>4503</v>
      </c>
      <c r="AG24" t="s">
        <v>1824</v>
      </c>
      <c r="AH24" t="s">
        <v>22</v>
      </c>
      <c r="AI24" t="s">
        <v>22</v>
      </c>
      <c r="AJ24" t="s">
        <v>22</v>
      </c>
      <c r="AK24" t="s">
        <v>22</v>
      </c>
    </row>
    <row r="25" spans="1:37" ht="11.25" customHeight="1">
      <c r="A25" t="s">
        <v>22</v>
      </c>
      <c r="B25" t="s">
        <v>48</v>
      </c>
      <c r="C25" t="s">
        <v>50</v>
      </c>
      <c r="D25" t="s">
        <v>22</v>
      </c>
      <c r="E25" t="s">
        <v>1065</v>
      </c>
      <c r="F25" t="s">
        <v>1065</v>
      </c>
      <c r="G25" t="s">
        <v>99</v>
      </c>
      <c r="H25" t="s">
        <v>99</v>
      </c>
      <c r="I25" t="s">
        <v>100</v>
      </c>
      <c r="J25" t="s">
        <v>1066</v>
      </c>
      <c r="K25" t="s">
        <v>1067</v>
      </c>
      <c r="L25" t="s">
        <v>4532</v>
      </c>
      <c r="M25" t="s">
        <v>4534</v>
      </c>
      <c r="N25" t="s">
        <v>114</v>
      </c>
      <c r="O25" t="s">
        <v>4476</v>
      </c>
      <c r="P25" t="s">
        <v>4476</v>
      </c>
      <c r="Q25" t="s">
        <v>100</v>
      </c>
      <c r="R25" t="s">
        <v>1066</v>
      </c>
      <c r="S25" t="s">
        <v>1067</v>
      </c>
      <c r="T25" t="s">
        <v>4465</v>
      </c>
      <c r="U25" t="s">
        <v>4466</v>
      </c>
      <c r="V25" t="s">
        <v>4477</v>
      </c>
      <c r="W25" t="s">
        <v>4468</v>
      </c>
      <c r="X25" t="s">
        <v>4469</v>
      </c>
      <c r="Y25" t="s">
        <v>4466</v>
      </c>
      <c r="Z25" t="s">
        <v>1013</v>
      </c>
      <c r="AA25" t="s">
        <v>4478</v>
      </c>
      <c r="AB25" t="s">
        <v>4477</v>
      </c>
      <c r="AC25" t="s">
        <v>61</v>
      </c>
      <c r="AD25" t="s">
        <v>19</v>
      </c>
      <c r="AE25" t="s">
        <v>19</v>
      </c>
      <c r="AF25" t="s">
        <v>4535</v>
      </c>
      <c r="AG25" t="s">
        <v>4536</v>
      </c>
      <c r="AH25" t="s">
        <v>22</v>
      </c>
      <c r="AI25" t="s">
        <v>22</v>
      </c>
      <c r="AJ25" t="s">
        <v>22</v>
      </c>
      <c r="AK25" t="s">
        <v>22</v>
      </c>
    </row>
    <row r="26" spans="1:37" ht="11.25" customHeight="1">
      <c r="A26" t="s">
        <v>22</v>
      </c>
      <c r="B26" t="s">
        <v>48</v>
      </c>
      <c r="C26" t="s">
        <v>50</v>
      </c>
      <c r="D26" t="s">
        <v>22</v>
      </c>
      <c r="E26" t="s">
        <v>1065</v>
      </c>
      <c r="F26" t="s">
        <v>1065</v>
      </c>
      <c r="G26" t="s">
        <v>99</v>
      </c>
      <c r="H26" t="s">
        <v>99</v>
      </c>
      <c r="I26" t="s">
        <v>100</v>
      </c>
      <c r="J26" t="s">
        <v>1066</v>
      </c>
      <c r="K26" t="s">
        <v>1067</v>
      </c>
      <c r="L26" t="s">
        <v>4537</v>
      </c>
      <c r="M26" t="s">
        <v>4515</v>
      </c>
      <c r="N26" t="s">
        <v>114</v>
      </c>
      <c r="O26" t="s">
        <v>4476</v>
      </c>
      <c r="P26" t="s">
        <v>4476</v>
      </c>
      <c r="Q26" t="s">
        <v>100</v>
      </c>
      <c r="R26" t="s">
        <v>1066</v>
      </c>
      <c r="S26" t="s">
        <v>1067</v>
      </c>
      <c r="T26" t="s">
        <v>4465</v>
      </c>
      <c r="U26" t="s">
        <v>4466</v>
      </c>
      <c r="V26" t="s">
        <v>4477</v>
      </c>
      <c r="W26" t="s">
        <v>4468</v>
      </c>
      <c r="X26" t="s">
        <v>4469</v>
      </c>
      <c r="Y26" t="s">
        <v>4466</v>
      </c>
      <c r="Z26" t="s">
        <v>1013</v>
      </c>
      <c r="AA26" t="s">
        <v>4478</v>
      </c>
      <c r="AB26" t="s">
        <v>4477</v>
      </c>
      <c r="AC26" t="s">
        <v>61</v>
      </c>
      <c r="AD26" t="s">
        <v>19</v>
      </c>
      <c r="AE26" t="s">
        <v>19</v>
      </c>
      <c r="AF26" t="s">
        <v>4538</v>
      </c>
      <c r="AG26" t="s">
        <v>4539</v>
      </c>
      <c r="AH26" t="s">
        <v>22</v>
      </c>
      <c r="AI26" t="s">
        <v>22</v>
      </c>
      <c r="AJ26" t="s">
        <v>22</v>
      </c>
      <c r="AK26" t="s">
        <v>22</v>
      </c>
    </row>
    <row r="27" spans="1:37" ht="11.25" customHeight="1">
      <c r="A27" t="s">
        <v>22</v>
      </c>
      <c r="B27" t="s">
        <v>48</v>
      </c>
      <c r="C27" t="s">
        <v>50</v>
      </c>
      <c r="D27" t="s">
        <v>22</v>
      </c>
      <c r="E27" t="s">
        <v>1065</v>
      </c>
      <c r="F27" t="s">
        <v>1065</v>
      </c>
      <c r="G27" t="s">
        <v>99</v>
      </c>
      <c r="H27" t="s">
        <v>99</v>
      </c>
      <c r="I27" t="s">
        <v>100</v>
      </c>
      <c r="J27" t="s">
        <v>1066</v>
      </c>
      <c r="K27" t="s">
        <v>1067</v>
      </c>
      <c r="L27" t="s">
        <v>4540</v>
      </c>
      <c r="M27" t="s">
        <v>4541</v>
      </c>
      <c r="N27" t="s">
        <v>114</v>
      </c>
      <c r="O27" t="s">
        <v>4476</v>
      </c>
      <c r="P27" t="s">
        <v>4476</v>
      </c>
      <c r="Q27" t="s">
        <v>100</v>
      </c>
      <c r="R27" t="s">
        <v>1066</v>
      </c>
      <c r="S27" t="s">
        <v>1067</v>
      </c>
      <c r="T27" t="s">
        <v>4465</v>
      </c>
      <c r="U27" t="s">
        <v>4466</v>
      </c>
      <c r="V27" t="s">
        <v>4477</v>
      </c>
      <c r="W27" t="s">
        <v>4468</v>
      </c>
      <c r="X27" t="s">
        <v>4469</v>
      </c>
      <c r="Y27" t="s">
        <v>4466</v>
      </c>
      <c r="Z27" t="s">
        <v>1013</v>
      </c>
      <c r="AA27" t="s">
        <v>4478</v>
      </c>
      <c r="AB27" t="s">
        <v>4477</v>
      </c>
      <c r="AC27" t="s">
        <v>61</v>
      </c>
      <c r="AD27" t="s">
        <v>19</v>
      </c>
      <c r="AE27" t="s">
        <v>19</v>
      </c>
      <c r="AF27" t="s">
        <v>4542</v>
      </c>
      <c r="AG27" t="s">
        <v>4527</v>
      </c>
      <c r="AH27" t="s">
        <v>22</v>
      </c>
      <c r="AI27" t="s">
        <v>22</v>
      </c>
      <c r="AJ27" t="s">
        <v>22</v>
      </c>
      <c r="AK27" t="s">
        <v>22</v>
      </c>
    </row>
    <row r="28" spans="1:37" ht="11.25" customHeight="1">
      <c r="A28" t="s">
        <v>22</v>
      </c>
      <c r="B28" t="s">
        <v>48</v>
      </c>
      <c r="C28" t="s">
        <v>50</v>
      </c>
      <c r="D28" t="s">
        <v>22</v>
      </c>
      <c r="E28" t="s">
        <v>1065</v>
      </c>
      <c r="F28" t="s">
        <v>1065</v>
      </c>
      <c r="G28" t="s">
        <v>99</v>
      </c>
      <c r="H28" t="s">
        <v>99</v>
      </c>
      <c r="I28" t="s">
        <v>100</v>
      </c>
      <c r="J28" t="s">
        <v>1066</v>
      </c>
      <c r="K28" t="s">
        <v>1067</v>
      </c>
      <c r="L28" t="s">
        <v>4543</v>
      </c>
      <c r="M28" t="s">
        <v>4544</v>
      </c>
      <c r="N28" t="s">
        <v>114</v>
      </c>
      <c r="O28" t="s">
        <v>4476</v>
      </c>
      <c r="P28" t="s">
        <v>4476</v>
      </c>
      <c r="Q28" t="s">
        <v>100</v>
      </c>
      <c r="R28" t="s">
        <v>1066</v>
      </c>
      <c r="S28" t="s">
        <v>1067</v>
      </c>
      <c r="T28" t="s">
        <v>4465</v>
      </c>
      <c r="U28" t="s">
        <v>4545</v>
      </c>
      <c r="V28" t="s">
        <v>4546</v>
      </c>
      <c r="W28" t="s">
        <v>4468</v>
      </c>
      <c r="X28" t="s">
        <v>4547</v>
      </c>
      <c r="Y28" t="s">
        <v>4545</v>
      </c>
      <c r="Z28" t="s">
        <v>4548</v>
      </c>
      <c r="AA28" t="s">
        <v>4549</v>
      </c>
      <c r="AB28" t="s">
        <v>4546</v>
      </c>
      <c r="AC28" t="s">
        <v>61</v>
      </c>
      <c r="AD28" t="s">
        <v>19</v>
      </c>
      <c r="AE28" t="s">
        <v>19</v>
      </c>
      <c r="AF28" t="s">
        <v>4550</v>
      </c>
      <c r="AG28" t="s">
        <v>4526</v>
      </c>
      <c r="AH28" t="s">
        <v>22</v>
      </c>
      <c r="AI28" t="s">
        <v>22</v>
      </c>
      <c r="AJ28" t="s">
        <v>22</v>
      </c>
      <c r="AK28" t="s">
        <v>22</v>
      </c>
    </row>
    <row r="29" spans="1:37" ht="11.25" customHeight="1">
      <c r="A29" t="s">
        <v>22</v>
      </c>
      <c r="B29" t="s">
        <v>48</v>
      </c>
      <c r="C29" t="s">
        <v>50</v>
      </c>
      <c r="D29" t="s">
        <v>22</v>
      </c>
      <c r="E29" t="s">
        <v>1065</v>
      </c>
      <c r="F29" t="s">
        <v>1065</v>
      </c>
      <c r="G29" t="s">
        <v>99</v>
      </c>
      <c r="H29" t="s">
        <v>99</v>
      </c>
      <c r="I29" t="s">
        <v>100</v>
      </c>
      <c r="J29" t="s">
        <v>1066</v>
      </c>
      <c r="K29" t="s">
        <v>1067</v>
      </c>
      <c r="L29" t="s">
        <v>4551</v>
      </c>
      <c r="M29" t="s">
        <v>4552</v>
      </c>
      <c r="N29" t="s">
        <v>114</v>
      </c>
      <c r="O29" t="s">
        <v>4476</v>
      </c>
      <c r="P29" t="s">
        <v>4476</v>
      </c>
      <c r="Q29" t="s">
        <v>100</v>
      </c>
      <c r="R29" t="s">
        <v>1066</v>
      </c>
      <c r="S29" t="s">
        <v>1067</v>
      </c>
      <c r="T29" t="s">
        <v>4465</v>
      </c>
      <c r="U29" t="s">
        <v>4545</v>
      </c>
      <c r="V29" t="s">
        <v>4546</v>
      </c>
      <c r="W29" t="s">
        <v>4468</v>
      </c>
      <c r="X29" t="s">
        <v>4547</v>
      </c>
      <c r="Y29" t="s">
        <v>4545</v>
      </c>
      <c r="Z29" t="s">
        <v>4548</v>
      </c>
      <c r="AA29" t="s">
        <v>4549</v>
      </c>
      <c r="AB29" t="s">
        <v>4546</v>
      </c>
      <c r="AC29" t="s">
        <v>61</v>
      </c>
      <c r="AD29" t="s">
        <v>19</v>
      </c>
      <c r="AE29" t="s">
        <v>19</v>
      </c>
      <c r="AF29" t="s">
        <v>4509</v>
      </c>
      <c r="AG29" t="s">
        <v>4503</v>
      </c>
      <c r="AH29" t="s">
        <v>22</v>
      </c>
      <c r="AI29" t="s">
        <v>22</v>
      </c>
      <c r="AJ29" t="s">
        <v>22</v>
      </c>
      <c r="AK29" t="s">
        <v>22</v>
      </c>
    </row>
    <row r="30" spans="1:37" ht="11.25" customHeight="1">
      <c r="A30" t="s">
        <v>22</v>
      </c>
      <c r="B30" t="s">
        <v>48</v>
      </c>
      <c r="C30" t="s">
        <v>50</v>
      </c>
      <c r="D30" t="s">
        <v>22</v>
      </c>
      <c r="E30" t="s">
        <v>1065</v>
      </c>
      <c r="F30" t="s">
        <v>1065</v>
      </c>
      <c r="G30" t="s">
        <v>99</v>
      </c>
      <c r="H30" t="s">
        <v>99</v>
      </c>
      <c r="I30" t="s">
        <v>100</v>
      </c>
      <c r="J30" t="s">
        <v>1066</v>
      </c>
      <c r="K30" t="s">
        <v>1067</v>
      </c>
      <c r="L30" t="s">
        <v>4553</v>
      </c>
      <c r="M30" t="s">
        <v>4554</v>
      </c>
      <c r="N30" t="s">
        <v>114</v>
      </c>
      <c r="O30" t="s">
        <v>4476</v>
      </c>
      <c r="P30" t="s">
        <v>4476</v>
      </c>
      <c r="Q30" t="s">
        <v>100</v>
      </c>
      <c r="R30" t="s">
        <v>1066</v>
      </c>
      <c r="S30" t="s">
        <v>1067</v>
      </c>
      <c r="T30" t="s">
        <v>4465</v>
      </c>
      <c r="U30" t="s">
        <v>4466</v>
      </c>
      <c r="V30" t="s">
        <v>4477</v>
      </c>
      <c r="W30" t="s">
        <v>4468</v>
      </c>
      <c r="X30" t="s">
        <v>4469</v>
      </c>
      <c r="Y30" t="s">
        <v>4466</v>
      </c>
      <c r="Z30" t="s">
        <v>1013</v>
      </c>
      <c r="AA30" t="s">
        <v>4478</v>
      </c>
      <c r="AB30" t="s">
        <v>4477</v>
      </c>
      <c r="AC30" t="s">
        <v>61</v>
      </c>
      <c r="AD30" t="s">
        <v>19</v>
      </c>
      <c r="AE30" t="s">
        <v>19</v>
      </c>
      <c r="AF30" t="s">
        <v>4555</v>
      </c>
      <c r="AG30" t="s">
        <v>4506</v>
      </c>
      <c r="AH30" t="s">
        <v>22</v>
      </c>
      <c r="AI30" t="s">
        <v>22</v>
      </c>
      <c r="AJ30" t="s">
        <v>22</v>
      </c>
      <c r="AK30" t="s">
        <v>22</v>
      </c>
    </row>
    <row r="31" spans="1:37" ht="11.25" customHeight="1">
      <c r="A31" t="s">
        <v>22</v>
      </c>
      <c r="B31" t="s">
        <v>48</v>
      </c>
      <c r="C31" t="s">
        <v>50</v>
      </c>
      <c r="D31" t="s">
        <v>22</v>
      </c>
      <c r="E31" t="s">
        <v>1065</v>
      </c>
      <c r="F31" t="s">
        <v>1065</v>
      </c>
      <c r="G31" t="s">
        <v>99</v>
      </c>
      <c r="H31" t="s">
        <v>99</v>
      </c>
      <c r="I31" t="s">
        <v>100</v>
      </c>
      <c r="J31" t="s">
        <v>1066</v>
      </c>
      <c r="K31" t="s">
        <v>1067</v>
      </c>
      <c r="L31" t="s">
        <v>4556</v>
      </c>
      <c r="M31" t="s">
        <v>161</v>
      </c>
      <c r="N31" t="s">
        <v>114</v>
      </c>
      <c r="O31" t="s">
        <v>4476</v>
      </c>
      <c r="P31" t="s">
        <v>4476</v>
      </c>
      <c r="Q31" t="s">
        <v>100</v>
      </c>
      <c r="R31" t="s">
        <v>1066</v>
      </c>
      <c r="S31" t="s">
        <v>1067</v>
      </c>
      <c r="T31" t="s">
        <v>4465</v>
      </c>
      <c r="U31" t="s">
        <v>4545</v>
      </c>
      <c r="V31" t="s">
        <v>4546</v>
      </c>
      <c r="W31" t="s">
        <v>4468</v>
      </c>
      <c r="X31" t="s">
        <v>4547</v>
      </c>
      <c r="Y31" t="s">
        <v>4545</v>
      </c>
      <c r="Z31" t="s">
        <v>4557</v>
      </c>
      <c r="AA31" t="s">
        <v>4549</v>
      </c>
      <c r="AB31" t="s">
        <v>4546</v>
      </c>
      <c r="AC31" t="s">
        <v>61</v>
      </c>
      <c r="AD31" t="s">
        <v>19</v>
      </c>
      <c r="AE31" t="s">
        <v>19</v>
      </c>
      <c r="AF31" t="s">
        <v>105</v>
      </c>
      <c r="AG31" t="s">
        <v>105</v>
      </c>
      <c r="AH31" t="s">
        <v>22</v>
      </c>
      <c r="AI31" t="s">
        <v>22</v>
      </c>
      <c r="AJ31" t="s">
        <v>22</v>
      </c>
      <c r="AK31" t="s">
        <v>22</v>
      </c>
    </row>
    <row r="32" spans="1:37" ht="11.25" customHeight="1">
      <c r="A32" t="s">
        <v>22</v>
      </c>
      <c r="B32" t="s">
        <v>48</v>
      </c>
      <c r="C32" t="s">
        <v>50</v>
      </c>
      <c r="D32" t="s">
        <v>22</v>
      </c>
      <c r="E32" t="s">
        <v>1065</v>
      </c>
      <c r="F32" t="s">
        <v>1065</v>
      </c>
      <c r="G32" t="s">
        <v>99</v>
      </c>
      <c r="H32" t="s">
        <v>99</v>
      </c>
      <c r="I32" t="s">
        <v>100</v>
      </c>
      <c r="J32" t="s">
        <v>1066</v>
      </c>
      <c r="K32" t="s">
        <v>1067</v>
      </c>
      <c r="L32" t="s">
        <v>4558</v>
      </c>
      <c r="M32" t="s">
        <v>4559</v>
      </c>
      <c r="N32" t="s">
        <v>114</v>
      </c>
      <c r="O32" t="s">
        <v>4476</v>
      </c>
      <c r="P32" t="s">
        <v>4476</v>
      </c>
      <c r="Q32" t="s">
        <v>100</v>
      </c>
      <c r="R32" t="s">
        <v>1066</v>
      </c>
      <c r="S32" t="s">
        <v>1067</v>
      </c>
      <c r="T32" t="s">
        <v>4465</v>
      </c>
      <c r="U32" t="s">
        <v>4466</v>
      </c>
      <c r="V32" t="s">
        <v>4477</v>
      </c>
      <c r="W32" t="s">
        <v>4468</v>
      </c>
      <c r="X32" t="s">
        <v>4469</v>
      </c>
      <c r="Y32" t="s">
        <v>4466</v>
      </c>
      <c r="Z32" t="s">
        <v>1013</v>
      </c>
      <c r="AA32" t="s">
        <v>4478</v>
      </c>
      <c r="AB32" t="s">
        <v>4477</v>
      </c>
      <c r="AC32" t="s">
        <v>61</v>
      </c>
      <c r="AD32" t="s">
        <v>19</v>
      </c>
      <c r="AE32" t="s">
        <v>19</v>
      </c>
      <c r="AF32" t="s">
        <v>4560</v>
      </c>
      <c r="AG32" t="s">
        <v>4561</v>
      </c>
      <c r="AH32" t="s">
        <v>22</v>
      </c>
      <c r="AI32" t="s">
        <v>22</v>
      </c>
      <c r="AJ32" t="s">
        <v>22</v>
      </c>
      <c r="AK32" t="s">
        <v>22</v>
      </c>
    </row>
    <row r="33" spans="1:37" ht="11.25" customHeight="1">
      <c r="A33" t="s">
        <v>22</v>
      </c>
      <c r="B33" t="s">
        <v>48</v>
      </c>
      <c r="C33" t="s">
        <v>50</v>
      </c>
      <c r="D33" t="s">
        <v>22</v>
      </c>
      <c r="E33" t="s">
        <v>1065</v>
      </c>
      <c r="F33" t="s">
        <v>1065</v>
      </c>
      <c r="G33" t="s">
        <v>99</v>
      </c>
      <c r="H33" t="s">
        <v>99</v>
      </c>
      <c r="I33" t="s">
        <v>100</v>
      </c>
      <c r="J33" t="s">
        <v>1066</v>
      </c>
      <c r="K33" t="s">
        <v>1067</v>
      </c>
      <c r="L33" t="s">
        <v>4562</v>
      </c>
      <c r="M33" t="s">
        <v>4559</v>
      </c>
      <c r="N33" t="s">
        <v>114</v>
      </c>
      <c r="O33" t="s">
        <v>4476</v>
      </c>
      <c r="P33" t="s">
        <v>4476</v>
      </c>
      <c r="Q33" t="s">
        <v>100</v>
      </c>
      <c r="R33" t="s">
        <v>1066</v>
      </c>
      <c r="S33" t="s">
        <v>1067</v>
      </c>
      <c r="T33" t="s">
        <v>4465</v>
      </c>
      <c r="U33" t="s">
        <v>4466</v>
      </c>
      <c r="V33" t="s">
        <v>4477</v>
      </c>
      <c r="W33" t="s">
        <v>4468</v>
      </c>
      <c r="X33" t="s">
        <v>4469</v>
      </c>
      <c r="Y33" t="s">
        <v>4466</v>
      </c>
      <c r="Z33" t="s">
        <v>1013</v>
      </c>
      <c r="AA33" t="s">
        <v>4478</v>
      </c>
      <c r="AB33" t="s">
        <v>4477</v>
      </c>
      <c r="AC33" t="s">
        <v>61</v>
      </c>
      <c r="AD33" t="s">
        <v>19</v>
      </c>
      <c r="AE33" t="s">
        <v>19</v>
      </c>
      <c r="AF33" t="s">
        <v>4496</v>
      </c>
      <c r="AG33" t="s">
        <v>4509</v>
      </c>
      <c r="AH33" t="s">
        <v>22</v>
      </c>
      <c r="AI33" t="s">
        <v>22</v>
      </c>
      <c r="AJ33" t="s">
        <v>22</v>
      </c>
      <c r="AK33" t="s">
        <v>22</v>
      </c>
    </row>
    <row r="34" spans="1:37" ht="11.25" customHeight="1">
      <c r="A34" t="s">
        <v>22</v>
      </c>
      <c r="B34" t="s">
        <v>48</v>
      </c>
      <c r="C34" t="s">
        <v>50</v>
      </c>
      <c r="D34" t="s">
        <v>22</v>
      </c>
      <c r="E34" t="s">
        <v>1065</v>
      </c>
      <c r="F34" t="s">
        <v>1065</v>
      </c>
      <c r="G34" t="s">
        <v>99</v>
      </c>
      <c r="H34" t="s">
        <v>99</v>
      </c>
      <c r="I34" t="s">
        <v>100</v>
      </c>
      <c r="J34" t="s">
        <v>1066</v>
      </c>
      <c r="K34" t="s">
        <v>1067</v>
      </c>
      <c r="L34" t="s">
        <v>4563</v>
      </c>
      <c r="M34" t="s">
        <v>1136</v>
      </c>
      <c r="N34" t="s">
        <v>114</v>
      </c>
      <c r="O34" t="s">
        <v>4476</v>
      </c>
      <c r="P34" t="s">
        <v>4476</v>
      </c>
      <c r="Q34" t="s">
        <v>100</v>
      </c>
      <c r="R34" t="s">
        <v>1066</v>
      </c>
      <c r="S34" t="s">
        <v>1067</v>
      </c>
      <c r="T34" t="s">
        <v>4465</v>
      </c>
      <c r="U34" t="s">
        <v>4545</v>
      </c>
      <c r="V34" t="s">
        <v>4546</v>
      </c>
      <c r="W34" t="s">
        <v>4468</v>
      </c>
      <c r="X34" t="s">
        <v>4547</v>
      </c>
      <c r="Y34" t="s">
        <v>4545</v>
      </c>
      <c r="Z34" t="s">
        <v>4557</v>
      </c>
      <c r="AA34" t="s">
        <v>4549</v>
      </c>
      <c r="AB34" t="s">
        <v>4546</v>
      </c>
      <c r="AC34" t="s">
        <v>61</v>
      </c>
      <c r="AD34" t="s">
        <v>19</v>
      </c>
      <c r="AE34" t="s">
        <v>19</v>
      </c>
      <c r="AF34" t="s">
        <v>4520</v>
      </c>
      <c r="AG34" t="s">
        <v>4564</v>
      </c>
      <c r="AH34" t="s">
        <v>22</v>
      </c>
      <c r="AI34" t="s">
        <v>22</v>
      </c>
      <c r="AJ34" t="s">
        <v>22</v>
      </c>
      <c r="AK34" t="s">
        <v>22</v>
      </c>
    </row>
    <row r="35" spans="1:37" ht="11.25" customHeight="1">
      <c r="A35" t="s">
        <v>22</v>
      </c>
      <c r="B35" t="s">
        <v>48</v>
      </c>
      <c r="C35" t="s">
        <v>50</v>
      </c>
      <c r="D35" t="s">
        <v>22</v>
      </c>
      <c r="E35" t="s">
        <v>1065</v>
      </c>
      <c r="F35" t="s">
        <v>1065</v>
      </c>
      <c r="G35" t="s">
        <v>99</v>
      </c>
      <c r="H35" t="s">
        <v>99</v>
      </c>
      <c r="I35" t="s">
        <v>100</v>
      </c>
      <c r="J35" t="s">
        <v>1066</v>
      </c>
      <c r="K35" t="s">
        <v>1067</v>
      </c>
      <c r="L35" t="s">
        <v>4565</v>
      </c>
      <c r="M35" t="s">
        <v>4566</v>
      </c>
      <c r="N35" t="s">
        <v>114</v>
      </c>
      <c r="O35" t="s">
        <v>4476</v>
      </c>
      <c r="P35" t="s">
        <v>4476</v>
      </c>
      <c r="Q35" t="s">
        <v>100</v>
      </c>
      <c r="R35" t="s">
        <v>1066</v>
      </c>
      <c r="S35" t="s">
        <v>1067</v>
      </c>
      <c r="T35" t="s">
        <v>4567</v>
      </c>
      <c r="U35" t="s">
        <v>4567</v>
      </c>
      <c r="V35" t="s">
        <v>4568</v>
      </c>
      <c r="W35" t="s">
        <v>4468</v>
      </c>
      <c r="X35" t="s">
        <v>4569</v>
      </c>
      <c r="Y35" t="s">
        <v>4570</v>
      </c>
      <c r="Z35" t="s">
        <v>1013</v>
      </c>
      <c r="AA35" t="s">
        <v>4571</v>
      </c>
      <c r="AB35" t="s">
        <v>4572</v>
      </c>
      <c r="AC35" t="s">
        <v>61</v>
      </c>
      <c r="AD35" t="s">
        <v>19</v>
      </c>
      <c r="AE35" t="s">
        <v>19</v>
      </c>
      <c r="AF35" t="s">
        <v>1168</v>
      </c>
      <c r="AG35" t="s">
        <v>1127</v>
      </c>
      <c r="AH35" t="s">
        <v>22</v>
      </c>
      <c r="AI35" t="s">
        <v>22</v>
      </c>
      <c r="AJ35" t="s">
        <v>22</v>
      </c>
      <c r="AK35" t="s">
        <v>22</v>
      </c>
    </row>
    <row r="36" spans="1:37" ht="11.25" customHeight="1">
      <c r="A36" t="s">
        <v>22</v>
      </c>
      <c r="B36" t="s">
        <v>48</v>
      </c>
      <c r="C36" t="s">
        <v>50</v>
      </c>
      <c r="D36" t="s">
        <v>22</v>
      </c>
      <c r="E36" t="s">
        <v>1065</v>
      </c>
      <c r="F36" t="s">
        <v>1065</v>
      </c>
      <c r="G36" t="s">
        <v>99</v>
      </c>
      <c r="H36" t="s">
        <v>99</v>
      </c>
      <c r="I36" t="s">
        <v>100</v>
      </c>
      <c r="J36" t="s">
        <v>1066</v>
      </c>
      <c r="K36" t="s">
        <v>1067</v>
      </c>
      <c r="L36" t="s">
        <v>4573</v>
      </c>
      <c r="M36" t="s">
        <v>4574</v>
      </c>
      <c r="N36" t="s">
        <v>114</v>
      </c>
      <c r="O36" t="s">
        <v>4476</v>
      </c>
      <c r="P36" t="s">
        <v>4476</v>
      </c>
      <c r="Q36" t="s">
        <v>100</v>
      </c>
      <c r="R36" t="s">
        <v>1066</v>
      </c>
      <c r="S36" t="s">
        <v>1067</v>
      </c>
      <c r="T36" t="s">
        <v>4465</v>
      </c>
      <c r="U36" t="s">
        <v>4545</v>
      </c>
      <c r="V36" t="s">
        <v>4546</v>
      </c>
      <c r="W36" t="s">
        <v>4468</v>
      </c>
      <c r="X36" t="s">
        <v>4547</v>
      </c>
      <c r="Y36" t="s">
        <v>4545</v>
      </c>
      <c r="Z36" t="s">
        <v>4557</v>
      </c>
      <c r="AA36" t="s">
        <v>4549</v>
      </c>
      <c r="AB36" t="s">
        <v>4546</v>
      </c>
      <c r="AC36" t="s">
        <v>61</v>
      </c>
      <c r="AD36" t="s">
        <v>19</v>
      </c>
      <c r="AE36" t="s">
        <v>19</v>
      </c>
      <c r="AF36" t="s">
        <v>4575</v>
      </c>
      <c r="AG36" t="s">
        <v>4576</v>
      </c>
      <c r="AH36" t="s">
        <v>22</v>
      </c>
      <c r="AI36" t="s">
        <v>22</v>
      </c>
      <c r="AJ36" t="s">
        <v>22</v>
      </c>
      <c r="AK36" t="s">
        <v>22</v>
      </c>
    </row>
    <row r="37" spans="1:37" ht="11.25" customHeight="1">
      <c r="A37" t="s">
        <v>22</v>
      </c>
      <c r="B37" t="s">
        <v>48</v>
      </c>
      <c r="C37" t="s">
        <v>50</v>
      </c>
      <c r="D37" t="s">
        <v>22</v>
      </c>
      <c r="E37" t="s">
        <v>1065</v>
      </c>
      <c r="F37" t="s">
        <v>1065</v>
      </c>
      <c r="G37" t="s">
        <v>99</v>
      </c>
      <c r="H37" t="s">
        <v>99</v>
      </c>
      <c r="I37" t="s">
        <v>100</v>
      </c>
      <c r="J37" t="s">
        <v>1066</v>
      </c>
      <c r="K37" t="s">
        <v>1067</v>
      </c>
      <c r="L37" t="s">
        <v>4577</v>
      </c>
      <c r="M37" t="s">
        <v>89</v>
      </c>
      <c r="N37" t="s">
        <v>114</v>
      </c>
      <c r="O37" t="s">
        <v>4476</v>
      </c>
      <c r="P37" t="s">
        <v>4476</v>
      </c>
      <c r="Q37" t="s">
        <v>100</v>
      </c>
      <c r="R37" t="s">
        <v>1066</v>
      </c>
      <c r="S37" t="s">
        <v>1067</v>
      </c>
      <c r="T37" t="s">
        <v>4465</v>
      </c>
      <c r="U37" t="s">
        <v>4545</v>
      </c>
      <c r="V37" t="s">
        <v>4546</v>
      </c>
      <c r="W37" t="s">
        <v>4468</v>
      </c>
      <c r="X37" t="s">
        <v>4547</v>
      </c>
      <c r="Y37" t="s">
        <v>4545</v>
      </c>
      <c r="Z37" t="s">
        <v>4557</v>
      </c>
      <c r="AA37" t="s">
        <v>4549</v>
      </c>
      <c r="AB37" t="s">
        <v>4546</v>
      </c>
      <c r="AC37" t="s">
        <v>61</v>
      </c>
      <c r="AD37" t="s">
        <v>19</v>
      </c>
      <c r="AE37" t="s">
        <v>19</v>
      </c>
      <c r="AF37" t="s">
        <v>1158</v>
      </c>
      <c r="AG37" t="s">
        <v>1158</v>
      </c>
      <c r="AH37" t="s">
        <v>22</v>
      </c>
      <c r="AI37" t="s">
        <v>22</v>
      </c>
      <c r="AJ37" t="s">
        <v>22</v>
      </c>
      <c r="AK37" t="s">
        <v>22</v>
      </c>
    </row>
    <row r="38" spans="1:37" ht="11.25" customHeight="1">
      <c r="A38" t="s">
        <v>22</v>
      </c>
      <c r="B38" t="s">
        <v>48</v>
      </c>
      <c r="C38" t="s">
        <v>50</v>
      </c>
      <c r="D38" t="s">
        <v>22</v>
      </c>
      <c r="E38" t="s">
        <v>1065</v>
      </c>
      <c r="F38" t="s">
        <v>1065</v>
      </c>
      <c r="G38" t="s">
        <v>99</v>
      </c>
      <c r="H38" t="s">
        <v>99</v>
      </c>
      <c r="I38" t="s">
        <v>100</v>
      </c>
      <c r="J38" t="s">
        <v>1066</v>
      </c>
      <c r="K38" t="s">
        <v>1067</v>
      </c>
      <c r="L38" t="s">
        <v>4578</v>
      </c>
      <c r="M38" t="s">
        <v>4579</v>
      </c>
      <c r="N38" t="s">
        <v>114</v>
      </c>
      <c r="O38" t="s">
        <v>4476</v>
      </c>
      <c r="P38" t="s">
        <v>4476</v>
      </c>
      <c r="Q38" t="s">
        <v>100</v>
      </c>
      <c r="R38" t="s">
        <v>1066</v>
      </c>
      <c r="S38" t="s">
        <v>1067</v>
      </c>
      <c r="T38" t="s">
        <v>4465</v>
      </c>
      <c r="U38" t="s">
        <v>4545</v>
      </c>
      <c r="V38" t="s">
        <v>4546</v>
      </c>
      <c r="W38" t="s">
        <v>4468</v>
      </c>
      <c r="X38" t="s">
        <v>4547</v>
      </c>
      <c r="Y38" t="s">
        <v>4545</v>
      </c>
      <c r="Z38" t="s">
        <v>4557</v>
      </c>
      <c r="AA38" t="s">
        <v>4549</v>
      </c>
      <c r="AB38" t="s">
        <v>4546</v>
      </c>
      <c r="AC38" t="s">
        <v>61</v>
      </c>
      <c r="AD38" t="s">
        <v>19</v>
      </c>
      <c r="AE38" t="s">
        <v>19</v>
      </c>
      <c r="AF38" t="s">
        <v>4536</v>
      </c>
      <c r="AG38" t="s">
        <v>4580</v>
      </c>
      <c r="AH38" t="s">
        <v>22</v>
      </c>
      <c r="AI38" t="s">
        <v>22</v>
      </c>
      <c r="AJ38" t="s">
        <v>22</v>
      </c>
      <c r="AK38" t="s">
        <v>22</v>
      </c>
    </row>
    <row r="39" spans="1:37" ht="11.25" customHeight="1">
      <c r="A39" t="s">
        <v>22</v>
      </c>
      <c r="B39" t="s">
        <v>48</v>
      </c>
      <c r="C39" t="s">
        <v>50</v>
      </c>
      <c r="D39" t="s">
        <v>22</v>
      </c>
      <c r="E39" t="s">
        <v>1065</v>
      </c>
      <c r="F39" t="s">
        <v>1065</v>
      </c>
      <c r="G39" t="s">
        <v>99</v>
      </c>
      <c r="H39" t="s">
        <v>99</v>
      </c>
      <c r="I39" t="s">
        <v>100</v>
      </c>
      <c r="J39" t="s">
        <v>1066</v>
      </c>
      <c r="K39" t="s">
        <v>1067</v>
      </c>
      <c r="L39" t="s">
        <v>4581</v>
      </c>
      <c r="M39" t="s">
        <v>114</v>
      </c>
      <c r="N39" t="s">
        <v>114</v>
      </c>
      <c r="O39" t="s">
        <v>4476</v>
      </c>
      <c r="P39" t="s">
        <v>4476</v>
      </c>
      <c r="Q39" t="s">
        <v>100</v>
      </c>
      <c r="R39" t="s">
        <v>1066</v>
      </c>
      <c r="S39" t="s">
        <v>1067</v>
      </c>
      <c r="T39" t="s">
        <v>4465</v>
      </c>
      <c r="U39" t="s">
        <v>4545</v>
      </c>
      <c r="V39" t="s">
        <v>4546</v>
      </c>
      <c r="W39" t="s">
        <v>4468</v>
      </c>
      <c r="X39" t="s">
        <v>4547</v>
      </c>
      <c r="Y39" t="s">
        <v>4545</v>
      </c>
      <c r="Z39" t="s">
        <v>4557</v>
      </c>
      <c r="AA39" t="s">
        <v>4549</v>
      </c>
      <c r="AB39" t="s">
        <v>4546</v>
      </c>
      <c r="AC39" t="s">
        <v>61</v>
      </c>
      <c r="AD39" t="s">
        <v>19</v>
      </c>
      <c r="AE39" t="s">
        <v>19</v>
      </c>
      <c r="AF39" t="s">
        <v>1158</v>
      </c>
      <c r="AG39" t="s">
        <v>1158</v>
      </c>
      <c r="AH39" t="s">
        <v>22</v>
      </c>
      <c r="AI39" t="s">
        <v>22</v>
      </c>
      <c r="AJ39" t="s">
        <v>22</v>
      </c>
      <c r="AK39" t="s">
        <v>22</v>
      </c>
    </row>
    <row r="40" spans="1:37" ht="11.25" customHeight="1">
      <c r="A40" t="s">
        <v>22</v>
      </c>
      <c r="B40" t="s">
        <v>48</v>
      </c>
      <c r="C40" t="s">
        <v>50</v>
      </c>
      <c r="D40" t="s">
        <v>22</v>
      </c>
      <c r="E40" t="s">
        <v>1065</v>
      </c>
      <c r="F40" t="s">
        <v>1065</v>
      </c>
      <c r="G40" t="s">
        <v>99</v>
      </c>
      <c r="H40" t="s">
        <v>99</v>
      </c>
      <c r="I40" t="s">
        <v>100</v>
      </c>
      <c r="J40" t="s">
        <v>1066</v>
      </c>
      <c r="K40" t="s">
        <v>1067</v>
      </c>
      <c r="L40" t="s">
        <v>4582</v>
      </c>
      <c r="M40" t="s">
        <v>1013</v>
      </c>
      <c r="N40" t="s">
        <v>114</v>
      </c>
      <c r="O40" t="s">
        <v>4476</v>
      </c>
      <c r="P40" t="s">
        <v>4476</v>
      </c>
      <c r="Q40" t="s">
        <v>100</v>
      </c>
      <c r="R40" t="s">
        <v>1066</v>
      </c>
      <c r="S40" t="s">
        <v>1067</v>
      </c>
      <c r="T40" t="s">
        <v>4465</v>
      </c>
      <c r="U40" t="s">
        <v>4545</v>
      </c>
      <c r="V40" t="s">
        <v>4546</v>
      </c>
      <c r="W40" t="s">
        <v>4468</v>
      </c>
      <c r="X40" t="s">
        <v>4547</v>
      </c>
      <c r="Y40" t="s">
        <v>4545</v>
      </c>
      <c r="Z40" t="s">
        <v>4557</v>
      </c>
      <c r="AA40" t="s">
        <v>4549</v>
      </c>
      <c r="AB40" t="s">
        <v>4546</v>
      </c>
      <c r="AC40" t="s">
        <v>61</v>
      </c>
      <c r="AD40" t="s">
        <v>19</v>
      </c>
      <c r="AE40" t="s">
        <v>19</v>
      </c>
      <c r="AF40" t="s">
        <v>1803</v>
      </c>
      <c r="AG40" t="s">
        <v>1803</v>
      </c>
      <c r="AH40" t="s">
        <v>22</v>
      </c>
      <c r="AI40" t="s">
        <v>22</v>
      </c>
      <c r="AJ40" t="s">
        <v>22</v>
      </c>
      <c r="AK40" t="s">
        <v>22</v>
      </c>
    </row>
    <row r="41" spans="1:37" ht="11.25" customHeight="1">
      <c r="A41" t="s">
        <v>22</v>
      </c>
      <c r="B41" t="s">
        <v>48</v>
      </c>
      <c r="C41" t="s">
        <v>50</v>
      </c>
      <c r="D41" t="s">
        <v>22</v>
      </c>
      <c r="E41" t="s">
        <v>1065</v>
      </c>
      <c r="F41" t="s">
        <v>1065</v>
      </c>
      <c r="G41" t="s">
        <v>99</v>
      </c>
      <c r="H41" t="s">
        <v>99</v>
      </c>
      <c r="I41" t="s">
        <v>100</v>
      </c>
      <c r="J41" t="s">
        <v>1066</v>
      </c>
      <c r="K41" t="s">
        <v>1067</v>
      </c>
      <c r="L41" t="s">
        <v>4583</v>
      </c>
      <c r="M41" t="s">
        <v>1168</v>
      </c>
      <c r="N41" t="s">
        <v>114</v>
      </c>
      <c r="O41" t="s">
        <v>4476</v>
      </c>
      <c r="P41" t="s">
        <v>4476</v>
      </c>
      <c r="Q41" t="s">
        <v>100</v>
      </c>
      <c r="R41" t="s">
        <v>1066</v>
      </c>
      <c r="S41" t="s">
        <v>1067</v>
      </c>
      <c r="T41" t="s">
        <v>4584</v>
      </c>
      <c r="U41" t="s">
        <v>4545</v>
      </c>
      <c r="V41" t="s">
        <v>4585</v>
      </c>
      <c r="W41" t="s">
        <v>4468</v>
      </c>
      <c r="X41" t="s">
        <v>4547</v>
      </c>
      <c r="Y41" t="s">
        <v>4545</v>
      </c>
      <c r="Z41" t="s">
        <v>4586</v>
      </c>
      <c r="AA41" t="s">
        <v>4587</v>
      </c>
      <c r="AB41" t="s">
        <v>4585</v>
      </c>
      <c r="AC41" t="s">
        <v>61</v>
      </c>
      <c r="AD41" t="s">
        <v>19</v>
      </c>
      <c r="AE41" t="s">
        <v>19</v>
      </c>
      <c r="AF41" t="s">
        <v>4588</v>
      </c>
      <c r="AG41" t="s">
        <v>4496</v>
      </c>
      <c r="AH41" t="s">
        <v>22</v>
      </c>
      <c r="AI41" t="s">
        <v>22</v>
      </c>
      <c r="AJ41" t="s">
        <v>22</v>
      </c>
      <c r="AK41" t="s">
        <v>22</v>
      </c>
    </row>
    <row r="42" spans="1:37" ht="11.25" customHeight="1">
      <c r="A42" t="s">
        <v>22</v>
      </c>
      <c r="B42" t="s">
        <v>48</v>
      </c>
      <c r="C42" t="s">
        <v>50</v>
      </c>
      <c r="D42" t="s">
        <v>22</v>
      </c>
      <c r="E42" t="s">
        <v>1065</v>
      </c>
      <c r="F42" t="s">
        <v>1065</v>
      </c>
      <c r="G42" t="s">
        <v>99</v>
      </c>
      <c r="H42" t="s">
        <v>99</v>
      </c>
      <c r="I42" t="s">
        <v>100</v>
      </c>
      <c r="J42" t="s">
        <v>1066</v>
      </c>
      <c r="K42" t="s">
        <v>1067</v>
      </c>
      <c r="L42" t="s">
        <v>4589</v>
      </c>
      <c r="M42" t="s">
        <v>4590</v>
      </c>
      <c r="N42" t="s">
        <v>114</v>
      </c>
      <c r="O42" t="s">
        <v>4476</v>
      </c>
      <c r="P42" t="s">
        <v>4476</v>
      </c>
      <c r="Q42" t="s">
        <v>100</v>
      </c>
      <c r="R42" t="s">
        <v>1066</v>
      </c>
      <c r="S42" t="s">
        <v>1067</v>
      </c>
      <c r="T42" t="s">
        <v>4567</v>
      </c>
      <c r="U42" t="s">
        <v>4567</v>
      </c>
      <c r="V42" t="s">
        <v>4568</v>
      </c>
      <c r="W42" t="s">
        <v>4468</v>
      </c>
      <c r="X42" t="s">
        <v>4569</v>
      </c>
      <c r="Y42" t="s">
        <v>4570</v>
      </c>
      <c r="Z42" t="s">
        <v>1013</v>
      </c>
      <c r="AA42" t="s">
        <v>4591</v>
      </c>
      <c r="AB42" t="s">
        <v>4592</v>
      </c>
      <c r="AC42" t="s">
        <v>61</v>
      </c>
      <c r="AD42" t="s">
        <v>19</v>
      </c>
      <c r="AE42" t="s">
        <v>19</v>
      </c>
      <c r="AF42" t="s">
        <v>4593</v>
      </c>
      <c r="AG42" t="s">
        <v>4594</v>
      </c>
      <c r="AH42" t="s">
        <v>22</v>
      </c>
      <c r="AI42" t="s">
        <v>22</v>
      </c>
      <c r="AJ42" t="s">
        <v>22</v>
      </c>
      <c r="AK42" t="s">
        <v>22</v>
      </c>
    </row>
    <row r="43" spans="1:37" ht="11.25" customHeight="1">
      <c r="A43" t="s">
        <v>22</v>
      </c>
      <c r="B43" t="s">
        <v>48</v>
      </c>
      <c r="C43" t="s">
        <v>50</v>
      </c>
      <c r="D43" t="s">
        <v>22</v>
      </c>
      <c r="E43" t="s">
        <v>1065</v>
      </c>
      <c r="F43" t="s">
        <v>1065</v>
      </c>
      <c r="G43" t="s">
        <v>99</v>
      </c>
      <c r="H43" t="s">
        <v>99</v>
      </c>
      <c r="I43" t="s">
        <v>100</v>
      </c>
      <c r="J43" t="s">
        <v>1066</v>
      </c>
      <c r="K43" t="s">
        <v>1067</v>
      </c>
      <c r="L43" t="s">
        <v>4595</v>
      </c>
      <c r="M43" t="s">
        <v>4596</v>
      </c>
      <c r="N43" t="s">
        <v>114</v>
      </c>
      <c r="O43" t="s">
        <v>4476</v>
      </c>
      <c r="P43" t="s">
        <v>4476</v>
      </c>
      <c r="Q43" t="s">
        <v>100</v>
      </c>
      <c r="R43" t="s">
        <v>1066</v>
      </c>
      <c r="S43" t="s">
        <v>1067</v>
      </c>
      <c r="T43" t="s">
        <v>4465</v>
      </c>
      <c r="U43" t="s">
        <v>4466</v>
      </c>
      <c r="V43" t="s">
        <v>4477</v>
      </c>
      <c r="W43" t="s">
        <v>4468</v>
      </c>
      <c r="X43" t="s">
        <v>4469</v>
      </c>
      <c r="Y43" t="s">
        <v>4466</v>
      </c>
      <c r="Z43" t="s">
        <v>1013</v>
      </c>
      <c r="AA43" t="s">
        <v>4478</v>
      </c>
      <c r="AB43" t="s">
        <v>4477</v>
      </c>
      <c r="AC43" t="s">
        <v>61</v>
      </c>
      <c r="AD43" t="s">
        <v>19</v>
      </c>
      <c r="AE43" t="s">
        <v>19</v>
      </c>
      <c r="AF43" t="s">
        <v>4526</v>
      </c>
      <c r="AG43" t="s">
        <v>4527</v>
      </c>
      <c r="AH43" t="s">
        <v>22</v>
      </c>
      <c r="AI43" t="s">
        <v>22</v>
      </c>
      <c r="AJ43" t="s">
        <v>22</v>
      </c>
      <c r="AK43" t="s">
        <v>22</v>
      </c>
    </row>
    <row r="44" spans="1:37" ht="11.25" customHeight="1">
      <c r="A44" t="s">
        <v>22</v>
      </c>
      <c r="B44" t="s">
        <v>48</v>
      </c>
      <c r="C44" t="s">
        <v>50</v>
      </c>
      <c r="D44" t="s">
        <v>22</v>
      </c>
      <c r="E44" t="s">
        <v>1065</v>
      </c>
      <c r="F44" t="s">
        <v>1065</v>
      </c>
      <c r="G44" t="s">
        <v>99</v>
      </c>
      <c r="H44" t="s">
        <v>99</v>
      </c>
      <c r="I44" t="s">
        <v>100</v>
      </c>
      <c r="J44" t="s">
        <v>1066</v>
      </c>
      <c r="K44" t="s">
        <v>1067</v>
      </c>
      <c r="L44" t="s">
        <v>4597</v>
      </c>
      <c r="M44" t="s">
        <v>1013</v>
      </c>
      <c r="N44" t="s">
        <v>114</v>
      </c>
      <c r="O44" t="s">
        <v>4476</v>
      </c>
      <c r="P44" t="s">
        <v>4476</v>
      </c>
      <c r="Q44" t="s">
        <v>100</v>
      </c>
      <c r="R44" t="s">
        <v>1066</v>
      </c>
      <c r="S44" t="s">
        <v>1067</v>
      </c>
      <c r="T44" t="s">
        <v>4465</v>
      </c>
      <c r="U44" t="s">
        <v>4545</v>
      </c>
      <c r="V44" t="s">
        <v>4598</v>
      </c>
      <c r="W44" t="s">
        <v>4468</v>
      </c>
      <c r="X44" t="s">
        <v>4547</v>
      </c>
      <c r="Y44" t="s">
        <v>4545</v>
      </c>
      <c r="Z44" t="s">
        <v>4599</v>
      </c>
      <c r="AA44" t="s">
        <v>4600</v>
      </c>
      <c r="AB44" t="s">
        <v>4598</v>
      </c>
      <c r="AC44" t="s">
        <v>61</v>
      </c>
      <c r="AD44" t="s">
        <v>19</v>
      </c>
      <c r="AE44" t="s">
        <v>19</v>
      </c>
      <c r="AF44" t="s">
        <v>4503</v>
      </c>
      <c r="AG44" t="s">
        <v>1824</v>
      </c>
      <c r="AH44" t="s">
        <v>22</v>
      </c>
      <c r="AI44" t="s">
        <v>22</v>
      </c>
      <c r="AJ44" t="s">
        <v>22</v>
      </c>
      <c r="AK44" t="s">
        <v>22</v>
      </c>
    </row>
    <row r="45" spans="1:37" ht="11.25" customHeight="1">
      <c r="A45" t="s">
        <v>22</v>
      </c>
      <c r="B45" t="s">
        <v>48</v>
      </c>
      <c r="C45" t="s">
        <v>50</v>
      </c>
      <c r="D45" t="s">
        <v>22</v>
      </c>
      <c r="E45" t="s">
        <v>1065</v>
      </c>
      <c r="F45" t="s">
        <v>1065</v>
      </c>
      <c r="G45" t="s">
        <v>99</v>
      </c>
      <c r="H45" t="s">
        <v>99</v>
      </c>
      <c r="I45" t="s">
        <v>100</v>
      </c>
      <c r="J45" t="s">
        <v>1066</v>
      </c>
      <c r="K45" t="s">
        <v>1067</v>
      </c>
      <c r="L45" t="s">
        <v>4601</v>
      </c>
      <c r="M45" t="s">
        <v>4602</v>
      </c>
      <c r="N45" t="s">
        <v>114</v>
      </c>
      <c r="O45" t="s">
        <v>4476</v>
      </c>
      <c r="P45" t="s">
        <v>4476</v>
      </c>
      <c r="Q45" t="s">
        <v>100</v>
      </c>
      <c r="R45" t="s">
        <v>1066</v>
      </c>
      <c r="S45" t="s">
        <v>1067</v>
      </c>
      <c r="T45" t="s">
        <v>4465</v>
      </c>
      <c r="U45" t="s">
        <v>4466</v>
      </c>
      <c r="V45" t="s">
        <v>4477</v>
      </c>
      <c r="W45" t="s">
        <v>4468</v>
      </c>
      <c r="X45" t="s">
        <v>4469</v>
      </c>
      <c r="Y45" t="s">
        <v>4466</v>
      </c>
      <c r="Z45" t="s">
        <v>1013</v>
      </c>
      <c r="AA45" t="s">
        <v>4478</v>
      </c>
      <c r="AB45" t="s">
        <v>4477</v>
      </c>
      <c r="AC45" t="s">
        <v>61</v>
      </c>
      <c r="AD45" t="s">
        <v>19</v>
      </c>
      <c r="AE45" t="s">
        <v>19</v>
      </c>
      <c r="AF45" t="s">
        <v>4603</v>
      </c>
      <c r="AG45" t="s">
        <v>4506</v>
      </c>
      <c r="AH45" t="s">
        <v>22</v>
      </c>
      <c r="AI45" t="s">
        <v>22</v>
      </c>
      <c r="AJ45" t="s">
        <v>22</v>
      </c>
      <c r="AK45" t="s">
        <v>22</v>
      </c>
    </row>
    <row r="46" spans="1:37" ht="11.25" customHeight="1">
      <c r="A46" t="s">
        <v>22</v>
      </c>
      <c r="B46" t="s">
        <v>48</v>
      </c>
      <c r="C46" t="s">
        <v>50</v>
      </c>
      <c r="D46" t="s">
        <v>22</v>
      </c>
      <c r="E46" t="s">
        <v>1065</v>
      </c>
      <c r="F46" t="s">
        <v>1065</v>
      </c>
      <c r="G46" t="s">
        <v>99</v>
      </c>
      <c r="H46" t="s">
        <v>99</v>
      </c>
      <c r="I46" t="s">
        <v>100</v>
      </c>
      <c r="J46" t="s">
        <v>1066</v>
      </c>
      <c r="K46" t="s">
        <v>1067</v>
      </c>
      <c r="L46" t="s">
        <v>4604</v>
      </c>
      <c r="M46" t="s">
        <v>4605</v>
      </c>
      <c r="N46" t="s">
        <v>114</v>
      </c>
      <c r="O46" t="s">
        <v>4476</v>
      </c>
      <c r="P46" t="s">
        <v>4476</v>
      </c>
      <c r="Q46" t="s">
        <v>100</v>
      </c>
      <c r="R46" t="s">
        <v>1066</v>
      </c>
      <c r="S46" t="s">
        <v>1067</v>
      </c>
      <c r="T46" t="s">
        <v>4465</v>
      </c>
      <c r="U46" t="s">
        <v>4466</v>
      </c>
      <c r="V46" t="s">
        <v>4477</v>
      </c>
      <c r="W46" t="s">
        <v>4468</v>
      </c>
      <c r="X46" t="s">
        <v>4469</v>
      </c>
      <c r="Y46" t="s">
        <v>4466</v>
      </c>
      <c r="Z46" t="s">
        <v>1013</v>
      </c>
      <c r="AA46" t="s">
        <v>4478</v>
      </c>
      <c r="AB46" t="s">
        <v>4477</v>
      </c>
      <c r="AC46" t="s">
        <v>61</v>
      </c>
      <c r="AD46" t="s">
        <v>19</v>
      </c>
      <c r="AE46" t="s">
        <v>19</v>
      </c>
      <c r="AF46" t="s">
        <v>4606</v>
      </c>
      <c r="AG46" t="s">
        <v>4539</v>
      </c>
      <c r="AH46" t="s">
        <v>22</v>
      </c>
      <c r="AI46" t="s">
        <v>22</v>
      </c>
      <c r="AJ46" t="s">
        <v>22</v>
      </c>
      <c r="AK46" t="s">
        <v>22</v>
      </c>
    </row>
    <row r="47" spans="1:37" ht="11.25" customHeight="1">
      <c r="A47" t="s">
        <v>22</v>
      </c>
      <c r="B47" t="s">
        <v>48</v>
      </c>
      <c r="C47" t="s">
        <v>50</v>
      </c>
      <c r="D47" t="s">
        <v>22</v>
      </c>
      <c r="E47" t="s">
        <v>1065</v>
      </c>
      <c r="F47" t="s">
        <v>1065</v>
      </c>
      <c r="G47" t="s">
        <v>99</v>
      </c>
      <c r="H47" t="s">
        <v>99</v>
      </c>
      <c r="I47" t="s">
        <v>100</v>
      </c>
      <c r="J47" t="s">
        <v>1066</v>
      </c>
      <c r="K47" t="s">
        <v>1067</v>
      </c>
      <c r="L47" t="s">
        <v>4607</v>
      </c>
      <c r="M47" t="s">
        <v>4559</v>
      </c>
      <c r="N47" t="s">
        <v>114</v>
      </c>
      <c r="O47" t="s">
        <v>4476</v>
      </c>
      <c r="P47" t="s">
        <v>4476</v>
      </c>
      <c r="Q47" t="s">
        <v>100</v>
      </c>
      <c r="R47" t="s">
        <v>1066</v>
      </c>
      <c r="S47" t="s">
        <v>1067</v>
      </c>
      <c r="T47" t="s">
        <v>4465</v>
      </c>
      <c r="U47" t="s">
        <v>4466</v>
      </c>
      <c r="V47" t="s">
        <v>4477</v>
      </c>
      <c r="W47" t="s">
        <v>4468</v>
      </c>
      <c r="X47" t="s">
        <v>4469</v>
      </c>
      <c r="Y47" t="s">
        <v>4466</v>
      </c>
      <c r="Z47" t="s">
        <v>1013</v>
      </c>
      <c r="AA47" t="s">
        <v>4478</v>
      </c>
      <c r="AB47" t="s">
        <v>4477</v>
      </c>
      <c r="AC47" t="s">
        <v>61</v>
      </c>
      <c r="AD47" t="s">
        <v>19</v>
      </c>
      <c r="AE47" t="s">
        <v>19</v>
      </c>
      <c r="AF47" t="s">
        <v>4608</v>
      </c>
      <c r="AG47" t="s">
        <v>4609</v>
      </c>
      <c r="AH47" t="s">
        <v>22</v>
      </c>
      <c r="AI47" t="s">
        <v>22</v>
      </c>
      <c r="AJ47" t="s">
        <v>22</v>
      </c>
      <c r="AK47" t="s">
        <v>22</v>
      </c>
    </row>
    <row r="48" spans="1:37" ht="11.25" customHeight="1">
      <c r="A48" t="s">
        <v>22</v>
      </c>
      <c r="B48" t="s">
        <v>48</v>
      </c>
      <c r="C48" t="s">
        <v>50</v>
      </c>
      <c r="D48" t="s">
        <v>22</v>
      </c>
      <c r="E48" t="s">
        <v>1065</v>
      </c>
      <c r="F48" t="s">
        <v>1065</v>
      </c>
      <c r="G48" t="s">
        <v>99</v>
      </c>
      <c r="H48" t="s">
        <v>99</v>
      </c>
      <c r="I48" t="s">
        <v>100</v>
      </c>
      <c r="J48" t="s">
        <v>1066</v>
      </c>
      <c r="K48" t="s">
        <v>1067</v>
      </c>
      <c r="L48" t="s">
        <v>4610</v>
      </c>
      <c r="M48" t="s">
        <v>4533</v>
      </c>
      <c r="N48" t="s">
        <v>114</v>
      </c>
      <c r="O48" t="s">
        <v>4476</v>
      </c>
      <c r="P48" t="s">
        <v>4476</v>
      </c>
      <c r="Q48" t="s">
        <v>100</v>
      </c>
      <c r="R48" t="s">
        <v>1066</v>
      </c>
      <c r="S48" t="s">
        <v>1067</v>
      </c>
      <c r="T48" t="s">
        <v>4465</v>
      </c>
      <c r="U48" t="s">
        <v>4466</v>
      </c>
      <c r="V48" t="s">
        <v>4477</v>
      </c>
      <c r="W48" t="s">
        <v>4468</v>
      </c>
      <c r="X48" t="s">
        <v>4469</v>
      </c>
      <c r="Y48" t="s">
        <v>4466</v>
      </c>
      <c r="Z48" t="s">
        <v>1013</v>
      </c>
      <c r="AA48" t="s">
        <v>4478</v>
      </c>
      <c r="AB48" t="s">
        <v>4477</v>
      </c>
      <c r="AC48" t="s">
        <v>61</v>
      </c>
      <c r="AD48" t="s">
        <v>19</v>
      </c>
      <c r="AE48" t="s">
        <v>19</v>
      </c>
      <c r="AF48" t="s">
        <v>4503</v>
      </c>
      <c r="AG48" t="s">
        <v>1824</v>
      </c>
      <c r="AH48" t="s">
        <v>22</v>
      </c>
      <c r="AI48" t="s">
        <v>22</v>
      </c>
      <c r="AJ48" t="s">
        <v>22</v>
      </c>
      <c r="AK48" t="s">
        <v>22</v>
      </c>
    </row>
    <row r="49" spans="1:37" ht="11.25" customHeight="1">
      <c r="A49" t="s">
        <v>22</v>
      </c>
      <c r="B49" t="s">
        <v>48</v>
      </c>
      <c r="C49" t="s">
        <v>50</v>
      </c>
      <c r="D49" t="s">
        <v>22</v>
      </c>
      <c r="E49" t="s">
        <v>1065</v>
      </c>
      <c r="F49" t="s">
        <v>1065</v>
      </c>
      <c r="G49" t="s">
        <v>99</v>
      </c>
      <c r="H49" t="s">
        <v>99</v>
      </c>
      <c r="I49" t="s">
        <v>100</v>
      </c>
      <c r="J49" t="s">
        <v>1066</v>
      </c>
      <c r="K49" t="s">
        <v>1067</v>
      </c>
      <c r="L49" t="s">
        <v>4611</v>
      </c>
      <c r="M49" t="s">
        <v>4596</v>
      </c>
      <c r="N49" t="s">
        <v>114</v>
      </c>
      <c r="O49" t="s">
        <v>4476</v>
      </c>
      <c r="P49" t="s">
        <v>4476</v>
      </c>
      <c r="Q49" t="s">
        <v>100</v>
      </c>
      <c r="R49" t="s">
        <v>1066</v>
      </c>
      <c r="S49" t="s">
        <v>1067</v>
      </c>
      <c r="T49" t="s">
        <v>4465</v>
      </c>
      <c r="U49" t="s">
        <v>4466</v>
      </c>
      <c r="V49" t="s">
        <v>4477</v>
      </c>
      <c r="W49" t="s">
        <v>4468</v>
      </c>
      <c r="X49" t="s">
        <v>4469</v>
      </c>
      <c r="Y49" t="s">
        <v>4466</v>
      </c>
      <c r="Z49" t="s">
        <v>1013</v>
      </c>
      <c r="AA49" t="s">
        <v>4478</v>
      </c>
      <c r="AB49" t="s">
        <v>4477</v>
      </c>
      <c r="AC49" t="s">
        <v>61</v>
      </c>
      <c r="AD49" t="s">
        <v>19</v>
      </c>
      <c r="AE49" t="s">
        <v>19</v>
      </c>
      <c r="AF49" t="s">
        <v>4612</v>
      </c>
      <c r="AG49" t="s">
        <v>4500</v>
      </c>
      <c r="AH49" t="s">
        <v>22</v>
      </c>
      <c r="AI49" t="s">
        <v>22</v>
      </c>
      <c r="AJ49" t="s">
        <v>22</v>
      </c>
      <c r="AK49" t="s">
        <v>22</v>
      </c>
    </row>
    <row r="50" spans="1:37" ht="11.25" customHeight="1">
      <c r="A50" t="s">
        <v>22</v>
      </c>
      <c r="B50" t="s">
        <v>48</v>
      </c>
      <c r="C50" t="s">
        <v>50</v>
      </c>
      <c r="D50" t="s">
        <v>22</v>
      </c>
      <c r="E50" t="s">
        <v>1065</v>
      </c>
      <c r="F50" t="s">
        <v>1065</v>
      </c>
      <c r="G50" t="s">
        <v>99</v>
      </c>
      <c r="H50" t="s">
        <v>99</v>
      </c>
      <c r="I50" t="s">
        <v>100</v>
      </c>
      <c r="J50" t="s">
        <v>1066</v>
      </c>
      <c r="K50" t="s">
        <v>1067</v>
      </c>
      <c r="L50" t="s">
        <v>4613</v>
      </c>
      <c r="M50" t="s">
        <v>4559</v>
      </c>
      <c r="N50" t="s">
        <v>114</v>
      </c>
      <c r="O50" t="s">
        <v>4476</v>
      </c>
      <c r="P50" t="s">
        <v>4476</v>
      </c>
      <c r="Q50" t="s">
        <v>100</v>
      </c>
      <c r="R50" t="s">
        <v>1066</v>
      </c>
      <c r="S50" t="s">
        <v>1067</v>
      </c>
      <c r="T50" t="s">
        <v>4465</v>
      </c>
      <c r="U50" t="s">
        <v>4466</v>
      </c>
      <c r="V50" t="s">
        <v>4477</v>
      </c>
      <c r="W50" t="s">
        <v>4468</v>
      </c>
      <c r="X50" t="s">
        <v>4469</v>
      </c>
      <c r="Y50" t="s">
        <v>4466</v>
      </c>
      <c r="Z50" t="s">
        <v>1013</v>
      </c>
      <c r="AA50" t="s">
        <v>4478</v>
      </c>
      <c r="AB50" t="s">
        <v>4477</v>
      </c>
      <c r="AC50" t="s">
        <v>61</v>
      </c>
      <c r="AD50" t="s">
        <v>19</v>
      </c>
      <c r="AE50" t="s">
        <v>19</v>
      </c>
      <c r="AF50" t="s">
        <v>4526</v>
      </c>
      <c r="AG50" t="s">
        <v>4527</v>
      </c>
      <c r="AH50" t="s">
        <v>22</v>
      </c>
      <c r="AI50" t="s">
        <v>22</v>
      </c>
      <c r="AJ50" t="s">
        <v>22</v>
      </c>
      <c r="AK50" t="s">
        <v>22</v>
      </c>
    </row>
    <row r="51" spans="1:37" ht="11.25" customHeight="1">
      <c r="A51" t="s">
        <v>22</v>
      </c>
      <c r="B51" t="s">
        <v>48</v>
      </c>
      <c r="C51" t="s">
        <v>50</v>
      </c>
      <c r="D51" t="s">
        <v>22</v>
      </c>
      <c r="E51" t="s">
        <v>1065</v>
      </c>
      <c r="F51" t="s">
        <v>1065</v>
      </c>
      <c r="G51" t="s">
        <v>99</v>
      </c>
      <c r="H51" t="s">
        <v>99</v>
      </c>
      <c r="I51" t="s">
        <v>100</v>
      </c>
      <c r="J51" t="s">
        <v>1066</v>
      </c>
      <c r="K51" t="s">
        <v>1067</v>
      </c>
      <c r="L51" t="s">
        <v>4614</v>
      </c>
      <c r="M51" t="s">
        <v>4615</v>
      </c>
      <c r="N51" t="s">
        <v>114</v>
      </c>
      <c r="O51" t="s">
        <v>4476</v>
      </c>
      <c r="P51" t="s">
        <v>4476</v>
      </c>
      <c r="Q51" t="s">
        <v>100</v>
      </c>
      <c r="R51" t="s">
        <v>1066</v>
      </c>
      <c r="S51" t="s">
        <v>1067</v>
      </c>
      <c r="T51" t="s">
        <v>4465</v>
      </c>
      <c r="U51" t="s">
        <v>4466</v>
      </c>
      <c r="V51" t="s">
        <v>4477</v>
      </c>
      <c r="W51" t="s">
        <v>4468</v>
      </c>
      <c r="X51" t="s">
        <v>4469</v>
      </c>
      <c r="Y51" t="s">
        <v>4466</v>
      </c>
      <c r="Z51" t="s">
        <v>1013</v>
      </c>
      <c r="AA51" t="s">
        <v>4478</v>
      </c>
      <c r="AB51" t="s">
        <v>4477</v>
      </c>
      <c r="AC51" t="s">
        <v>61</v>
      </c>
      <c r="AD51" t="s">
        <v>19</v>
      </c>
      <c r="AE51" t="s">
        <v>19</v>
      </c>
      <c r="AF51" t="s">
        <v>4616</v>
      </c>
      <c r="AG51" t="s">
        <v>4527</v>
      </c>
      <c r="AH51" t="s">
        <v>22</v>
      </c>
      <c r="AI51" t="s">
        <v>22</v>
      </c>
      <c r="AJ51" t="s">
        <v>22</v>
      </c>
      <c r="AK51" t="s">
        <v>22</v>
      </c>
    </row>
    <row r="52" spans="1:37" ht="11.25" customHeight="1">
      <c r="A52" t="s">
        <v>22</v>
      </c>
      <c r="B52" t="s">
        <v>48</v>
      </c>
      <c r="C52" t="s">
        <v>50</v>
      </c>
      <c r="D52" t="s">
        <v>22</v>
      </c>
      <c r="E52" t="s">
        <v>1065</v>
      </c>
      <c r="F52" t="s">
        <v>1065</v>
      </c>
      <c r="G52" t="s">
        <v>99</v>
      </c>
      <c r="H52" t="s">
        <v>99</v>
      </c>
      <c r="I52" t="s">
        <v>100</v>
      </c>
      <c r="J52" t="s">
        <v>1066</v>
      </c>
      <c r="K52" t="s">
        <v>1067</v>
      </c>
      <c r="L52" t="s">
        <v>4617</v>
      </c>
      <c r="M52" t="s">
        <v>1168</v>
      </c>
      <c r="N52" t="s">
        <v>114</v>
      </c>
      <c r="O52" t="s">
        <v>4476</v>
      </c>
      <c r="P52" t="s">
        <v>4476</v>
      </c>
      <c r="Q52" t="s">
        <v>100</v>
      </c>
      <c r="R52" t="s">
        <v>1066</v>
      </c>
      <c r="S52" t="s">
        <v>1067</v>
      </c>
      <c r="T52" t="s">
        <v>4465</v>
      </c>
      <c r="U52" t="s">
        <v>4466</v>
      </c>
      <c r="V52" t="s">
        <v>4477</v>
      </c>
      <c r="W52" t="s">
        <v>4468</v>
      </c>
      <c r="X52" t="s">
        <v>4469</v>
      </c>
      <c r="Y52" t="s">
        <v>4466</v>
      </c>
      <c r="Z52" t="s">
        <v>1013</v>
      </c>
      <c r="AA52" t="s">
        <v>4478</v>
      </c>
      <c r="AB52" t="s">
        <v>4477</v>
      </c>
      <c r="AC52" t="s">
        <v>61</v>
      </c>
      <c r="AD52" t="s">
        <v>19</v>
      </c>
      <c r="AE52" t="s">
        <v>19</v>
      </c>
      <c r="AF52" t="s">
        <v>1158</v>
      </c>
      <c r="AG52" t="s">
        <v>1158</v>
      </c>
      <c r="AH52" t="s">
        <v>22</v>
      </c>
      <c r="AI52" t="s">
        <v>22</v>
      </c>
      <c r="AJ52" t="s">
        <v>22</v>
      </c>
      <c r="AK52" t="s">
        <v>22</v>
      </c>
    </row>
    <row r="53" spans="1:37" ht="11.25" customHeight="1">
      <c r="A53" t="s">
        <v>22</v>
      </c>
      <c r="B53" t="s">
        <v>48</v>
      </c>
      <c r="C53" t="s">
        <v>50</v>
      </c>
      <c r="D53" t="s">
        <v>22</v>
      </c>
      <c r="E53" t="s">
        <v>1065</v>
      </c>
      <c r="F53" t="s">
        <v>1065</v>
      </c>
      <c r="G53" t="s">
        <v>99</v>
      </c>
      <c r="H53" t="s">
        <v>99</v>
      </c>
      <c r="I53" t="s">
        <v>100</v>
      </c>
      <c r="J53" t="s">
        <v>1066</v>
      </c>
      <c r="K53" t="s">
        <v>1067</v>
      </c>
      <c r="L53" t="s">
        <v>4618</v>
      </c>
      <c r="M53" t="s">
        <v>4619</v>
      </c>
      <c r="N53" t="s">
        <v>114</v>
      </c>
      <c r="O53" t="s">
        <v>4476</v>
      </c>
      <c r="P53" t="s">
        <v>4476</v>
      </c>
      <c r="Q53" t="s">
        <v>100</v>
      </c>
      <c r="R53" t="s">
        <v>1066</v>
      </c>
      <c r="S53" t="s">
        <v>1067</v>
      </c>
      <c r="T53" t="s">
        <v>4465</v>
      </c>
      <c r="U53" t="s">
        <v>4466</v>
      </c>
      <c r="V53" t="s">
        <v>4477</v>
      </c>
      <c r="W53" t="s">
        <v>4468</v>
      </c>
      <c r="X53" t="s">
        <v>4469</v>
      </c>
      <c r="Y53" t="s">
        <v>4466</v>
      </c>
      <c r="Z53" t="s">
        <v>1013</v>
      </c>
      <c r="AA53" t="s">
        <v>4478</v>
      </c>
      <c r="AB53" t="s">
        <v>4477</v>
      </c>
      <c r="AC53" t="s">
        <v>61</v>
      </c>
      <c r="AD53" t="s">
        <v>19</v>
      </c>
      <c r="AE53" t="s">
        <v>19</v>
      </c>
      <c r="AF53" t="s">
        <v>4620</v>
      </c>
      <c r="AG53" t="s">
        <v>4500</v>
      </c>
      <c r="AH53" t="s">
        <v>22</v>
      </c>
      <c r="AI53" t="s">
        <v>22</v>
      </c>
      <c r="AJ53" t="s">
        <v>22</v>
      </c>
      <c r="AK53" t="s">
        <v>22</v>
      </c>
    </row>
    <row r="54" spans="1:37" ht="11.25" customHeight="1">
      <c r="A54" t="s">
        <v>22</v>
      </c>
      <c r="B54" t="s">
        <v>48</v>
      </c>
      <c r="C54" t="s">
        <v>50</v>
      </c>
      <c r="D54" t="s">
        <v>22</v>
      </c>
      <c r="E54" t="s">
        <v>1065</v>
      </c>
      <c r="F54" t="s">
        <v>1065</v>
      </c>
      <c r="G54" t="s">
        <v>99</v>
      </c>
      <c r="H54" t="s">
        <v>99</v>
      </c>
      <c r="I54" t="s">
        <v>100</v>
      </c>
      <c r="J54" t="s">
        <v>1066</v>
      </c>
      <c r="K54" t="s">
        <v>1067</v>
      </c>
      <c r="L54" t="s">
        <v>4621</v>
      </c>
      <c r="M54" t="s">
        <v>4622</v>
      </c>
      <c r="N54" t="s">
        <v>114</v>
      </c>
      <c r="O54" t="s">
        <v>4476</v>
      </c>
      <c r="P54" t="s">
        <v>4476</v>
      </c>
      <c r="Q54" t="s">
        <v>100</v>
      </c>
      <c r="R54" t="s">
        <v>1066</v>
      </c>
      <c r="S54" t="s">
        <v>1067</v>
      </c>
      <c r="T54" t="s">
        <v>4465</v>
      </c>
      <c r="U54" t="s">
        <v>4466</v>
      </c>
      <c r="V54" t="s">
        <v>4477</v>
      </c>
      <c r="W54" t="s">
        <v>4468</v>
      </c>
      <c r="X54" t="s">
        <v>4469</v>
      </c>
      <c r="Y54" t="s">
        <v>4466</v>
      </c>
      <c r="Z54" t="s">
        <v>1013</v>
      </c>
      <c r="AA54" t="s">
        <v>4478</v>
      </c>
      <c r="AB54" t="s">
        <v>4477</v>
      </c>
      <c r="AC54" t="s">
        <v>61</v>
      </c>
      <c r="AD54" t="s">
        <v>19</v>
      </c>
      <c r="AE54" t="s">
        <v>19</v>
      </c>
      <c r="AF54" t="s">
        <v>4606</v>
      </c>
      <c r="AG54" t="s">
        <v>4536</v>
      </c>
      <c r="AH54" t="s">
        <v>22</v>
      </c>
      <c r="AI54" t="s">
        <v>22</v>
      </c>
      <c r="AJ54" t="s">
        <v>22</v>
      </c>
      <c r="AK54" t="s">
        <v>22</v>
      </c>
    </row>
    <row r="55" spans="1:37" ht="11.25" customHeight="1">
      <c r="A55" t="s">
        <v>22</v>
      </c>
      <c r="B55" t="s">
        <v>48</v>
      </c>
      <c r="C55" t="s">
        <v>50</v>
      </c>
      <c r="D55" t="s">
        <v>22</v>
      </c>
      <c r="E55" t="s">
        <v>1065</v>
      </c>
      <c r="F55" t="s">
        <v>1065</v>
      </c>
      <c r="G55" t="s">
        <v>99</v>
      </c>
      <c r="H55" t="s">
        <v>99</v>
      </c>
      <c r="I55" t="s">
        <v>100</v>
      </c>
      <c r="J55" t="s">
        <v>1066</v>
      </c>
      <c r="K55" t="s">
        <v>1067</v>
      </c>
      <c r="L55" t="s">
        <v>4623</v>
      </c>
      <c r="M55" t="s">
        <v>4533</v>
      </c>
      <c r="N55" t="s">
        <v>114</v>
      </c>
      <c r="O55" t="s">
        <v>4476</v>
      </c>
      <c r="P55" t="s">
        <v>4476</v>
      </c>
      <c r="Q55" t="s">
        <v>100</v>
      </c>
      <c r="R55" t="s">
        <v>1066</v>
      </c>
      <c r="S55" t="s">
        <v>1067</v>
      </c>
      <c r="T55" t="s">
        <v>4465</v>
      </c>
      <c r="U55" t="s">
        <v>4466</v>
      </c>
      <c r="V55" t="s">
        <v>4477</v>
      </c>
      <c r="W55" t="s">
        <v>4468</v>
      </c>
      <c r="X55" t="s">
        <v>4469</v>
      </c>
      <c r="Y55" t="s">
        <v>4466</v>
      </c>
      <c r="Z55" t="s">
        <v>1013</v>
      </c>
      <c r="AA55" t="s">
        <v>4478</v>
      </c>
      <c r="AB55" t="s">
        <v>4477</v>
      </c>
      <c r="AC55" t="s">
        <v>61</v>
      </c>
      <c r="AD55" t="s">
        <v>19</v>
      </c>
      <c r="AE55" t="s">
        <v>19</v>
      </c>
      <c r="AF55" t="s">
        <v>4624</v>
      </c>
      <c r="AG55" t="s">
        <v>4500</v>
      </c>
      <c r="AH55" t="s">
        <v>22</v>
      </c>
      <c r="AI55" t="s">
        <v>22</v>
      </c>
      <c r="AJ55" t="s">
        <v>22</v>
      </c>
      <c r="AK55" t="s">
        <v>22</v>
      </c>
    </row>
    <row r="56" spans="1:37" ht="11.25" customHeight="1">
      <c r="A56" t="s">
        <v>22</v>
      </c>
      <c r="B56" t="s">
        <v>48</v>
      </c>
      <c r="C56" t="s">
        <v>50</v>
      </c>
      <c r="D56" t="s">
        <v>22</v>
      </c>
      <c r="E56" t="s">
        <v>1065</v>
      </c>
      <c r="F56" t="s">
        <v>1065</v>
      </c>
      <c r="G56" t="s">
        <v>99</v>
      </c>
      <c r="H56" t="s">
        <v>99</v>
      </c>
      <c r="I56" t="s">
        <v>100</v>
      </c>
      <c r="J56" t="s">
        <v>1066</v>
      </c>
      <c r="K56" t="s">
        <v>1067</v>
      </c>
      <c r="L56" t="s">
        <v>4625</v>
      </c>
      <c r="M56" t="s">
        <v>4626</v>
      </c>
      <c r="N56" t="s">
        <v>114</v>
      </c>
      <c r="O56" t="s">
        <v>4476</v>
      </c>
      <c r="P56" t="s">
        <v>4476</v>
      </c>
      <c r="Q56" t="s">
        <v>100</v>
      </c>
      <c r="R56" t="s">
        <v>1066</v>
      </c>
      <c r="S56" t="s">
        <v>1067</v>
      </c>
      <c r="T56" t="s">
        <v>4465</v>
      </c>
      <c r="U56" t="s">
        <v>4545</v>
      </c>
      <c r="V56" t="s">
        <v>4546</v>
      </c>
      <c r="W56" t="s">
        <v>4468</v>
      </c>
      <c r="X56" t="s">
        <v>4547</v>
      </c>
      <c r="Y56" t="s">
        <v>4545</v>
      </c>
      <c r="Z56" t="s">
        <v>4557</v>
      </c>
      <c r="AA56" t="s">
        <v>4627</v>
      </c>
      <c r="AB56" t="s">
        <v>4546</v>
      </c>
      <c r="AC56" t="s">
        <v>61</v>
      </c>
      <c r="AD56" t="s">
        <v>19</v>
      </c>
      <c r="AE56" t="s">
        <v>19</v>
      </c>
      <c r="AF56" t="s">
        <v>4503</v>
      </c>
      <c r="AG56" t="s">
        <v>4503</v>
      </c>
      <c r="AH56" t="s">
        <v>22</v>
      </c>
      <c r="AI56" t="s">
        <v>22</v>
      </c>
      <c r="AJ56" t="s">
        <v>22</v>
      </c>
      <c r="AK56" t="s">
        <v>22</v>
      </c>
    </row>
    <row r="57" spans="1:37" ht="11.25" customHeight="1">
      <c r="A57" t="s">
        <v>22</v>
      </c>
      <c r="B57" t="s">
        <v>48</v>
      </c>
      <c r="C57" t="s">
        <v>50</v>
      </c>
      <c r="D57" t="s">
        <v>22</v>
      </c>
      <c r="E57" t="s">
        <v>1065</v>
      </c>
      <c r="F57" t="s">
        <v>1065</v>
      </c>
      <c r="G57" t="s">
        <v>99</v>
      </c>
      <c r="H57" t="s">
        <v>99</v>
      </c>
      <c r="I57" t="s">
        <v>100</v>
      </c>
      <c r="J57" t="s">
        <v>1066</v>
      </c>
      <c r="K57" t="s">
        <v>1067</v>
      </c>
      <c r="L57" t="s">
        <v>4493</v>
      </c>
      <c r="M57" t="s">
        <v>4628</v>
      </c>
      <c r="N57" t="s">
        <v>114</v>
      </c>
      <c r="O57" t="s">
        <v>4476</v>
      </c>
      <c r="P57" t="s">
        <v>4476</v>
      </c>
      <c r="Q57" t="s">
        <v>100</v>
      </c>
      <c r="R57" t="s">
        <v>1066</v>
      </c>
      <c r="S57" t="s">
        <v>1067</v>
      </c>
      <c r="T57" t="s">
        <v>4465</v>
      </c>
      <c r="U57" t="s">
        <v>4466</v>
      </c>
      <c r="V57" t="s">
        <v>4477</v>
      </c>
      <c r="W57" t="s">
        <v>4468</v>
      </c>
      <c r="X57" t="s">
        <v>4469</v>
      </c>
      <c r="Y57" t="s">
        <v>4466</v>
      </c>
      <c r="Z57" t="s">
        <v>1013</v>
      </c>
      <c r="AA57" t="s">
        <v>4478</v>
      </c>
      <c r="AB57" t="s">
        <v>4477</v>
      </c>
      <c r="AC57" t="s">
        <v>61</v>
      </c>
      <c r="AD57" t="s">
        <v>19</v>
      </c>
      <c r="AE57" t="s">
        <v>19</v>
      </c>
      <c r="AF57" t="s">
        <v>4629</v>
      </c>
      <c r="AG57" t="s">
        <v>4496</v>
      </c>
      <c r="AH57" t="s">
        <v>22</v>
      </c>
      <c r="AI57" t="s">
        <v>22</v>
      </c>
      <c r="AJ57" t="s">
        <v>22</v>
      </c>
      <c r="AK57" t="s">
        <v>22</v>
      </c>
    </row>
    <row r="58" spans="1:37" ht="11.25" customHeight="1">
      <c r="A58" t="s">
        <v>22</v>
      </c>
      <c r="B58" t="s">
        <v>48</v>
      </c>
      <c r="C58" t="s">
        <v>50</v>
      </c>
      <c r="D58" t="s">
        <v>22</v>
      </c>
      <c r="E58" t="s">
        <v>1065</v>
      </c>
      <c r="F58" t="s">
        <v>1065</v>
      </c>
      <c r="G58" t="s">
        <v>99</v>
      </c>
      <c r="H58" t="s">
        <v>99</v>
      </c>
      <c r="I58" t="s">
        <v>100</v>
      </c>
      <c r="J58" t="s">
        <v>1066</v>
      </c>
      <c r="K58" t="s">
        <v>1067</v>
      </c>
      <c r="L58" t="s">
        <v>4625</v>
      </c>
      <c r="M58" t="s">
        <v>4630</v>
      </c>
      <c r="N58" t="s">
        <v>114</v>
      </c>
      <c r="O58" t="s">
        <v>4476</v>
      </c>
      <c r="P58" t="s">
        <v>4476</v>
      </c>
      <c r="Q58" t="s">
        <v>100</v>
      </c>
      <c r="R58" t="s">
        <v>1066</v>
      </c>
      <c r="S58" t="s">
        <v>1067</v>
      </c>
      <c r="T58" t="s">
        <v>4465</v>
      </c>
      <c r="U58" t="s">
        <v>4545</v>
      </c>
      <c r="V58" t="s">
        <v>4546</v>
      </c>
      <c r="W58" t="s">
        <v>4468</v>
      </c>
      <c r="X58" t="s">
        <v>4547</v>
      </c>
      <c r="Y58" t="s">
        <v>4545</v>
      </c>
      <c r="Z58" t="s">
        <v>4557</v>
      </c>
      <c r="AA58" t="s">
        <v>4627</v>
      </c>
      <c r="AB58" t="s">
        <v>4546</v>
      </c>
      <c r="AC58" t="s">
        <v>61</v>
      </c>
      <c r="AD58" t="s">
        <v>19</v>
      </c>
      <c r="AE58" t="s">
        <v>19</v>
      </c>
      <c r="AF58" t="s">
        <v>4631</v>
      </c>
      <c r="AG58" t="s">
        <v>1168</v>
      </c>
      <c r="AH58" t="s">
        <v>22</v>
      </c>
      <c r="AI58" t="s">
        <v>22</v>
      </c>
      <c r="AJ58" t="s">
        <v>22</v>
      </c>
      <c r="AK58" t="s">
        <v>22</v>
      </c>
    </row>
    <row r="59" spans="1:37" ht="11.25" customHeight="1">
      <c r="A59" t="s">
        <v>22</v>
      </c>
      <c r="B59" t="s">
        <v>48</v>
      </c>
      <c r="C59" t="s">
        <v>50</v>
      </c>
      <c r="D59" t="s">
        <v>22</v>
      </c>
      <c r="E59" t="s">
        <v>1065</v>
      </c>
      <c r="F59" t="s">
        <v>1065</v>
      </c>
      <c r="G59" t="s">
        <v>99</v>
      </c>
      <c r="H59" t="s">
        <v>99</v>
      </c>
      <c r="I59" t="s">
        <v>100</v>
      </c>
      <c r="J59" t="s">
        <v>1066</v>
      </c>
      <c r="K59" t="s">
        <v>1067</v>
      </c>
      <c r="L59" t="s">
        <v>4632</v>
      </c>
      <c r="M59" t="s">
        <v>4633</v>
      </c>
      <c r="N59" t="s">
        <v>114</v>
      </c>
      <c r="O59" t="s">
        <v>4476</v>
      </c>
      <c r="P59" t="s">
        <v>4476</v>
      </c>
      <c r="Q59" t="s">
        <v>100</v>
      </c>
      <c r="R59" t="s">
        <v>1066</v>
      </c>
      <c r="S59" t="s">
        <v>1067</v>
      </c>
      <c r="T59" t="s">
        <v>4465</v>
      </c>
      <c r="U59" t="s">
        <v>4466</v>
      </c>
      <c r="V59" t="s">
        <v>4477</v>
      </c>
      <c r="W59" t="s">
        <v>4468</v>
      </c>
      <c r="X59" t="s">
        <v>4469</v>
      </c>
      <c r="Y59" t="s">
        <v>4466</v>
      </c>
      <c r="Z59" t="s">
        <v>1013</v>
      </c>
      <c r="AA59" t="s">
        <v>4478</v>
      </c>
      <c r="AB59" t="s">
        <v>4477</v>
      </c>
      <c r="AC59" t="s">
        <v>61</v>
      </c>
      <c r="AD59" t="s">
        <v>19</v>
      </c>
      <c r="AE59" t="s">
        <v>19</v>
      </c>
      <c r="AF59" t="s">
        <v>4634</v>
      </c>
      <c r="AG59" t="s">
        <v>4635</v>
      </c>
      <c r="AH59" t="s">
        <v>22</v>
      </c>
      <c r="AI59" t="s">
        <v>22</v>
      </c>
      <c r="AJ59" t="s">
        <v>22</v>
      </c>
      <c r="AK59" t="s">
        <v>22</v>
      </c>
    </row>
    <row r="60" spans="1:37" ht="11.25" customHeight="1">
      <c r="A60" t="s">
        <v>22</v>
      </c>
      <c r="B60" t="s">
        <v>48</v>
      </c>
      <c r="C60" t="s">
        <v>50</v>
      </c>
      <c r="D60" t="s">
        <v>22</v>
      </c>
      <c r="E60" t="s">
        <v>1065</v>
      </c>
      <c r="F60" t="s">
        <v>1065</v>
      </c>
      <c r="G60" t="s">
        <v>99</v>
      </c>
      <c r="H60" t="s">
        <v>99</v>
      </c>
      <c r="I60" t="s">
        <v>100</v>
      </c>
      <c r="J60" t="s">
        <v>1066</v>
      </c>
      <c r="K60" t="s">
        <v>1067</v>
      </c>
      <c r="L60" t="s">
        <v>4636</v>
      </c>
      <c r="M60" t="s">
        <v>4637</v>
      </c>
      <c r="N60" t="s">
        <v>114</v>
      </c>
      <c r="O60" t="s">
        <v>4476</v>
      </c>
      <c r="P60" t="s">
        <v>4476</v>
      </c>
      <c r="Q60" t="s">
        <v>100</v>
      </c>
      <c r="R60" t="s">
        <v>1066</v>
      </c>
      <c r="S60" t="s">
        <v>1067</v>
      </c>
      <c r="T60" t="s">
        <v>4465</v>
      </c>
      <c r="U60" t="s">
        <v>4466</v>
      </c>
      <c r="V60" t="s">
        <v>4477</v>
      </c>
      <c r="W60" t="s">
        <v>4468</v>
      </c>
      <c r="X60" t="s">
        <v>4469</v>
      </c>
      <c r="Y60" t="s">
        <v>4466</v>
      </c>
      <c r="Z60" t="s">
        <v>1013</v>
      </c>
      <c r="AA60" t="s">
        <v>4478</v>
      </c>
      <c r="AB60" t="s">
        <v>4477</v>
      </c>
      <c r="AC60" t="s">
        <v>61</v>
      </c>
      <c r="AD60" t="s">
        <v>19</v>
      </c>
      <c r="AE60" t="s">
        <v>19</v>
      </c>
      <c r="AF60" t="s">
        <v>4499</v>
      </c>
      <c r="AG60" t="s">
        <v>4500</v>
      </c>
      <c r="AH60" t="s">
        <v>22</v>
      </c>
      <c r="AI60" t="s">
        <v>22</v>
      </c>
      <c r="AJ60" t="s">
        <v>22</v>
      </c>
      <c r="AK60" t="s">
        <v>22</v>
      </c>
    </row>
    <row r="61" spans="1:37" ht="11.25" customHeight="1">
      <c r="A61" t="s">
        <v>22</v>
      </c>
      <c r="B61" t="s">
        <v>48</v>
      </c>
      <c r="C61" t="s">
        <v>50</v>
      </c>
      <c r="D61" t="s">
        <v>22</v>
      </c>
      <c r="E61" t="s">
        <v>1065</v>
      </c>
      <c r="F61" t="s">
        <v>1065</v>
      </c>
      <c r="G61" t="s">
        <v>99</v>
      </c>
      <c r="H61" t="s">
        <v>99</v>
      </c>
      <c r="I61" t="s">
        <v>100</v>
      </c>
      <c r="J61" t="s">
        <v>1066</v>
      </c>
      <c r="K61" t="s">
        <v>1067</v>
      </c>
      <c r="L61" t="s">
        <v>4638</v>
      </c>
      <c r="M61" t="s">
        <v>4639</v>
      </c>
      <c r="N61" t="s">
        <v>114</v>
      </c>
      <c r="O61" t="s">
        <v>4476</v>
      </c>
      <c r="P61" t="s">
        <v>4476</v>
      </c>
      <c r="Q61" t="s">
        <v>100</v>
      </c>
      <c r="R61" t="s">
        <v>1066</v>
      </c>
      <c r="S61" t="s">
        <v>1067</v>
      </c>
      <c r="T61" t="s">
        <v>4465</v>
      </c>
      <c r="U61" t="s">
        <v>4466</v>
      </c>
      <c r="V61" t="s">
        <v>4477</v>
      </c>
      <c r="W61" t="s">
        <v>4468</v>
      </c>
      <c r="X61" t="s">
        <v>4469</v>
      </c>
      <c r="Y61" t="s">
        <v>4466</v>
      </c>
      <c r="Z61" t="s">
        <v>1013</v>
      </c>
      <c r="AA61" t="s">
        <v>4478</v>
      </c>
      <c r="AB61" t="s">
        <v>4477</v>
      </c>
      <c r="AC61" t="s">
        <v>61</v>
      </c>
      <c r="AD61" t="s">
        <v>19</v>
      </c>
      <c r="AE61" t="s">
        <v>19</v>
      </c>
      <c r="AF61" t="s">
        <v>4640</v>
      </c>
      <c r="AG61" t="s">
        <v>4500</v>
      </c>
      <c r="AH61" t="s">
        <v>22</v>
      </c>
      <c r="AI61" t="s">
        <v>22</v>
      </c>
      <c r="AJ61" t="s">
        <v>22</v>
      </c>
      <c r="AK61" t="s">
        <v>22</v>
      </c>
    </row>
    <row r="62" spans="1:37" ht="11.25" customHeight="1">
      <c r="A62" t="s">
        <v>22</v>
      </c>
      <c r="B62" t="s">
        <v>48</v>
      </c>
      <c r="C62" t="s">
        <v>50</v>
      </c>
      <c r="D62" t="s">
        <v>22</v>
      </c>
      <c r="E62" t="s">
        <v>1065</v>
      </c>
      <c r="F62" t="s">
        <v>1065</v>
      </c>
      <c r="G62" t="s">
        <v>99</v>
      </c>
      <c r="H62" t="s">
        <v>99</v>
      </c>
      <c r="I62" t="s">
        <v>100</v>
      </c>
      <c r="J62" t="s">
        <v>1066</v>
      </c>
      <c r="K62" t="s">
        <v>1067</v>
      </c>
      <c r="L62" t="s">
        <v>4641</v>
      </c>
      <c r="M62" t="s">
        <v>91</v>
      </c>
      <c r="N62" t="s">
        <v>114</v>
      </c>
      <c r="O62" t="s">
        <v>4476</v>
      </c>
      <c r="P62" t="s">
        <v>4476</v>
      </c>
      <c r="Q62" t="s">
        <v>100</v>
      </c>
      <c r="R62" t="s">
        <v>1066</v>
      </c>
      <c r="S62" t="s">
        <v>1067</v>
      </c>
      <c r="T62" t="s">
        <v>4465</v>
      </c>
      <c r="U62" t="s">
        <v>4466</v>
      </c>
      <c r="V62" t="s">
        <v>4477</v>
      </c>
      <c r="W62" t="s">
        <v>4468</v>
      </c>
      <c r="X62" t="s">
        <v>4469</v>
      </c>
      <c r="Y62" t="s">
        <v>4466</v>
      </c>
      <c r="Z62" t="s">
        <v>1013</v>
      </c>
      <c r="AA62" t="s">
        <v>4478</v>
      </c>
      <c r="AB62" t="s">
        <v>4477</v>
      </c>
      <c r="AC62" t="s">
        <v>61</v>
      </c>
      <c r="AD62" t="s">
        <v>19</v>
      </c>
      <c r="AE62" t="s">
        <v>19</v>
      </c>
      <c r="AF62" t="s">
        <v>4642</v>
      </c>
      <c r="AG62" t="s">
        <v>4608</v>
      </c>
      <c r="AH62" t="s">
        <v>22</v>
      </c>
      <c r="AI62" t="s">
        <v>22</v>
      </c>
      <c r="AJ62" t="s">
        <v>22</v>
      </c>
      <c r="AK62" t="s">
        <v>22</v>
      </c>
    </row>
    <row r="63" spans="1:37" ht="11.25" customHeight="1">
      <c r="A63" t="s">
        <v>22</v>
      </c>
      <c r="B63" t="s">
        <v>48</v>
      </c>
      <c r="C63" t="s">
        <v>50</v>
      </c>
      <c r="D63" t="s">
        <v>22</v>
      </c>
      <c r="E63" t="s">
        <v>1065</v>
      </c>
      <c r="F63" t="s">
        <v>1065</v>
      </c>
      <c r="G63" t="s">
        <v>99</v>
      </c>
      <c r="H63" t="s">
        <v>99</v>
      </c>
      <c r="I63" t="s">
        <v>100</v>
      </c>
      <c r="J63" t="s">
        <v>1066</v>
      </c>
      <c r="K63" t="s">
        <v>1067</v>
      </c>
      <c r="L63" t="s">
        <v>4643</v>
      </c>
      <c r="M63" t="s">
        <v>4644</v>
      </c>
      <c r="N63" t="s">
        <v>114</v>
      </c>
      <c r="O63" t="s">
        <v>4476</v>
      </c>
      <c r="P63" t="s">
        <v>4476</v>
      </c>
      <c r="Q63" t="s">
        <v>100</v>
      </c>
      <c r="R63" t="s">
        <v>1066</v>
      </c>
      <c r="S63" t="s">
        <v>1067</v>
      </c>
      <c r="T63" t="s">
        <v>4465</v>
      </c>
      <c r="U63" t="s">
        <v>4466</v>
      </c>
      <c r="V63" t="s">
        <v>4477</v>
      </c>
      <c r="W63" t="s">
        <v>4468</v>
      </c>
      <c r="X63" t="s">
        <v>4469</v>
      </c>
      <c r="Y63" t="s">
        <v>4466</v>
      </c>
      <c r="Z63" t="s">
        <v>1013</v>
      </c>
      <c r="AA63" t="s">
        <v>4478</v>
      </c>
      <c r="AB63" t="s">
        <v>4477</v>
      </c>
      <c r="AC63" t="s">
        <v>61</v>
      </c>
      <c r="AD63" t="s">
        <v>19</v>
      </c>
      <c r="AE63" t="s">
        <v>19</v>
      </c>
      <c r="AF63" t="s">
        <v>4645</v>
      </c>
      <c r="AG63" t="s">
        <v>4503</v>
      </c>
      <c r="AH63" t="s">
        <v>22</v>
      </c>
      <c r="AI63" t="s">
        <v>22</v>
      </c>
      <c r="AJ63" t="s">
        <v>22</v>
      </c>
      <c r="AK63" t="s">
        <v>22</v>
      </c>
    </row>
    <row r="64" spans="1:37" ht="11.25" customHeight="1">
      <c r="A64" t="s">
        <v>22</v>
      </c>
      <c r="B64" t="s">
        <v>48</v>
      </c>
      <c r="C64" t="s">
        <v>50</v>
      </c>
      <c r="D64" t="s">
        <v>22</v>
      </c>
      <c r="E64" t="s">
        <v>1065</v>
      </c>
      <c r="F64" t="s">
        <v>1065</v>
      </c>
      <c r="G64" t="s">
        <v>99</v>
      </c>
      <c r="H64" t="s">
        <v>99</v>
      </c>
      <c r="I64" t="s">
        <v>100</v>
      </c>
      <c r="J64" t="s">
        <v>1066</v>
      </c>
      <c r="K64" t="s">
        <v>1067</v>
      </c>
      <c r="L64" t="s">
        <v>4638</v>
      </c>
      <c r="M64" t="s">
        <v>4541</v>
      </c>
      <c r="N64" t="s">
        <v>114</v>
      </c>
      <c r="O64" t="s">
        <v>4476</v>
      </c>
      <c r="P64" t="s">
        <v>4476</v>
      </c>
      <c r="Q64" t="s">
        <v>100</v>
      </c>
      <c r="R64" t="s">
        <v>1066</v>
      </c>
      <c r="S64" t="s">
        <v>1067</v>
      </c>
      <c r="T64" t="s">
        <v>4465</v>
      </c>
      <c r="U64" t="s">
        <v>4466</v>
      </c>
      <c r="V64" t="s">
        <v>4477</v>
      </c>
      <c r="W64" t="s">
        <v>4468</v>
      </c>
      <c r="X64" t="s">
        <v>4469</v>
      </c>
      <c r="Y64" t="s">
        <v>4466</v>
      </c>
      <c r="Z64" t="s">
        <v>1013</v>
      </c>
      <c r="AA64" t="s">
        <v>4478</v>
      </c>
      <c r="AB64" t="s">
        <v>4477</v>
      </c>
      <c r="AC64" t="s">
        <v>61</v>
      </c>
      <c r="AD64" t="s">
        <v>19</v>
      </c>
      <c r="AE64" t="s">
        <v>19</v>
      </c>
      <c r="AF64" t="s">
        <v>4526</v>
      </c>
      <c r="AG64" t="s">
        <v>4527</v>
      </c>
      <c r="AH64" t="s">
        <v>22</v>
      </c>
      <c r="AI64" t="s">
        <v>22</v>
      </c>
      <c r="AJ64" t="s">
        <v>22</v>
      </c>
      <c r="AK64" t="s">
        <v>22</v>
      </c>
    </row>
    <row r="65" spans="1:37" ht="11.25" customHeight="1">
      <c r="A65" t="s">
        <v>22</v>
      </c>
      <c r="B65" t="s">
        <v>48</v>
      </c>
      <c r="C65" t="s">
        <v>50</v>
      </c>
      <c r="D65" t="s">
        <v>22</v>
      </c>
      <c r="E65" t="s">
        <v>1065</v>
      </c>
      <c r="F65" t="s">
        <v>1065</v>
      </c>
      <c r="G65" t="s">
        <v>99</v>
      </c>
      <c r="H65" t="s">
        <v>99</v>
      </c>
      <c r="I65" t="s">
        <v>100</v>
      </c>
      <c r="J65" t="s">
        <v>1066</v>
      </c>
      <c r="K65" t="s">
        <v>1067</v>
      </c>
      <c r="L65" t="s">
        <v>4646</v>
      </c>
      <c r="M65" t="s">
        <v>4647</v>
      </c>
      <c r="N65" t="s">
        <v>114</v>
      </c>
      <c r="O65" t="s">
        <v>4476</v>
      </c>
      <c r="P65" t="s">
        <v>4476</v>
      </c>
      <c r="Q65" t="s">
        <v>100</v>
      </c>
      <c r="R65" t="s">
        <v>1066</v>
      </c>
      <c r="S65" t="s">
        <v>1067</v>
      </c>
      <c r="T65" t="s">
        <v>4465</v>
      </c>
      <c r="U65" t="s">
        <v>4466</v>
      </c>
      <c r="V65" t="s">
        <v>4477</v>
      </c>
      <c r="W65" t="s">
        <v>4468</v>
      </c>
      <c r="X65" t="s">
        <v>4469</v>
      </c>
      <c r="Y65" t="s">
        <v>4466</v>
      </c>
      <c r="Z65" t="s">
        <v>1013</v>
      </c>
      <c r="AA65" t="s">
        <v>4478</v>
      </c>
      <c r="AB65" t="s">
        <v>4477</v>
      </c>
      <c r="AC65" t="s">
        <v>61</v>
      </c>
      <c r="AD65" t="s">
        <v>19</v>
      </c>
      <c r="AE65" t="s">
        <v>19</v>
      </c>
      <c r="AF65" t="s">
        <v>1158</v>
      </c>
      <c r="AG65" t="s">
        <v>1158</v>
      </c>
      <c r="AH65" t="s">
        <v>22</v>
      </c>
      <c r="AI65" t="s">
        <v>22</v>
      </c>
      <c r="AJ65" t="s">
        <v>22</v>
      </c>
      <c r="AK65" t="s">
        <v>22</v>
      </c>
    </row>
    <row r="66" spans="1:37" ht="11.25" customHeight="1">
      <c r="A66" t="s">
        <v>22</v>
      </c>
      <c r="B66" t="s">
        <v>48</v>
      </c>
      <c r="C66" t="s">
        <v>50</v>
      </c>
      <c r="D66" t="s">
        <v>22</v>
      </c>
      <c r="E66" t="s">
        <v>1065</v>
      </c>
      <c r="F66" t="s">
        <v>1065</v>
      </c>
      <c r="G66" t="s">
        <v>99</v>
      </c>
      <c r="H66" t="s">
        <v>99</v>
      </c>
      <c r="I66" t="s">
        <v>100</v>
      </c>
      <c r="J66" t="s">
        <v>1066</v>
      </c>
      <c r="K66" t="s">
        <v>1067</v>
      </c>
      <c r="L66" t="s">
        <v>4648</v>
      </c>
      <c r="M66" t="s">
        <v>4649</v>
      </c>
      <c r="N66" t="s">
        <v>114</v>
      </c>
      <c r="O66" t="s">
        <v>4476</v>
      </c>
      <c r="P66" t="s">
        <v>4476</v>
      </c>
      <c r="Q66" t="s">
        <v>100</v>
      </c>
      <c r="R66" t="s">
        <v>1066</v>
      </c>
      <c r="S66" t="s">
        <v>1067</v>
      </c>
      <c r="T66" t="s">
        <v>4465</v>
      </c>
      <c r="U66" t="s">
        <v>4466</v>
      </c>
      <c r="V66" t="s">
        <v>4477</v>
      </c>
      <c r="W66" t="s">
        <v>4468</v>
      </c>
      <c r="X66" t="s">
        <v>4469</v>
      </c>
      <c r="Y66" t="s">
        <v>4466</v>
      </c>
      <c r="Z66" t="s">
        <v>1013</v>
      </c>
      <c r="AA66" t="s">
        <v>4478</v>
      </c>
      <c r="AB66" t="s">
        <v>4477</v>
      </c>
      <c r="AC66" t="s">
        <v>61</v>
      </c>
      <c r="AD66" t="s">
        <v>19</v>
      </c>
      <c r="AE66" t="s">
        <v>19</v>
      </c>
      <c r="AF66" t="s">
        <v>4503</v>
      </c>
      <c r="AG66" t="s">
        <v>4503</v>
      </c>
      <c r="AH66" t="s">
        <v>22</v>
      </c>
      <c r="AI66" t="s">
        <v>22</v>
      </c>
      <c r="AJ66" t="s">
        <v>22</v>
      </c>
      <c r="AK66" t="s">
        <v>22</v>
      </c>
    </row>
    <row r="67" spans="1:37" ht="11.25" customHeight="1">
      <c r="A67" t="s">
        <v>22</v>
      </c>
      <c r="B67" t="s">
        <v>48</v>
      </c>
      <c r="C67" t="s">
        <v>50</v>
      </c>
      <c r="D67" t="s">
        <v>22</v>
      </c>
      <c r="E67" t="s">
        <v>1065</v>
      </c>
      <c r="F67" t="s">
        <v>1065</v>
      </c>
      <c r="G67" t="s">
        <v>99</v>
      </c>
      <c r="H67" t="s">
        <v>99</v>
      </c>
      <c r="I67" t="s">
        <v>100</v>
      </c>
      <c r="J67" t="s">
        <v>1066</v>
      </c>
      <c r="K67" t="s">
        <v>1067</v>
      </c>
      <c r="L67" t="s">
        <v>4514</v>
      </c>
      <c r="M67" t="s">
        <v>1170</v>
      </c>
      <c r="N67" t="s">
        <v>114</v>
      </c>
      <c r="O67" t="s">
        <v>4476</v>
      </c>
      <c r="P67" t="s">
        <v>4476</v>
      </c>
      <c r="Q67" t="s">
        <v>100</v>
      </c>
      <c r="R67" t="s">
        <v>1066</v>
      </c>
      <c r="S67" t="s">
        <v>1067</v>
      </c>
      <c r="T67" t="s">
        <v>4584</v>
      </c>
      <c r="U67" t="s">
        <v>4650</v>
      </c>
      <c r="V67" t="s">
        <v>4651</v>
      </c>
      <c r="W67" t="s">
        <v>4468</v>
      </c>
      <c r="X67" t="s">
        <v>4547</v>
      </c>
      <c r="Y67" t="s">
        <v>4652</v>
      </c>
      <c r="Z67" t="s">
        <v>4653</v>
      </c>
      <c r="AA67" t="s">
        <v>4654</v>
      </c>
      <c r="AB67" t="s">
        <v>4651</v>
      </c>
      <c r="AC67" t="s">
        <v>61</v>
      </c>
      <c r="AD67" t="s">
        <v>19</v>
      </c>
      <c r="AE67" t="s">
        <v>19</v>
      </c>
      <c r="AF67" t="s">
        <v>4655</v>
      </c>
      <c r="AG67" t="s">
        <v>4496</v>
      </c>
      <c r="AH67" t="s">
        <v>22</v>
      </c>
      <c r="AI67" t="s">
        <v>22</v>
      </c>
      <c r="AJ67" t="s">
        <v>22</v>
      </c>
      <c r="AK67" t="s">
        <v>22</v>
      </c>
    </row>
    <row r="68" spans="1:37" ht="11.25" customHeight="1">
      <c r="A68" t="s">
        <v>22</v>
      </c>
      <c r="B68" t="s">
        <v>48</v>
      </c>
      <c r="C68" t="s">
        <v>50</v>
      </c>
      <c r="D68" t="s">
        <v>22</v>
      </c>
      <c r="E68" t="s">
        <v>1065</v>
      </c>
      <c r="F68" t="s">
        <v>1065</v>
      </c>
      <c r="G68" t="s">
        <v>99</v>
      </c>
      <c r="H68" t="s">
        <v>99</v>
      </c>
      <c r="I68" t="s">
        <v>100</v>
      </c>
      <c r="J68" t="s">
        <v>1066</v>
      </c>
      <c r="K68" t="s">
        <v>1067</v>
      </c>
      <c r="L68" t="s">
        <v>4656</v>
      </c>
      <c r="M68" t="s">
        <v>4657</v>
      </c>
      <c r="N68" t="s">
        <v>114</v>
      </c>
      <c r="O68" t="s">
        <v>4476</v>
      </c>
      <c r="P68" t="s">
        <v>4476</v>
      </c>
      <c r="Q68" t="s">
        <v>100</v>
      </c>
      <c r="R68" t="s">
        <v>1066</v>
      </c>
      <c r="S68" t="s">
        <v>1067</v>
      </c>
      <c r="T68" t="s">
        <v>4465</v>
      </c>
      <c r="U68" t="s">
        <v>4466</v>
      </c>
      <c r="V68" t="s">
        <v>4477</v>
      </c>
      <c r="W68" t="s">
        <v>4468</v>
      </c>
      <c r="X68" t="s">
        <v>4469</v>
      </c>
      <c r="Y68" t="s">
        <v>4466</v>
      </c>
      <c r="Z68" t="s">
        <v>1013</v>
      </c>
      <c r="AA68" t="s">
        <v>4478</v>
      </c>
      <c r="AB68" t="s">
        <v>4477</v>
      </c>
      <c r="AC68" t="s">
        <v>61</v>
      </c>
      <c r="AD68" t="s">
        <v>19</v>
      </c>
      <c r="AE68" t="s">
        <v>19</v>
      </c>
      <c r="AF68" t="s">
        <v>4645</v>
      </c>
      <c r="AG68" t="s">
        <v>4503</v>
      </c>
      <c r="AH68" t="s">
        <v>22</v>
      </c>
      <c r="AI68" t="s">
        <v>22</v>
      </c>
      <c r="AJ68" t="s">
        <v>22</v>
      </c>
      <c r="AK68" t="s">
        <v>22</v>
      </c>
    </row>
    <row r="69" spans="1:37" ht="11.25" customHeight="1">
      <c r="A69" t="s">
        <v>22</v>
      </c>
      <c r="B69" t="s">
        <v>48</v>
      </c>
      <c r="C69" t="s">
        <v>50</v>
      </c>
      <c r="D69" t="s">
        <v>22</v>
      </c>
      <c r="E69" t="s">
        <v>1065</v>
      </c>
      <c r="F69" t="s">
        <v>1065</v>
      </c>
      <c r="G69" t="s">
        <v>99</v>
      </c>
      <c r="H69" t="s">
        <v>99</v>
      </c>
      <c r="I69" t="s">
        <v>100</v>
      </c>
      <c r="J69" t="s">
        <v>1066</v>
      </c>
      <c r="K69" t="s">
        <v>1067</v>
      </c>
      <c r="L69" t="s">
        <v>4658</v>
      </c>
      <c r="M69" t="s">
        <v>1158</v>
      </c>
      <c r="N69" t="s">
        <v>114</v>
      </c>
      <c r="O69" t="s">
        <v>4476</v>
      </c>
      <c r="P69" t="s">
        <v>4476</v>
      </c>
      <c r="Q69" t="s">
        <v>100</v>
      </c>
      <c r="R69" t="s">
        <v>1066</v>
      </c>
      <c r="S69" t="s">
        <v>1067</v>
      </c>
      <c r="T69" t="s">
        <v>4465</v>
      </c>
      <c r="U69" t="s">
        <v>4466</v>
      </c>
      <c r="V69" t="s">
        <v>4477</v>
      </c>
      <c r="W69" t="s">
        <v>4468</v>
      </c>
      <c r="X69" t="s">
        <v>4469</v>
      </c>
      <c r="Y69" t="s">
        <v>4466</v>
      </c>
      <c r="Z69" t="s">
        <v>1013</v>
      </c>
      <c r="AA69" t="s">
        <v>4478</v>
      </c>
      <c r="AB69" t="s">
        <v>4477</v>
      </c>
      <c r="AC69" t="s">
        <v>61</v>
      </c>
      <c r="AD69" t="s">
        <v>19</v>
      </c>
      <c r="AE69" t="s">
        <v>19</v>
      </c>
      <c r="AF69" t="s">
        <v>1158</v>
      </c>
      <c r="AG69" t="s">
        <v>1158</v>
      </c>
      <c r="AH69" t="s">
        <v>22</v>
      </c>
      <c r="AI69" t="s">
        <v>22</v>
      </c>
      <c r="AJ69" t="s">
        <v>22</v>
      </c>
      <c r="AK69" t="s">
        <v>22</v>
      </c>
    </row>
    <row r="70" spans="1:37" ht="11.25" customHeight="1">
      <c r="A70" t="s">
        <v>22</v>
      </c>
      <c r="B70" t="s">
        <v>48</v>
      </c>
      <c r="C70" t="s">
        <v>50</v>
      </c>
      <c r="D70" t="s">
        <v>22</v>
      </c>
      <c r="E70" t="s">
        <v>1065</v>
      </c>
      <c r="F70" t="s">
        <v>1065</v>
      </c>
      <c r="G70" t="s">
        <v>99</v>
      </c>
      <c r="H70" t="s">
        <v>99</v>
      </c>
      <c r="I70" t="s">
        <v>100</v>
      </c>
      <c r="J70" t="s">
        <v>1066</v>
      </c>
      <c r="K70" t="s">
        <v>1067</v>
      </c>
      <c r="L70" t="s">
        <v>4659</v>
      </c>
      <c r="M70" t="s">
        <v>4541</v>
      </c>
      <c r="N70" t="s">
        <v>114</v>
      </c>
      <c r="O70" t="s">
        <v>4476</v>
      </c>
      <c r="P70" t="s">
        <v>4476</v>
      </c>
      <c r="Q70" t="s">
        <v>100</v>
      </c>
      <c r="R70" t="s">
        <v>1066</v>
      </c>
      <c r="S70" t="s">
        <v>1067</v>
      </c>
      <c r="T70" t="s">
        <v>4465</v>
      </c>
      <c r="U70" t="s">
        <v>4466</v>
      </c>
      <c r="V70" t="s">
        <v>4477</v>
      </c>
      <c r="W70" t="s">
        <v>4468</v>
      </c>
      <c r="X70" t="s">
        <v>4469</v>
      </c>
      <c r="Y70" t="s">
        <v>4466</v>
      </c>
      <c r="Z70" t="s">
        <v>1013</v>
      </c>
      <c r="AA70" t="s">
        <v>4478</v>
      </c>
      <c r="AB70" t="s">
        <v>4477</v>
      </c>
      <c r="AC70" t="s">
        <v>61</v>
      </c>
      <c r="AD70" t="s">
        <v>19</v>
      </c>
      <c r="AE70" t="s">
        <v>19</v>
      </c>
      <c r="AF70" t="s">
        <v>4660</v>
      </c>
      <c r="AG70" t="s">
        <v>4509</v>
      </c>
      <c r="AH70" t="s">
        <v>22</v>
      </c>
      <c r="AI70" t="s">
        <v>22</v>
      </c>
      <c r="AJ70" t="s">
        <v>22</v>
      </c>
      <c r="AK70" t="s">
        <v>22</v>
      </c>
    </row>
    <row r="71" spans="1:37" ht="11.25" customHeight="1">
      <c r="A71" t="s">
        <v>22</v>
      </c>
      <c r="B71" t="s">
        <v>48</v>
      </c>
      <c r="C71" t="s">
        <v>50</v>
      </c>
      <c r="D71" t="s">
        <v>22</v>
      </c>
      <c r="E71" t="s">
        <v>1065</v>
      </c>
      <c r="F71" t="s">
        <v>1065</v>
      </c>
      <c r="G71" t="s">
        <v>99</v>
      </c>
      <c r="H71" t="s">
        <v>99</v>
      </c>
      <c r="I71" t="s">
        <v>100</v>
      </c>
      <c r="J71" t="s">
        <v>1066</v>
      </c>
      <c r="K71" t="s">
        <v>1067</v>
      </c>
      <c r="L71" t="s">
        <v>4661</v>
      </c>
      <c r="M71" t="s">
        <v>4662</v>
      </c>
      <c r="N71" t="s">
        <v>114</v>
      </c>
      <c r="O71" t="s">
        <v>4476</v>
      </c>
      <c r="P71" t="s">
        <v>4476</v>
      </c>
      <c r="Q71" t="s">
        <v>100</v>
      </c>
      <c r="R71" t="s">
        <v>1066</v>
      </c>
      <c r="S71" t="s">
        <v>1067</v>
      </c>
      <c r="T71" t="s">
        <v>4465</v>
      </c>
      <c r="U71" t="s">
        <v>4466</v>
      </c>
      <c r="V71" t="s">
        <v>4477</v>
      </c>
      <c r="W71" t="s">
        <v>4468</v>
      </c>
      <c r="X71" t="s">
        <v>4469</v>
      </c>
      <c r="Y71" t="s">
        <v>4466</v>
      </c>
      <c r="Z71" t="s">
        <v>1013</v>
      </c>
      <c r="AA71" t="s">
        <v>4478</v>
      </c>
      <c r="AB71" t="s">
        <v>4477</v>
      </c>
      <c r="AC71" t="s">
        <v>61</v>
      </c>
      <c r="AD71" t="s">
        <v>19</v>
      </c>
      <c r="AE71" t="s">
        <v>19</v>
      </c>
      <c r="AF71" t="s">
        <v>4663</v>
      </c>
      <c r="AG71" t="s">
        <v>4664</v>
      </c>
      <c r="AH71" t="s">
        <v>22</v>
      </c>
      <c r="AI71" t="s">
        <v>22</v>
      </c>
      <c r="AJ71" t="s">
        <v>22</v>
      </c>
      <c r="AK71" t="s">
        <v>22</v>
      </c>
    </row>
    <row r="72" spans="1:37" ht="11.25" customHeight="1">
      <c r="A72" t="s">
        <v>22</v>
      </c>
      <c r="B72" t="s">
        <v>48</v>
      </c>
      <c r="C72" t="s">
        <v>50</v>
      </c>
      <c r="D72" t="s">
        <v>22</v>
      </c>
      <c r="E72" t="s">
        <v>1065</v>
      </c>
      <c r="F72" t="s">
        <v>1065</v>
      </c>
      <c r="G72" t="s">
        <v>99</v>
      </c>
      <c r="H72" t="s">
        <v>99</v>
      </c>
      <c r="I72" t="s">
        <v>100</v>
      </c>
      <c r="J72" t="s">
        <v>1066</v>
      </c>
      <c r="K72" t="s">
        <v>1067</v>
      </c>
      <c r="L72" t="s">
        <v>4665</v>
      </c>
      <c r="M72" t="s">
        <v>4666</v>
      </c>
      <c r="N72" t="s">
        <v>114</v>
      </c>
      <c r="O72" t="s">
        <v>4476</v>
      </c>
      <c r="P72" t="s">
        <v>4476</v>
      </c>
      <c r="Q72" t="s">
        <v>100</v>
      </c>
      <c r="R72" t="s">
        <v>1066</v>
      </c>
      <c r="S72" t="s">
        <v>1067</v>
      </c>
      <c r="T72" t="s">
        <v>4465</v>
      </c>
      <c r="U72" t="s">
        <v>4545</v>
      </c>
      <c r="V72" t="s">
        <v>4546</v>
      </c>
      <c r="W72" t="s">
        <v>4468</v>
      </c>
      <c r="X72" t="s">
        <v>4547</v>
      </c>
      <c r="Y72" t="s">
        <v>4545</v>
      </c>
      <c r="Z72" t="s">
        <v>4548</v>
      </c>
      <c r="AA72" t="s">
        <v>4549</v>
      </c>
      <c r="AB72" t="s">
        <v>4546</v>
      </c>
      <c r="AC72" t="s">
        <v>61</v>
      </c>
      <c r="AD72" t="s">
        <v>19</v>
      </c>
      <c r="AE72" t="s">
        <v>19</v>
      </c>
      <c r="AF72" t="s">
        <v>4667</v>
      </c>
      <c r="AG72" t="s">
        <v>4496</v>
      </c>
      <c r="AH72" t="s">
        <v>22</v>
      </c>
      <c r="AI72" t="s">
        <v>22</v>
      </c>
      <c r="AJ72" t="s">
        <v>22</v>
      </c>
      <c r="AK72" t="s">
        <v>22</v>
      </c>
    </row>
    <row r="73" spans="1:37" ht="11.25" customHeight="1">
      <c r="A73" t="s">
        <v>22</v>
      </c>
      <c r="B73" t="s">
        <v>48</v>
      </c>
      <c r="C73" t="s">
        <v>50</v>
      </c>
      <c r="D73" t="s">
        <v>22</v>
      </c>
      <c r="E73" t="s">
        <v>1065</v>
      </c>
      <c r="F73" t="s">
        <v>1065</v>
      </c>
      <c r="G73" t="s">
        <v>99</v>
      </c>
      <c r="H73" t="s">
        <v>99</v>
      </c>
      <c r="I73" t="s">
        <v>100</v>
      </c>
      <c r="J73" t="s">
        <v>1066</v>
      </c>
      <c r="K73" t="s">
        <v>1067</v>
      </c>
      <c r="L73" t="s">
        <v>4668</v>
      </c>
      <c r="M73" t="s">
        <v>105</v>
      </c>
      <c r="N73" t="s">
        <v>114</v>
      </c>
      <c r="O73" t="s">
        <v>4476</v>
      </c>
      <c r="P73" t="s">
        <v>4476</v>
      </c>
      <c r="Q73" t="s">
        <v>100</v>
      </c>
      <c r="R73" t="s">
        <v>1066</v>
      </c>
      <c r="S73" t="s">
        <v>1067</v>
      </c>
      <c r="T73" t="s">
        <v>4465</v>
      </c>
      <c r="U73" t="s">
        <v>4466</v>
      </c>
      <c r="V73" t="s">
        <v>4477</v>
      </c>
      <c r="W73" t="s">
        <v>4468</v>
      </c>
      <c r="X73" t="s">
        <v>4469</v>
      </c>
      <c r="Y73" t="s">
        <v>4466</v>
      </c>
      <c r="Z73" t="s">
        <v>1013</v>
      </c>
      <c r="AA73" t="s">
        <v>4478</v>
      </c>
      <c r="AB73" t="s">
        <v>4477</v>
      </c>
      <c r="AC73" t="s">
        <v>61</v>
      </c>
      <c r="AD73" t="s">
        <v>19</v>
      </c>
      <c r="AE73" t="s">
        <v>19</v>
      </c>
      <c r="AF73" t="s">
        <v>1158</v>
      </c>
      <c r="AG73" t="s">
        <v>1158</v>
      </c>
      <c r="AH73" t="s">
        <v>22</v>
      </c>
      <c r="AI73" t="s">
        <v>22</v>
      </c>
      <c r="AJ73" t="s">
        <v>22</v>
      </c>
      <c r="AK73" t="s">
        <v>22</v>
      </c>
    </row>
    <row r="74" spans="1:37" ht="11.25" customHeight="1">
      <c r="A74" t="s">
        <v>22</v>
      </c>
      <c r="B74" t="s">
        <v>48</v>
      </c>
      <c r="C74" t="s">
        <v>50</v>
      </c>
      <c r="D74" t="s">
        <v>22</v>
      </c>
      <c r="E74" t="s">
        <v>1065</v>
      </c>
      <c r="F74" t="s">
        <v>1065</v>
      </c>
      <c r="G74" t="s">
        <v>99</v>
      </c>
      <c r="H74" t="s">
        <v>99</v>
      </c>
      <c r="I74" t="s">
        <v>100</v>
      </c>
      <c r="J74" t="s">
        <v>1066</v>
      </c>
      <c r="K74" t="s">
        <v>1067</v>
      </c>
      <c r="L74" t="s">
        <v>4669</v>
      </c>
      <c r="M74" t="s">
        <v>1129</v>
      </c>
      <c r="N74" t="s">
        <v>114</v>
      </c>
      <c r="O74" t="s">
        <v>4476</v>
      </c>
      <c r="P74" t="s">
        <v>4476</v>
      </c>
      <c r="Q74" t="s">
        <v>100</v>
      </c>
      <c r="R74" t="s">
        <v>1066</v>
      </c>
      <c r="S74" t="s">
        <v>1067</v>
      </c>
      <c r="T74" t="s">
        <v>4465</v>
      </c>
      <c r="U74" t="s">
        <v>4466</v>
      </c>
      <c r="V74" t="s">
        <v>4477</v>
      </c>
      <c r="W74" t="s">
        <v>4468</v>
      </c>
      <c r="X74" t="s">
        <v>4469</v>
      </c>
      <c r="Y74" t="s">
        <v>4466</v>
      </c>
      <c r="Z74" t="s">
        <v>1013</v>
      </c>
      <c r="AA74" t="s">
        <v>4478</v>
      </c>
      <c r="AB74" t="s">
        <v>4477</v>
      </c>
      <c r="AC74" t="s">
        <v>61</v>
      </c>
      <c r="AD74" t="s">
        <v>19</v>
      </c>
      <c r="AE74" t="s">
        <v>19</v>
      </c>
      <c r="AF74" t="s">
        <v>1158</v>
      </c>
      <c r="AG74" t="s">
        <v>1158</v>
      </c>
      <c r="AH74" t="s">
        <v>22</v>
      </c>
      <c r="AI74" t="s">
        <v>22</v>
      </c>
      <c r="AJ74" t="s">
        <v>22</v>
      </c>
      <c r="AK74" t="s">
        <v>22</v>
      </c>
    </row>
    <row r="75" spans="1:37" ht="11.25" customHeight="1">
      <c r="A75" t="s">
        <v>22</v>
      </c>
      <c r="B75" t="s">
        <v>48</v>
      </c>
      <c r="C75" t="s">
        <v>50</v>
      </c>
      <c r="D75" t="s">
        <v>22</v>
      </c>
      <c r="E75" t="s">
        <v>1065</v>
      </c>
      <c r="F75" t="s">
        <v>1065</v>
      </c>
      <c r="G75" t="s">
        <v>99</v>
      </c>
      <c r="H75" t="s">
        <v>99</v>
      </c>
      <c r="I75" t="s">
        <v>100</v>
      </c>
      <c r="J75" t="s">
        <v>1066</v>
      </c>
      <c r="K75" t="s">
        <v>1067</v>
      </c>
      <c r="L75" t="s">
        <v>4665</v>
      </c>
      <c r="M75" t="s">
        <v>4670</v>
      </c>
      <c r="N75" t="s">
        <v>114</v>
      </c>
      <c r="O75" t="s">
        <v>4476</v>
      </c>
      <c r="P75" t="s">
        <v>4476</v>
      </c>
      <c r="Q75" t="s">
        <v>100</v>
      </c>
      <c r="R75" t="s">
        <v>1066</v>
      </c>
      <c r="S75" t="s">
        <v>1067</v>
      </c>
      <c r="T75" t="s">
        <v>4465</v>
      </c>
      <c r="U75" t="s">
        <v>4466</v>
      </c>
      <c r="V75" t="s">
        <v>4477</v>
      </c>
      <c r="W75" t="s">
        <v>4468</v>
      </c>
      <c r="X75" t="s">
        <v>4469</v>
      </c>
      <c r="Y75" t="s">
        <v>4466</v>
      </c>
      <c r="Z75" t="s">
        <v>1013</v>
      </c>
      <c r="AA75" t="s">
        <v>4478</v>
      </c>
      <c r="AB75" t="s">
        <v>4477</v>
      </c>
      <c r="AC75" t="s">
        <v>61</v>
      </c>
      <c r="AD75" t="s">
        <v>19</v>
      </c>
      <c r="AE75" t="s">
        <v>19</v>
      </c>
      <c r="AF75" t="s">
        <v>4671</v>
      </c>
      <c r="AG75" t="s">
        <v>4635</v>
      </c>
      <c r="AH75" t="s">
        <v>22</v>
      </c>
      <c r="AI75" t="s">
        <v>22</v>
      </c>
      <c r="AJ75" t="s">
        <v>22</v>
      </c>
      <c r="AK75" t="s">
        <v>22</v>
      </c>
    </row>
    <row r="76" spans="1:37" ht="11.25" customHeight="1">
      <c r="A76" t="s">
        <v>22</v>
      </c>
      <c r="B76" t="s">
        <v>48</v>
      </c>
      <c r="C76" t="s">
        <v>50</v>
      </c>
      <c r="D76" t="s">
        <v>22</v>
      </c>
      <c r="E76" t="s">
        <v>1065</v>
      </c>
      <c r="F76" t="s">
        <v>1065</v>
      </c>
      <c r="G76" t="s">
        <v>99</v>
      </c>
      <c r="H76" t="s">
        <v>99</v>
      </c>
      <c r="I76" t="s">
        <v>100</v>
      </c>
      <c r="J76" t="s">
        <v>1066</v>
      </c>
      <c r="K76" t="s">
        <v>1067</v>
      </c>
      <c r="L76" t="s">
        <v>4672</v>
      </c>
      <c r="M76" t="s">
        <v>4639</v>
      </c>
      <c r="N76" t="s">
        <v>114</v>
      </c>
      <c r="O76" t="s">
        <v>4476</v>
      </c>
      <c r="P76" t="s">
        <v>4476</v>
      </c>
      <c r="Q76" t="s">
        <v>100</v>
      </c>
      <c r="R76" t="s">
        <v>1066</v>
      </c>
      <c r="S76" t="s">
        <v>1067</v>
      </c>
      <c r="T76" t="s">
        <v>4465</v>
      </c>
      <c r="U76" t="s">
        <v>4466</v>
      </c>
      <c r="V76" t="s">
        <v>4477</v>
      </c>
      <c r="W76" t="s">
        <v>4468</v>
      </c>
      <c r="X76" t="s">
        <v>4469</v>
      </c>
      <c r="Y76" t="s">
        <v>4466</v>
      </c>
      <c r="Z76" t="s">
        <v>1013</v>
      </c>
      <c r="AA76" t="s">
        <v>4478</v>
      </c>
      <c r="AB76" t="s">
        <v>4477</v>
      </c>
      <c r="AC76" t="s">
        <v>61</v>
      </c>
      <c r="AD76" t="s">
        <v>19</v>
      </c>
      <c r="AE76" t="s">
        <v>19</v>
      </c>
      <c r="AF76" t="s">
        <v>4631</v>
      </c>
      <c r="AG76" t="s">
        <v>1168</v>
      </c>
      <c r="AH76" t="s">
        <v>22</v>
      </c>
      <c r="AI76" t="s">
        <v>22</v>
      </c>
      <c r="AJ76" t="s">
        <v>22</v>
      </c>
      <c r="AK76" t="s">
        <v>22</v>
      </c>
    </row>
    <row r="77" spans="1:37" ht="11.25" customHeight="1">
      <c r="A77" t="s">
        <v>22</v>
      </c>
      <c r="B77" t="s">
        <v>48</v>
      </c>
      <c r="C77" t="s">
        <v>50</v>
      </c>
      <c r="D77" t="s">
        <v>22</v>
      </c>
      <c r="E77" t="s">
        <v>1065</v>
      </c>
      <c r="F77" t="s">
        <v>1065</v>
      </c>
      <c r="G77" t="s">
        <v>99</v>
      </c>
      <c r="H77" t="s">
        <v>99</v>
      </c>
      <c r="I77" t="s">
        <v>100</v>
      </c>
      <c r="J77" t="s">
        <v>1066</v>
      </c>
      <c r="K77" t="s">
        <v>1067</v>
      </c>
      <c r="L77" t="s">
        <v>4673</v>
      </c>
      <c r="M77" t="s">
        <v>1013</v>
      </c>
      <c r="N77" t="s">
        <v>114</v>
      </c>
      <c r="O77" t="s">
        <v>4476</v>
      </c>
      <c r="P77" t="s">
        <v>4476</v>
      </c>
      <c r="Q77" t="s">
        <v>100</v>
      </c>
      <c r="R77" t="s">
        <v>1066</v>
      </c>
      <c r="S77" t="s">
        <v>1067</v>
      </c>
      <c r="T77" t="s">
        <v>4465</v>
      </c>
      <c r="U77" t="s">
        <v>4466</v>
      </c>
      <c r="V77" t="s">
        <v>4477</v>
      </c>
      <c r="W77" t="s">
        <v>4468</v>
      </c>
      <c r="X77" t="s">
        <v>4469</v>
      </c>
      <c r="Y77" t="s">
        <v>4466</v>
      </c>
      <c r="Z77" t="s">
        <v>1013</v>
      </c>
      <c r="AA77" t="s">
        <v>4478</v>
      </c>
      <c r="AB77" t="s">
        <v>4477</v>
      </c>
      <c r="AC77" t="s">
        <v>61</v>
      </c>
      <c r="AD77" t="s">
        <v>19</v>
      </c>
      <c r="AE77" t="s">
        <v>19</v>
      </c>
      <c r="AF77" t="s">
        <v>1824</v>
      </c>
      <c r="AG77" t="s">
        <v>1158</v>
      </c>
      <c r="AH77" t="s">
        <v>22</v>
      </c>
      <c r="AI77" t="s">
        <v>22</v>
      </c>
      <c r="AJ77" t="s">
        <v>22</v>
      </c>
      <c r="AK77" t="s">
        <v>22</v>
      </c>
    </row>
    <row r="78" spans="1:37" ht="11.25" customHeight="1">
      <c r="A78" t="s">
        <v>22</v>
      </c>
      <c r="B78" t="s">
        <v>48</v>
      </c>
      <c r="C78" t="s">
        <v>50</v>
      </c>
      <c r="D78" t="s">
        <v>22</v>
      </c>
      <c r="E78" t="s">
        <v>1065</v>
      </c>
      <c r="F78" t="s">
        <v>1065</v>
      </c>
      <c r="G78" t="s">
        <v>99</v>
      </c>
      <c r="H78" t="s">
        <v>99</v>
      </c>
      <c r="I78" t="s">
        <v>100</v>
      </c>
      <c r="J78" t="s">
        <v>1066</v>
      </c>
      <c r="K78" t="s">
        <v>1067</v>
      </c>
      <c r="L78" t="s">
        <v>4674</v>
      </c>
      <c r="M78" t="s">
        <v>158</v>
      </c>
      <c r="N78" t="s">
        <v>114</v>
      </c>
      <c r="O78" t="s">
        <v>4476</v>
      </c>
      <c r="P78" t="s">
        <v>4476</v>
      </c>
      <c r="Q78" t="s">
        <v>100</v>
      </c>
      <c r="R78" t="s">
        <v>1066</v>
      </c>
      <c r="S78" t="s">
        <v>1067</v>
      </c>
      <c r="T78" t="s">
        <v>4465</v>
      </c>
      <c r="U78" t="s">
        <v>4466</v>
      </c>
      <c r="V78" t="s">
        <v>4477</v>
      </c>
      <c r="W78" t="s">
        <v>4468</v>
      </c>
      <c r="X78" t="s">
        <v>4469</v>
      </c>
      <c r="Y78" t="s">
        <v>4466</v>
      </c>
      <c r="Z78" t="s">
        <v>1013</v>
      </c>
      <c r="AA78" t="s">
        <v>4478</v>
      </c>
      <c r="AB78" t="s">
        <v>4477</v>
      </c>
      <c r="AC78" t="s">
        <v>61</v>
      </c>
      <c r="AD78" t="s">
        <v>19</v>
      </c>
      <c r="AE78" t="s">
        <v>19</v>
      </c>
      <c r="AF78" t="s">
        <v>4503</v>
      </c>
      <c r="AG78" t="s">
        <v>1824</v>
      </c>
      <c r="AH78" t="s">
        <v>22</v>
      </c>
      <c r="AI78" t="s">
        <v>22</v>
      </c>
      <c r="AJ78" t="s">
        <v>22</v>
      </c>
      <c r="AK78" t="s">
        <v>22</v>
      </c>
    </row>
    <row r="79" spans="1:37" ht="11.25" customHeight="1">
      <c r="A79" t="s">
        <v>22</v>
      </c>
      <c r="B79" t="s">
        <v>48</v>
      </c>
      <c r="C79" t="s">
        <v>50</v>
      </c>
      <c r="D79" t="s">
        <v>22</v>
      </c>
      <c r="E79" t="s">
        <v>1065</v>
      </c>
      <c r="F79" t="s">
        <v>1065</v>
      </c>
      <c r="G79" t="s">
        <v>99</v>
      </c>
      <c r="H79" t="s">
        <v>99</v>
      </c>
      <c r="I79" t="s">
        <v>100</v>
      </c>
      <c r="J79" t="s">
        <v>1066</v>
      </c>
      <c r="K79" t="s">
        <v>1067</v>
      </c>
      <c r="L79" t="s">
        <v>4675</v>
      </c>
      <c r="M79" t="s">
        <v>4676</v>
      </c>
      <c r="N79" t="s">
        <v>114</v>
      </c>
      <c r="O79" t="s">
        <v>4476</v>
      </c>
      <c r="P79" t="s">
        <v>4476</v>
      </c>
      <c r="Q79" t="s">
        <v>100</v>
      </c>
      <c r="R79" t="s">
        <v>1066</v>
      </c>
      <c r="S79" t="s">
        <v>1067</v>
      </c>
      <c r="T79" t="s">
        <v>4465</v>
      </c>
      <c r="U79" t="s">
        <v>4677</v>
      </c>
      <c r="V79" t="s">
        <v>4678</v>
      </c>
      <c r="W79" t="s">
        <v>4468</v>
      </c>
      <c r="X79" t="s">
        <v>4547</v>
      </c>
      <c r="Y79" t="s">
        <v>4679</v>
      </c>
      <c r="Z79" t="s">
        <v>4680</v>
      </c>
      <c r="AA79" t="s">
        <v>4681</v>
      </c>
      <c r="AB79" t="s">
        <v>4678</v>
      </c>
      <c r="AC79" t="s">
        <v>61</v>
      </c>
      <c r="AD79" t="s">
        <v>19</v>
      </c>
      <c r="AE79" t="s">
        <v>19</v>
      </c>
      <c r="AF79" t="s">
        <v>384</v>
      </c>
      <c r="AG79" t="s">
        <v>384</v>
      </c>
      <c r="AH79" t="s">
        <v>22</v>
      </c>
      <c r="AI79" t="s">
        <v>22</v>
      </c>
      <c r="AJ79" t="s">
        <v>22</v>
      </c>
      <c r="AK79" t="s">
        <v>22</v>
      </c>
    </row>
    <row r="80" spans="1:37" ht="11.25" customHeight="1">
      <c r="A80" t="s">
        <v>22</v>
      </c>
      <c r="B80" t="s">
        <v>48</v>
      </c>
      <c r="C80" t="s">
        <v>50</v>
      </c>
      <c r="D80" t="s">
        <v>22</v>
      </c>
      <c r="E80" t="s">
        <v>1065</v>
      </c>
      <c r="F80" t="s">
        <v>1065</v>
      </c>
      <c r="G80" t="s">
        <v>99</v>
      </c>
      <c r="H80" t="s">
        <v>99</v>
      </c>
      <c r="I80" t="s">
        <v>100</v>
      </c>
      <c r="J80" t="s">
        <v>1066</v>
      </c>
      <c r="K80" t="s">
        <v>1067</v>
      </c>
      <c r="L80" t="s">
        <v>4682</v>
      </c>
      <c r="M80" t="s">
        <v>4683</v>
      </c>
      <c r="N80" t="s">
        <v>114</v>
      </c>
      <c r="O80" t="s">
        <v>4476</v>
      </c>
      <c r="P80" t="s">
        <v>4476</v>
      </c>
      <c r="Q80" t="s">
        <v>100</v>
      </c>
      <c r="R80" t="s">
        <v>1066</v>
      </c>
      <c r="S80" t="s">
        <v>1067</v>
      </c>
      <c r="T80" t="s">
        <v>4465</v>
      </c>
      <c r="U80" t="s">
        <v>4545</v>
      </c>
      <c r="V80" t="s">
        <v>4546</v>
      </c>
      <c r="W80" t="s">
        <v>4468</v>
      </c>
      <c r="X80" t="s">
        <v>4547</v>
      </c>
      <c r="Y80" t="s">
        <v>4545</v>
      </c>
      <c r="Z80" t="s">
        <v>4548</v>
      </c>
      <c r="AA80" t="s">
        <v>4549</v>
      </c>
      <c r="AB80" t="s">
        <v>4546</v>
      </c>
      <c r="AC80" t="s">
        <v>61</v>
      </c>
      <c r="AD80" t="s">
        <v>19</v>
      </c>
      <c r="AE80" t="s">
        <v>19</v>
      </c>
      <c r="AF80" t="s">
        <v>4550</v>
      </c>
      <c r="AG80" t="s">
        <v>4526</v>
      </c>
      <c r="AH80" t="s">
        <v>22</v>
      </c>
      <c r="AI80" t="s">
        <v>22</v>
      </c>
      <c r="AJ80" t="s">
        <v>22</v>
      </c>
      <c r="AK80" t="s">
        <v>22</v>
      </c>
    </row>
    <row r="81" spans="1:37" ht="11.25" customHeight="1">
      <c r="A81" t="s">
        <v>22</v>
      </c>
      <c r="B81" t="s">
        <v>48</v>
      </c>
      <c r="C81" t="s">
        <v>50</v>
      </c>
      <c r="D81" t="s">
        <v>22</v>
      </c>
      <c r="E81" t="s">
        <v>1065</v>
      </c>
      <c r="F81" t="s">
        <v>1065</v>
      </c>
      <c r="G81" t="s">
        <v>99</v>
      </c>
      <c r="H81" t="s">
        <v>99</v>
      </c>
      <c r="I81" t="s">
        <v>100</v>
      </c>
      <c r="J81" t="s">
        <v>1066</v>
      </c>
      <c r="K81" t="s">
        <v>1067</v>
      </c>
      <c r="L81" t="s">
        <v>4656</v>
      </c>
      <c r="M81" t="s">
        <v>4684</v>
      </c>
      <c r="N81" t="s">
        <v>114</v>
      </c>
      <c r="O81" t="s">
        <v>4476</v>
      </c>
      <c r="P81" t="s">
        <v>4476</v>
      </c>
      <c r="Q81" t="s">
        <v>100</v>
      </c>
      <c r="R81" t="s">
        <v>1066</v>
      </c>
      <c r="S81" t="s">
        <v>1067</v>
      </c>
      <c r="T81" t="s">
        <v>4465</v>
      </c>
      <c r="U81" t="s">
        <v>4466</v>
      </c>
      <c r="V81" t="s">
        <v>4477</v>
      </c>
      <c r="W81" t="s">
        <v>4468</v>
      </c>
      <c r="X81" t="s">
        <v>4469</v>
      </c>
      <c r="Y81" t="s">
        <v>4466</v>
      </c>
      <c r="Z81" t="s">
        <v>1013</v>
      </c>
      <c r="AA81" t="s">
        <v>4478</v>
      </c>
      <c r="AB81" t="s">
        <v>4477</v>
      </c>
      <c r="AC81" t="s">
        <v>61</v>
      </c>
      <c r="AD81" t="s">
        <v>19</v>
      </c>
      <c r="AE81" t="s">
        <v>19</v>
      </c>
      <c r="AF81" t="s">
        <v>4645</v>
      </c>
      <c r="AG81" t="s">
        <v>4503</v>
      </c>
      <c r="AH81" t="s">
        <v>22</v>
      </c>
      <c r="AI81" t="s">
        <v>22</v>
      </c>
      <c r="AJ81" t="s">
        <v>22</v>
      </c>
      <c r="AK81" t="s">
        <v>22</v>
      </c>
    </row>
    <row r="82" spans="1:37" ht="11.25" customHeight="1">
      <c r="A82" t="s">
        <v>22</v>
      </c>
      <c r="B82" t="s">
        <v>48</v>
      </c>
      <c r="C82" t="s">
        <v>50</v>
      </c>
      <c r="D82" t="s">
        <v>22</v>
      </c>
      <c r="E82" t="s">
        <v>1065</v>
      </c>
      <c r="F82" t="s">
        <v>1065</v>
      </c>
      <c r="G82" t="s">
        <v>99</v>
      </c>
      <c r="H82" t="s">
        <v>99</v>
      </c>
      <c r="I82" t="s">
        <v>100</v>
      </c>
      <c r="J82" t="s">
        <v>1066</v>
      </c>
      <c r="K82" t="s">
        <v>1067</v>
      </c>
      <c r="L82" t="s">
        <v>4685</v>
      </c>
      <c r="M82" t="s">
        <v>4686</v>
      </c>
      <c r="N82" t="s">
        <v>114</v>
      </c>
      <c r="O82" t="s">
        <v>4476</v>
      </c>
      <c r="P82" t="s">
        <v>4476</v>
      </c>
      <c r="Q82" t="s">
        <v>100</v>
      </c>
      <c r="R82" t="s">
        <v>1066</v>
      </c>
      <c r="S82" t="s">
        <v>1067</v>
      </c>
      <c r="T82" t="s">
        <v>4465</v>
      </c>
      <c r="U82" t="s">
        <v>4466</v>
      </c>
      <c r="V82" t="s">
        <v>4477</v>
      </c>
      <c r="W82" t="s">
        <v>4468</v>
      </c>
      <c r="X82" t="s">
        <v>4469</v>
      </c>
      <c r="Y82" t="s">
        <v>4466</v>
      </c>
      <c r="Z82" t="s">
        <v>1013</v>
      </c>
      <c r="AA82" t="s">
        <v>4478</v>
      </c>
      <c r="AB82" t="s">
        <v>4477</v>
      </c>
      <c r="AC82" t="s">
        <v>61</v>
      </c>
      <c r="AD82" t="s">
        <v>19</v>
      </c>
      <c r="AE82" t="s">
        <v>19</v>
      </c>
      <c r="AF82" t="s">
        <v>4687</v>
      </c>
      <c r="AG82" t="s">
        <v>4500</v>
      </c>
      <c r="AH82" t="s">
        <v>22</v>
      </c>
      <c r="AI82" t="s">
        <v>22</v>
      </c>
      <c r="AJ82" t="s">
        <v>22</v>
      </c>
      <c r="AK82" t="s">
        <v>22</v>
      </c>
    </row>
    <row r="83" spans="1:37" ht="11.25" customHeight="1">
      <c r="A83" t="s">
        <v>22</v>
      </c>
      <c r="B83" t="s">
        <v>48</v>
      </c>
      <c r="C83" t="s">
        <v>50</v>
      </c>
      <c r="D83" t="s">
        <v>22</v>
      </c>
      <c r="E83" t="s">
        <v>1065</v>
      </c>
      <c r="F83" t="s">
        <v>1065</v>
      </c>
      <c r="G83" t="s">
        <v>99</v>
      </c>
      <c r="H83" t="s">
        <v>99</v>
      </c>
      <c r="I83" t="s">
        <v>100</v>
      </c>
      <c r="J83" t="s">
        <v>1066</v>
      </c>
      <c r="K83" t="s">
        <v>1067</v>
      </c>
      <c r="L83" t="s">
        <v>4688</v>
      </c>
      <c r="M83" t="s">
        <v>4689</v>
      </c>
      <c r="N83" t="s">
        <v>114</v>
      </c>
      <c r="O83" t="s">
        <v>4476</v>
      </c>
      <c r="P83" t="s">
        <v>4476</v>
      </c>
      <c r="Q83" t="s">
        <v>100</v>
      </c>
      <c r="R83" t="s">
        <v>1066</v>
      </c>
      <c r="S83" t="s">
        <v>1067</v>
      </c>
      <c r="T83" t="s">
        <v>4465</v>
      </c>
      <c r="U83" t="s">
        <v>4466</v>
      </c>
      <c r="V83" t="s">
        <v>4477</v>
      </c>
      <c r="W83" t="s">
        <v>4468</v>
      </c>
      <c r="X83" t="s">
        <v>4469</v>
      </c>
      <c r="Y83" t="s">
        <v>4466</v>
      </c>
      <c r="Z83" t="s">
        <v>1013</v>
      </c>
      <c r="AA83" t="s">
        <v>4478</v>
      </c>
      <c r="AB83" t="s">
        <v>4477</v>
      </c>
      <c r="AC83" t="s">
        <v>61</v>
      </c>
      <c r="AD83" t="s">
        <v>19</v>
      </c>
      <c r="AE83" t="s">
        <v>19</v>
      </c>
      <c r="AF83" t="s">
        <v>4690</v>
      </c>
      <c r="AG83" t="s">
        <v>4500</v>
      </c>
      <c r="AH83" t="s">
        <v>22</v>
      </c>
      <c r="AI83" t="s">
        <v>22</v>
      </c>
      <c r="AJ83" t="s">
        <v>22</v>
      </c>
      <c r="AK83" t="s">
        <v>22</v>
      </c>
    </row>
    <row r="84" spans="1:37" ht="11.25" customHeight="1">
      <c r="A84" t="s">
        <v>22</v>
      </c>
      <c r="B84" t="s">
        <v>48</v>
      </c>
      <c r="C84" t="s">
        <v>50</v>
      </c>
      <c r="D84" t="s">
        <v>22</v>
      </c>
      <c r="E84" t="s">
        <v>1065</v>
      </c>
      <c r="F84" t="s">
        <v>1065</v>
      </c>
      <c r="G84" t="s">
        <v>99</v>
      </c>
      <c r="H84" t="s">
        <v>99</v>
      </c>
      <c r="I84" t="s">
        <v>100</v>
      </c>
      <c r="J84" t="s">
        <v>1066</v>
      </c>
      <c r="K84" t="s">
        <v>1067</v>
      </c>
      <c r="L84" t="s">
        <v>4691</v>
      </c>
      <c r="M84" t="s">
        <v>4692</v>
      </c>
      <c r="N84" t="s">
        <v>114</v>
      </c>
      <c r="O84" t="s">
        <v>4476</v>
      </c>
      <c r="P84" t="s">
        <v>4476</v>
      </c>
      <c r="Q84" t="s">
        <v>100</v>
      </c>
      <c r="R84" t="s">
        <v>1066</v>
      </c>
      <c r="S84" t="s">
        <v>1067</v>
      </c>
      <c r="T84" t="s">
        <v>4465</v>
      </c>
      <c r="U84" t="s">
        <v>4466</v>
      </c>
      <c r="V84" t="s">
        <v>4477</v>
      </c>
      <c r="W84" t="s">
        <v>4468</v>
      </c>
      <c r="X84" t="s">
        <v>4469</v>
      </c>
      <c r="Y84" t="s">
        <v>4466</v>
      </c>
      <c r="Z84" t="s">
        <v>1013</v>
      </c>
      <c r="AA84" t="s">
        <v>4478</v>
      </c>
      <c r="AB84" t="s">
        <v>4477</v>
      </c>
      <c r="AC84" t="s">
        <v>61</v>
      </c>
      <c r="AD84" t="s">
        <v>19</v>
      </c>
      <c r="AE84" t="s">
        <v>19</v>
      </c>
      <c r="AF84" t="s">
        <v>4629</v>
      </c>
      <c r="AG84" t="s">
        <v>4496</v>
      </c>
      <c r="AH84" t="s">
        <v>22</v>
      </c>
      <c r="AI84" t="s">
        <v>22</v>
      </c>
      <c r="AJ84" t="s">
        <v>22</v>
      </c>
      <c r="AK84" t="s">
        <v>22</v>
      </c>
    </row>
    <row r="85" spans="1:37" ht="11.25" customHeight="1">
      <c r="A85" t="s">
        <v>22</v>
      </c>
      <c r="B85" t="s">
        <v>48</v>
      </c>
      <c r="C85" t="s">
        <v>50</v>
      </c>
      <c r="D85" t="s">
        <v>22</v>
      </c>
      <c r="E85" t="s">
        <v>1065</v>
      </c>
      <c r="F85" t="s">
        <v>1065</v>
      </c>
      <c r="G85" t="s">
        <v>99</v>
      </c>
      <c r="H85" t="s">
        <v>99</v>
      </c>
      <c r="I85" t="s">
        <v>100</v>
      </c>
      <c r="J85" t="s">
        <v>1066</v>
      </c>
      <c r="K85" t="s">
        <v>1067</v>
      </c>
      <c r="L85" t="s">
        <v>4693</v>
      </c>
      <c r="M85" t="s">
        <v>4694</v>
      </c>
      <c r="N85" t="s">
        <v>114</v>
      </c>
      <c r="O85" t="s">
        <v>4476</v>
      </c>
      <c r="P85" t="s">
        <v>4476</v>
      </c>
      <c r="Q85" t="s">
        <v>100</v>
      </c>
      <c r="R85" t="s">
        <v>1066</v>
      </c>
      <c r="S85" t="s">
        <v>1067</v>
      </c>
      <c r="T85" t="s">
        <v>4465</v>
      </c>
      <c r="U85" t="s">
        <v>4466</v>
      </c>
      <c r="V85" t="s">
        <v>4477</v>
      </c>
      <c r="W85" t="s">
        <v>4468</v>
      </c>
      <c r="X85" t="s">
        <v>4469</v>
      </c>
      <c r="Y85" t="s">
        <v>4466</v>
      </c>
      <c r="Z85" t="s">
        <v>1013</v>
      </c>
      <c r="AA85" t="s">
        <v>4478</v>
      </c>
      <c r="AB85" t="s">
        <v>4477</v>
      </c>
      <c r="AC85" t="s">
        <v>61</v>
      </c>
      <c r="AD85" t="s">
        <v>19</v>
      </c>
      <c r="AE85" t="s">
        <v>19</v>
      </c>
      <c r="AF85" t="s">
        <v>4695</v>
      </c>
      <c r="AG85" t="s">
        <v>4520</v>
      </c>
      <c r="AH85" t="s">
        <v>22</v>
      </c>
      <c r="AI85" t="s">
        <v>22</v>
      </c>
      <c r="AJ85" t="s">
        <v>22</v>
      </c>
      <c r="AK85" t="s">
        <v>22</v>
      </c>
    </row>
    <row r="86" spans="1:37" ht="11.25" customHeight="1">
      <c r="A86" t="s">
        <v>22</v>
      </c>
      <c r="B86" t="s">
        <v>48</v>
      </c>
      <c r="C86" t="s">
        <v>50</v>
      </c>
      <c r="D86" t="s">
        <v>22</v>
      </c>
      <c r="E86" t="s">
        <v>1065</v>
      </c>
      <c r="F86" t="s">
        <v>1065</v>
      </c>
      <c r="G86" t="s">
        <v>99</v>
      </c>
      <c r="H86" t="s">
        <v>99</v>
      </c>
      <c r="I86" t="s">
        <v>100</v>
      </c>
      <c r="J86" t="s">
        <v>1066</v>
      </c>
      <c r="K86" t="s">
        <v>1067</v>
      </c>
      <c r="L86" t="s">
        <v>4623</v>
      </c>
      <c r="M86" t="s">
        <v>4696</v>
      </c>
      <c r="N86" t="s">
        <v>114</v>
      </c>
      <c r="O86" t="s">
        <v>4476</v>
      </c>
      <c r="P86" t="s">
        <v>4476</v>
      </c>
      <c r="Q86" t="s">
        <v>100</v>
      </c>
      <c r="R86" t="s">
        <v>1066</v>
      </c>
      <c r="S86" t="s">
        <v>1067</v>
      </c>
      <c r="T86" t="s">
        <v>4465</v>
      </c>
      <c r="U86" t="s">
        <v>4466</v>
      </c>
      <c r="V86" t="s">
        <v>4477</v>
      </c>
      <c r="W86" t="s">
        <v>4468</v>
      </c>
      <c r="X86" t="s">
        <v>4469</v>
      </c>
      <c r="Y86" t="s">
        <v>4466</v>
      </c>
      <c r="Z86" t="s">
        <v>1013</v>
      </c>
      <c r="AA86" t="s">
        <v>4478</v>
      </c>
      <c r="AB86" t="s">
        <v>4477</v>
      </c>
      <c r="AC86" t="s">
        <v>61</v>
      </c>
      <c r="AD86" t="s">
        <v>19</v>
      </c>
      <c r="AE86" t="s">
        <v>19</v>
      </c>
      <c r="AF86" t="s">
        <v>4695</v>
      </c>
      <c r="AG86" t="s">
        <v>4520</v>
      </c>
      <c r="AH86" t="s">
        <v>22</v>
      </c>
      <c r="AI86" t="s">
        <v>22</v>
      </c>
      <c r="AJ86" t="s">
        <v>22</v>
      </c>
      <c r="AK86" t="s">
        <v>22</v>
      </c>
    </row>
    <row r="87" spans="1:37" ht="11.25" customHeight="1">
      <c r="A87" t="s">
        <v>22</v>
      </c>
      <c r="B87" t="s">
        <v>48</v>
      </c>
      <c r="C87" t="s">
        <v>50</v>
      </c>
      <c r="D87" t="s">
        <v>22</v>
      </c>
      <c r="E87" t="s">
        <v>1065</v>
      </c>
      <c r="F87" t="s">
        <v>1065</v>
      </c>
      <c r="G87" t="s">
        <v>99</v>
      </c>
      <c r="H87" t="s">
        <v>99</v>
      </c>
      <c r="I87" t="s">
        <v>100</v>
      </c>
      <c r="J87" t="s">
        <v>1066</v>
      </c>
      <c r="K87" t="s">
        <v>1067</v>
      </c>
      <c r="L87" t="s">
        <v>4697</v>
      </c>
      <c r="M87" t="s">
        <v>4698</v>
      </c>
      <c r="N87" t="s">
        <v>114</v>
      </c>
      <c r="O87" t="s">
        <v>4476</v>
      </c>
      <c r="P87" t="s">
        <v>4476</v>
      </c>
      <c r="Q87" t="s">
        <v>100</v>
      </c>
      <c r="R87" t="s">
        <v>1066</v>
      </c>
      <c r="S87" t="s">
        <v>1067</v>
      </c>
      <c r="T87" t="s">
        <v>4465</v>
      </c>
      <c r="U87" t="s">
        <v>4466</v>
      </c>
      <c r="V87" t="s">
        <v>4477</v>
      </c>
      <c r="W87" t="s">
        <v>4468</v>
      </c>
      <c r="X87" t="s">
        <v>4469</v>
      </c>
      <c r="Y87" t="s">
        <v>4466</v>
      </c>
      <c r="Z87" t="s">
        <v>1013</v>
      </c>
      <c r="AA87" t="s">
        <v>4478</v>
      </c>
      <c r="AB87" t="s">
        <v>4477</v>
      </c>
      <c r="AC87" t="s">
        <v>61</v>
      </c>
      <c r="AD87" t="s">
        <v>19</v>
      </c>
      <c r="AE87" t="s">
        <v>19</v>
      </c>
      <c r="AF87" t="s">
        <v>4535</v>
      </c>
      <c r="AG87" t="s">
        <v>4536</v>
      </c>
      <c r="AH87" t="s">
        <v>22</v>
      </c>
      <c r="AI87" t="s">
        <v>22</v>
      </c>
      <c r="AJ87" t="s">
        <v>22</v>
      </c>
      <c r="AK87" t="s">
        <v>22</v>
      </c>
    </row>
    <row r="88" spans="1:37" ht="11.25" customHeight="1">
      <c r="A88" t="s">
        <v>22</v>
      </c>
      <c r="B88" t="s">
        <v>48</v>
      </c>
      <c r="C88" t="s">
        <v>50</v>
      </c>
      <c r="D88" t="s">
        <v>22</v>
      </c>
      <c r="E88" t="s">
        <v>1065</v>
      </c>
      <c r="F88" t="s">
        <v>1065</v>
      </c>
      <c r="G88" t="s">
        <v>99</v>
      </c>
      <c r="H88" t="s">
        <v>99</v>
      </c>
      <c r="I88" t="s">
        <v>100</v>
      </c>
      <c r="J88" t="s">
        <v>1066</v>
      </c>
      <c r="K88" t="s">
        <v>1067</v>
      </c>
      <c r="L88" t="s">
        <v>4699</v>
      </c>
      <c r="M88" t="s">
        <v>4700</v>
      </c>
      <c r="N88" t="s">
        <v>114</v>
      </c>
      <c r="O88" t="s">
        <v>4476</v>
      </c>
      <c r="P88" t="s">
        <v>4476</v>
      </c>
      <c r="Q88" t="s">
        <v>100</v>
      </c>
      <c r="R88" t="s">
        <v>1066</v>
      </c>
      <c r="S88" t="s">
        <v>1067</v>
      </c>
      <c r="T88" t="s">
        <v>4465</v>
      </c>
      <c r="U88" t="s">
        <v>4466</v>
      </c>
      <c r="V88" t="s">
        <v>4477</v>
      </c>
      <c r="W88" t="s">
        <v>4468</v>
      </c>
      <c r="X88" t="s">
        <v>4469</v>
      </c>
      <c r="Y88" t="s">
        <v>4466</v>
      </c>
      <c r="Z88" t="s">
        <v>1013</v>
      </c>
      <c r="AA88" t="s">
        <v>4478</v>
      </c>
      <c r="AB88" t="s">
        <v>4477</v>
      </c>
      <c r="AC88" t="s">
        <v>61</v>
      </c>
      <c r="AD88" t="s">
        <v>19</v>
      </c>
      <c r="AE88" t="s">
        <v>19</v>
      </c>
      <c r="AF88" t="s">
        <v>4526</v>
      </c>
      <c r="AG88" t="s">
        <v>4527</v>
      </c>
      <c r="AH88" t="s">
        <v>22</v>
      </c>
      <c r="AI88" t="s">
        <v>22</v>
      </c>
      <c r="AJ88" t="s">
        <v>22</v>
      </c>
      <c r="AK88" t="s">
        <v>22</v>
      </c>
    </row>
    <row r="89" spans="1:37" ht="11.25" customHeight="1">
      <c r="A89" t="s">
        <v>22</v>
      </c>
      <c r="B89" t="s">
        <v>48</v>
      </c>
      <c r="C89" t="s">
        <v>50</v>
      </c>
      <c r="D89" t="s">
        <v>22</v>
      </c>
      <c r="E89" t="s">
        <v>1065</v>
      </c>
      <c r="F89" t="s">
        <v>1065</v>
      </c>
      <c r="G89" t="s">
        <v>99</v>
      </c>
      <c r="H89" t="s">
        <v>99</v>
      </c>
      <c r="I89" t="s">
        <v>100</v>
      </c>
      <c r="J89" t="s">
        <v>1066</v>
      </c>
      <c r="K89" t="s">
        <v>1067</v>
      </c>
      <c r="L89" t="s">
        <v>4701</v>
      </c>
      <c r="M89" t="s">
        <v>4702</v>
      </c>
      <c r="N89" t="s">
        <v>114</v>
      </c>
      <c r="O89" t="s">
        <v>4476</v>
      </c>
      <c r="P89" t="s">
        <v>4476</v>
      </c>
      <c r="Q89" t="s">
        <v>100</v>
      </c>
      <c r="R89" t="s">
        <v>1066</v>
      </c>
      <c r="S89" t="s">
        <v>1067</v>
      </c>
      <c r="T89" t="s">
        <v>4465</v>
      </c>
      <c r="U89" t="s">
        <v>4466</v>
      </c>
      <c r="V89" t="s">
        <v>4477</v>
      </c>
      <c r="W89" t="s">
        <v>4468</v>
      </c>
      <c r="X89" t="s">
        <v>4469</v>
      </c>
      <c r="Y89" t="s">
        <v>4466</v>
      </c>
      <c r="Z89" t="s">
        <v>1013</v>
      </c>
      <c r="AA89" t="s">
        <v>4478</v>
      </c>
      <c r="AB89" t="s">
        <v>4477</v>
      </c>
      <c r="AC89" t="s">
        <v>61</v>
      </c>
      <c r="AD89" t="s">
        <v>19</v>
      </c>
      <c r="AE89" t="s">
        <v>19</v>
      </c>
      <c r="AF89" t="s">
        <v>4703</v>
      </c>
      <c r="AG89" t="s">
        <v>4593</v>
      </c>
      <c r="AH89" t="s">
        <v>22</v>
      </c>
      <c r="AI89" t="s">
        <v>22</v>
      </c>
      <c r="AJ89" t="s">
        <v>22</v>
      </c>
      <c r="AK89" t="s">
        <v>22</v>
      </c>
    </row>
    <row r="90" spans="1:37" ht="11.25" customHeight="1">
      <c r="A90" t="s">
        <v>22</v>
      </c>
      <c r="B90" t="s">
        <v>48</v>
      </c>
      <c r="C90" t="s">
        <v>50</v>
      </c>
      <c r="D90" t="s">
        <v>22</v>
      </c>
      <c r="E90" t="s">
        <v>1065</v>
      </c>
      <c r="F90" t="s">
        <v>1065</v>
      </c>
      <c r="G90" t="s">
        <v>99</v>
      </c>
      <c r="H90" t="s">
        <v>99</v>
      </c>
      <c r="I90" t="s">
        <v>100</v>
      </c>
      <c r="J90" t="s">
        <v>1066</v>
      </c>
      <c r="K90" t="s">
        <v>1067</v>
      </c>
      <c r="L90" t="s">
        <v>4638</v>
      </c>
      <c r="M90" t="s">
        <v>162</v>
      </c>
      <c r="N90" t="s">
        <v>114</v>
      </c>
      <c r="O90" t="s">
        <v>4476</v>
      </c>
      <c r="P90" t="s">
        <v>4476</v>
      </c>
      <c r="Q90" t="s">
        <v>100</v>
      </c>
      <c r="R90" t="s">
        <v>1066</v>
      </c>
      <c r="S90" t="s">
        <v>1067</v>
      </c>
      <c r="T90" t="s">
        <v>4584</v>
      </c>
      <c r="U90" t="s">
        <v>4650</v>
      </c>
      <c r="V90" t="s">
        <v>4704</v>
      </c>
      <c r="W90" t="s">
        <v>4468</v>
      </c>
      <c r="X90" t="s">
        <v>4547</v>
      </c>
      <c r="Y90" t="s">
        <v>4652</v>
      </c>
      <c r="Z90" t="s">
        <v>4705</v>
      </c>
      <c r="AA90" t="s">
        <v>4706</v>
      </c>
      <c r="AB90" t="s">
        <v>4704</v>
      </c>
      <c r="AC90" t="s">
        <v>61</v>
      </c>
      <c r="AD90" t="s">
        <v>19</v>
      </c>
      <c r="AE90" t="s">
        <v>19</v>
      </c>
      <c r="AF90" t="s">
        <v>4707</v>
      </c>
      <c r="AG90" t="s">
        <v>4708</v>
      </c>
      <c r="AH90" t="s">
        <v>22</v>
      </c>
      <c r="AI90" t="s">
        <v>22</v>
      </c>
      <c r="AJ90" t="s">
        <v>22</v>
      </c>
      <c r="AK90" t="s">
        <v>22</v>
      </c>
    </row>
    <row r="91" spans="1:37" ht="11.25" customHeight="1">
      <c r="A91" t="s">
        <v>22</v>
      </c>
      <c r="B91" t="s">
        <v>48</v>
      </c>
      <c r="C91" t="s">
        <v>50</v>
      </c>
      <c r="D91" t="s">
        <v>22</v>
      </c>
      <c r="E91" t="s">
        <v>1065</v>
      </c>
      <c r="F91" t="s">
        <v>1065</v>
      </c>
      <c r="G91" t="s">
        <v>99</v>
      </c>
      <c r="H91" t="s">
        <v>99</v>
      </c>
      <c r="I91" t="s">
        <v>100</v>
      </c>
      <c r="J91" t="s">
        <v>1066</v>
      </c>
      <c r="K91" t="s">
        <v>1067</v>
      </c>
      <c r="L91" t="s">
        <v>4661</v>
      </c>
      <c r="M91" t="s">
        <v>1145</v>
      </c>
      <c r="N91" t="s">
        <v>114</v>
      </c>
      <c r="O91" t="s">
        <v>4476</v>
      </c>
      <c r="P91" t="s">
        <v>4476</v>
      </c>
      <c r="Q91" t="s">
        <v>100</v>
      </c>
      <c r="R91" t="s">
        <v>1066</v>
      </c>
      <c r="S91" t="s">
        <v>1067</v>
      </c>
      <c r="T91" t="s">
        <v>4584</v>
      </c>
      <c r="U91" t="s">
        <v>4650</v>
      </c>
      <c r="V91" t="s">
        <v>583</v>
      </c>
      <c r="W91" t="s">
        <v>4468</v>
      </c>
      <c r="X91" t="s">
        <v>4709</v>
      </c>
      <c r="Y91" t="s">
        <v>4652</v>
      </c>
      <c r="Z91" t="s">
        <v>1013</v>
      </c>
      <c r="AA91" t="s">
        <v>4710</v>
      </c>
      <c r="AB91" t="s">
        <v>583</v>
      </c>
      <c r="AC91" t="s">
        <v>61</v>
      </c>
      <c r="AD91" t="s">
        <v>19</v>
      </c>
      <c r="AE91" t="s">
        <v>19</v>
      </c>
      <c r="AF91" t="s">
        <v>1184</v>
      </c>
      <c r="AG91" t="s">
        <v>1134</v>
      </c>
      <c r="AH91" t="s">
        <v>22</v>
      </c>
      <c r="AI91" t="s">
        <v>22</v>
      </c>
      <c r="AJ91" t="s">
        <v>22</v>
      </c>
      <c r="AK91" t="s">
        <v>22</v>
      </c>
    </row>
    <row r="92" spans="1:37" ht="11.25" customHeight="1">
      <c r="A92" t="s">
        <v>22</v>
      </c>
      <c r="B92" t="s">
        <v>48</v>
      </c>
      <c r="C92" t="s">
        <v>50</v>
      </c>
      <c r="D92" t="s">
        <v>22</v>
      </c>
      <c r="E92" t="s">
        <v>1065</v>
      </c>
      <c r="F92" t="s">
        <v>1065</v>
      </c>
      <c r="G92" t="s">
        <v>99</v>
      </c>
      <c r="H92" t="s">
        <v>99</v>
      </c>
      <c r="I92" t="s">
        <v>100</v>
      </c>
      <c r="J92" t="s">
        <v>1066</v>
      </c>
      <c r="K92" t="s">
        <v>1067</v>
      </c>
      <c r="L92" t="s">
        <v>4711</v>
      </c>
      <c r="M92" t="s">
        <v>4712</v>
      </c>
      <c r="N92" t="s">
        <v>114</v>
      </c>
      <c r="O92" t="s">
        <v>4476</v>
      </c>
      <c r="P92" t="s">
        <v>4476</v>
      </c>
      <c r="Q92" t="s">
        <v>100</v>
      </c>
      <c r="R92" t="s">
        <v>1066</v>
      </c>
      <c r="S92" t="s">
        <v>1067</v>
      </c>
      <c r="T92" t="s">
        <v>4465</v>
      </c>
      <c r="U92" t="s">
        <v>4466</v>
      </c>
      <c r="V92" t="s">
        <v>4477</v>
      </c>
      <c r="W92" t="s">
        <v>4468</v>
      </c>
      <c r="X92" t="s">
        <v>4469</v>
      </c>
      <c r="Y92" t="s">
        <v>4466</v>
      </c>
      <c r="Z92" t="s">
        <v>1013</v>
      </c>
      <c r="AA92" t="s">
        <v>4478</v>
      </c>
      <c r="AB92" t="s">
        <v>4477</v>
      </c>
      <c r="AC92" t="s">
        <v>61</v>
      </c>
      <c r="AD92" t="s">
        <v>19</v>
      </c>
      <c r="AE92" t="s">
        <v>19</v>
      </c>
      <c r="AF92" t="s">
        <v>4645</v>
      </c>
      <c r="AG92" t="s">
        <v>4503</v>
      </c>
      <c r="AH92" t="s">
        <v>22</v>
      </c>
      <c r="AI92" t="s">
        <v>22</v>
      </c>
      <c r="AJ92" t="s">
        <v>22</v>
      </c>
      <c r="AK92" t="s">
        <v>22</v>
      </c>
    </row>
    <row r="93" spans="1:37" ht="11.25" customHeight="1">
      <c r="A93" t="s">
        <v>22</v>
      </c>
      <c r="B93" t="s">
        <v>48</v>
      </c>
      <c r="C93" t="s">
        <v>50</v>
      </c>
      <c r="D93" t="s">
        <v>22</v>
      </c>
      <c r="E93" t="s">
        <v>1065</v>
      </c>
      <c r="F93" t="s">
        <v>1065</v>
      </c>
      <c r="G93" t="s">
        <v>99</v>
      </c>
      <c r="H93" t="s">
        <v>99</v>
      </c>
      <c r="I93" t="s">
        <v>100</v>
      </c>
      <c r="J93" t="s">
        <v>1066</v>
      </c>
      <c r="K93" t="s">
        <v>1067</v>
      </c>
      <c r="L93" t="s">
        <v>4713</v>
      </c>
      <c r="M93" t="s">
        <v>4615</v>
      </c>
      <c r="N93" t="s">
        <v>114</v>
      </c>
      <c r="O93" t="s">
        <v>4476</v>
      </c>
      <c r="P93" t="s">
        <v>4476</v>
      </c>
      <c r="Q93" t="s">
        <v>100</v>
      </c>
      <c r="R93" t="s">
        <v>1066</v>
      </c>
      <c r="S93" t="s">
        <v>1067</v>
      </c>
      <c r="T93" t="s">
        <v>4465</v>
      </c>
      <c r="U93" t="s">
        <v>4466</v>
      </c>
      <c r="V93" t="s">
        <v>4477</v>
      </c>
      <c r="W93" t="s">
        <v>4468</v>
      </c>
      <c r="X93" t="s">
        <v>4469</v>
      </c>
      <c r="Y93" t="s">
        <v>4466</v>
      </c>
      <c r="Z93" t="s">
        <v>1013</v>
      </c>
      <c r="AA93" t="s">
        <v>4478</v>
      </c>
      <c r="AB93" t="s">
        <v>4477</v>
      </c>
      <c r="AC93" t="s">
        <v>61</v>
      </c>
      <c r="AD93" t="s">
        <v>19</v>
      </c>
      <c r="AE93" t="s">
        <v>19</v>
      </c>
      <c r="AF93" t="s">
        <v>4660</v>
      </c>
      <c r="AG93" t="s">
        <v>4509</v>
      </c>
      <c r="AH93" t="s">
        <v>22</v>
      </c>
      <c r="AI93" t="s">
        <v>22</v>
      </c>
      <c r="AJ93" t="s">
        <v>22</v>
      </c>
      <c r="AK93" t="s">
        <v>22</v>
      </c>
    </row>
    <row r="94" spans="1:37" ht="11.25" customHeight="1">
      <c r="A94" t="s">
        <v>22</v>
      </c>
      <c r="B94" t="s">
        <v>48</v>
      </c>
      <c r="C94" t="s">
        <v>50</v>
      </c>
      <c r="D94" t="s">
        <v>22</v>
      </c>
      <c r="E94" t="s">
        <v>1065</v>
      </c>
      <c r="F94" t="s">
        <v>1065</v>
      </c>
      <c r="G94" t="s">
        <v>99</v>
      </c>
      <c r="H94" t="s">
        <v>99</v>
      </c>
      <c r="I94" t="s">
        <v>100</v>
      </c>
      <c r="J94" t="s">
        <v>1066</v>
      </c>
      <c r="K94" t="s">
        <v>1067</v>
      </c>
      <c r="L94" t="s">
        <v>4643</v>
      </c>
      <c r="M94" t="s">
        <v>4714</v>
      </c>
      <c r="N94" t="s">
        <v>114</v>
      </c>
      <c r="O94" t="s">
        <v>4476</v>
      </c>
      <c r="P94" t="s">
        <v>4476</v>
      </c>
      <c r="Q94" t="s">
        <v>100</v>
      </c>
      <c r="R94" t="s">
        <v>1066</v>
      </c>
      <c r="S94" t="s">
        <v>1067</v>
      </c>
      <c r="T94" t="s">
        <v>4465</v>
      </c>
      <c r="U94" t="s">
        <v>4466</v>
      </c>
      <c r="V94" t="s">
        <v>4477</v>
      </c>
      <c r="W94" t="s">
        <v>4468</v>
      </c>
      <c r="X94" t="s">
        <v>4469</v>
      </c>
      <c r="Y94" t="s">
        <v>4466</v>
      </c>
      <c r="Z94" t="s">
        <v>1013</v>
      </c>
      <c r="AA94" t="s">
        <v>4478</v>
      </c>
      <c r="AB94" t="s">
        <v>4477</v>
      </c>
      <c r="AC94" t="s">
        <v>61</v>
      </c>
      <c r="AD94" t="s">
        <v>19</v>
      </c>
      <c r="AE94" t="s">
        <v>19</v>
      </c>
      <c r="AF94" t="s">
        <v>4715</v>
      </c>
      <c r="AG94" t="s">
        <v>4716</v>
      </c>
      <c r="AH94" t="s">
        <v>22</v>
      </c>
      <c r="AI94" t="s">
        <v>22</v>
      </c>
      <c r="AJ94" t="s">
        <v>22</v>
      </c>
      <c r="AK94" t="s">
        <v>22</v>
      </c>
    </row>
    <row r="95" spans="1:37" ht="11.25" customHeight="1">
      <c r="A95" t="s">
        <v>22</v>
      </c>
      <c r="B95" t="s">
        <v>48</v>
      </c>
      <c r="C95" t="s">
        <v>50</v>
      </c>
      <c r="D95" t="s">
        <v>22</v>
      </c>
      <c r="E95" t="s">
        <v>1065</v>
      </c>
      <c r="F95" t="s">
        <v>1065</v>
      </c>
      <c r="G95" t="s">
        <v>99</v>
      </c>
      <c r="H95" t="s">
        <v>99</v>
      </c>
      <c r="I95" t="s">
        <v>100</v>
      </c>
      <c r="J95" t="s">
        <v>1066</v>
      </c>
      <c r="K95" t="s">
        <v>1067</v>
      </c>
      <c r="L95" t="s">
        <v>4717</v>
      </c>
      <c r="M95" t="s">
        <v>4615</v>
      </c>
      <c r="N95" t="s">
        <v>114</v>
      </c>
      <c r="O95" t="s">
        <v>4476</v>
      </c>
      <c r="P95" t="s">
        <v>4476</v>
      </c>
      <c r="Q95" t="s">
        <v>100</v>
      </c>
      <c r="R95" t="s">
        <v>1066</v>
      </c>
      <c r="S95" t="s">
        <v>1067</v>
      </c>
      <c r="T95" t="s">
        <v>4465</v>
      </c>
      <c r="U95" t="s">
        <v>4466</v>
      </c>
      <c r="V95" t="s">
        <v>4477</v>
      </c>
      <c r="W95" t="s">
        <v>4468</v>
      </c>
      <c r="X95" t="s">
        <v>4469</v>
      </c>
      <c r="Y95" t="s">
        <v>4466</v>
      </c>
      <c r="Z95" t="s">
        <v>1013</v>
      </c>
      <c r="AA95" t="s">
        <v>4478</v>
      </c>
      <c r="AB95" t="s">
        <v>4477</v>
      </c>
      <c r="AC95" t="s">
        <v>61</v>
      </c>
      <c r="AD95" t="s">
        <v>19</v>
      </c>
      <c r="AE95" t="s">
        <v>19</v>
      </c>
      <c r="AF95" t="s">
        <v>4506</v>
      </c>
      <c r="AG95" t="s">
        <v>4718</v>
      </c>
      <c r="AH95" t="s">
        <v>22</v>
      </c>
      <c r="AI95" t="s">
        <v>22</v>
      </c>
      <c r="AJ95" t="s">
        <v>22</v>
      </c>
      <c r="AK95" t="s">
        <v>22</v>
      </c>
    </row>
    <row r="96" spans="1:37" ht="11.25" customHeight="1">
      <c r="A96" t="s">
        <v>22</v>
      </c>
      <c r="B96" t="s">
        <v>48</v>
      </c>
      <c r="C96" t="s">
        <v>50</v>
      </c>
      <c r="D96" t="s">
        <v>22</v>
      </c>
      <c r="E96" t="s">
        <v>1065</v>
      </c>
      <c r="F96" t="s">
        <v>1065</v>
      </c>
      <c r="G96" t="s">
        <v>106</v>
      </c>
      <c r="H96" t="s">
        <v>106</v>
      </c>
      <c r="I96" t="s">
        <v>107</v>
      </c>
      <c r="J96" t="s">
        <v>4719</v>
      </c>
      <c r="K96" t="s">
        <v>4720</v>
      </c>
      <c r="L96" t="s">
        <v>4721</v>
      </c>
      <c r="M96" t="s">
        <v>782</v>
      </c>
      <c r="N96" t="s">
        <v>114</v>
      </c>
      <c r="O96" t="s">
        <v>106</v>
      </c>
      <c r="P96" t="s">
        <v>106</v>
      </c>
      <c r="Q96" t="s">
        <v>107</v>
      </c>
      <c r="R96" t="s">
        <v>4719</v>
      </c>
      <c r="S96" t="s">
        <v>4720</v>
      </c>
      <c r="T96" t="s">
        <v>4465</v>
      </c>
      <c r="U96" t="s">
        <v>4466</v>
      </c>
      <c r="V96" t="s">
        <v>4467</v>
      </c>
      <c r="W96" t="s">
        <v>4468</v>
      </c>
      <c r="X96" t="s">
        <v>4469</v>
      </c>
      <c r="Y96" t="s">
        <v>4466</v>
      </c>
      <c r="Z96" t="s">
        <v>1013</v>
      </c>
      <c r="AA96" t="s">
        <v>4470</v>
      </c>
      <c r="AB96" t="s">
        <v>4467</v>
      </c>
      <c r="AC96" t="s">
        <v>61</v>
      </c>
      <c r="AD96" t="s">
        <v>19</v>
      </c>
      <c r="AE96" t="s">
        <v>19</v>
      </c>
      <c r="AF96" t="s">
        <v>4503</v>
      </c>
      <c r="AG96" t="s">
        <v>4722</v>
      </c>
      <c r="AH96" t="s">
        <v>22</v>
      </c>
      <c r="AI96" t="s">
        <v>22</v>
      </c>
      <c r="AJ96" t="s">
        <v>22</v>
      </c>
      <c r="AK96" t="s">
        <v>22</v>
      </c>
    </row>
    <row r="97" spans="1:37" ht="11.25" customHeight="1">
      <c r="A97" t="s">
        <v>22</v>
      </c>
      <c r="B97" t="s">
        <v>48</v>
      </c>
      <c r="C97" t="s">
        <v>50</v>
      </c>
      <c r="D97" t="s">
        <v>22</v>
      </c>
      <c r="E97" t="s">
        <v>4723</v>
      </c>
      <c r="F97" t="s">
        <v>1065</v>
      </c>
      <c r="G97" t="s">
        <v>99</v>
      </c>
      <c r="H97" t="s">
        <v>99</v>
      </c>
      <c r="I97" t="s">
        <v>100</v>
      </c>
      <c r="J97" t="s">
        <v>1066</v>
      </c>
      <c r="K97" t="s">
        <v>1067</v>
      </c>
      <c r="L97" t="s">
        <v>4724</v>
      </c>
      <c r="M97" t="s">
        <v>1013</v>
      </c>
      <c r="N97" t="s">
        <v>114</v>
      </c>
      <c r="O97" t="s">
        <v>4476</v>
      </c>
      <c r="P97" t="s">
        <v>4476</v>
      </c>
      <c r="Q97" t="s">
        <v>100</v>
      </c>
      <c r="R97" t="s">
        <v>1066</v>
      </c>
      <c r="S97" t="s">
        <v>1067</v>
      </c>
      <c r="T97" t="s">
        <v>4465</v>
      </c>
      <c r="U97" t="s">
        <v>4545</v>
      </c>
      <c r="V97" t="s">
        <v>4546</v>
      </c>
      <c r="W97" t="s">
        <v>4468</v>
      </c>
      <c r="X97" t="s">
        <v>4547</v>
      </c>
      <c r="Y97" t="s">
        <v>4545</v>
      </c>
      <c r="Z97" t="s">
        <v>4725</v>
      </c>
      <c r="AA97" t="s">
        <v>4549</v>
      </c>
      <c r="AB97" t="s">
        <v>4546</v>
      </c>
      <c r="AC97" t="s">
        <v>61</v>
      </c>
      <c r="AD97" t="s">
        <v>19</v>
      </c>
      <c r="AE97" t="s">
        <v>19</v>
      </c>
      <c r="AF97" t="s">
        <v>4620</v>
      </c>
      <c r="AG97" t="s">
        <v>4500</v>
      </c>
      <c r="AH97" t="s">
        <v>22</v>
      </c>
      <c r="AI97" t="s">
        <v>22</v>
      </c>
      <c r="AJ97" t="s">
        <v>22</v>
      </c>
      <c r="AK97" t="s">
        <v>22</v>
      </c>
    </row>
    <row r="98" spans="1:37" ht="11.25" customHeight="1">
      <c r="A98" t="s">
        <v>22</v>
      </c>
      <c r="B98" t="s">
        <v>48</v>
      </c>
      <c r="C98" t="s">
        <v>50</v>
      </c>
      <c r="D98" t="s">
        <v>22</v>
      </c>
      <c r="E98" t="s">
        <v>4726</v>
      </c>
      <c r="F98" t="s">
        <v>1065</v>
      </c>
      <c r="G98" t="s">
        <v>99</v>
      </c>
      <c r="H98" t="s">
        <v>99</v>
      </c>
      <c r="I98" t="s">
        <v>100</v>
      </c>
      <c r="J98" t="s">
        <v>1066</v>
      </c>
      <c r="K98" t="s">
        <v>1067</v>
      </c>
      <c r="L98" t="s">
        <v>4727</v>
      </c>
      <c r="M98" t="s">
        <v>4728</v>
      </c>
      <c r="N98" t="s">
        <v>114</v>
      </c>
      <c r="O98" t="s">
        <v>4476</v>
      </c>
      <c r="P98" t="s">
        <v>4476</v>
      </c>
      <c r="Q98" t="s">
        <v>100</v>
      </c>
      <c r="R98" t="s">
        <v>1066</v>
      </c>
      <c r="S98" t="s">
        <v>1067</v>
      </c>
      <c r="T98" t="s">
        <v>4465</v>
      </c>
      <c r="U98" t="s">
        <v>4466</v>
      </c>
      <c r="V98" t="s">
        <v>4477</v>
      </c>
      <c r="W98" t="s">
        <v>4468</v>
      </c>
      <c r="X98" t="s">
        <v>4469</v>
      </c>
      <c r="Y98" t="s">
        <v>4466</v>
      </c>
      <c r="Z98" t="s">
        <v>1013</v>
      </c>
      <c r="AA98" t="s">
        <v>4478</v>
      </c>
      <c r="AB98" t="s">
        <v>4477</v>
      </c>
      <c r="AC98" t="s">
        <v>61</v>
      </c>
      <c r="AD98" t="s">
        <v>19</v>
      </c>
      <c r="AE98" t="s">
        <v>19</v>
      </c>
      <c r="AF98" t="s">
        <v>4729</v>
      </c>
      <c r="AG98" t="s">
        <v>4730</v>
      </c>
      <c r="AH98" t="s">
        <v>22</v>
      </c>
      <c r="AI98" t="s">
        <v>22</v>
      </c>
      <c r="AJ98" t="s">
        <v>22</v>
      </c>
      <c r="AK98" t="s">
        <v>22</v>
      </c>
    </row>
    <row r="99" spans="1:37" ht="11.25" customHeight="1">
      <c r="A99" t="s">
        <v>22</v>
      </c>
      <c r="B99" t="s">
        <v>48</v>
      </c>
      <c r="C99" t="s">
        <v>50</v>
      </c>
      <c r="D99" t="s">
        <v>22</v>
      </c>
      <c r="E99" t="s">
        <v>4731</v>
      </c>
      <c r="F99" t="s">
        <v>1065</v>
      </c>
      <c r="G99" t="s">
        <v>99</v>
      </c>
      <c r="H99" t="s">
        <v>99</v>
      </c>
      <c r="I99" t="s">
        <v>100</v>
      </c>
      <c r="J99" t="s">
        <v>1066</v>
      </c>
      <c r="K99" t="s">
        <v>1067</v>
      </c>
      <c r="L99" t="s">
        <v>4636</v>
      </c>
      <c r="M99" t="s">
        <v>4696</v>
      </c>
      <c r="N99" t="s">
        <v>114</v>
      </c>
      <c r="O99" t="s">
        <v>4476</v>
      </c>
      <c r="P99" t="s">
        <v>4476</v>
      </c>
      <c r="Q99" t="s">
        <v>100</v>
      </c>
      <c r="R99" t="s">
        <v>1066</v>
      </c>
      <c r="S99" t="s">
        <v>1067</v>
      </c>
      <c r="T99" t="s">
        <v>4465</v>
      </c>
      <c r="U99" t="s">
        <v>4466</v>
      </c>
      <c r="V99" t="s">
        <v>4477</v>
      </c>
      <c r="W99" t="s">
        <v>4468</v>
      </c>
      <c r="X99" t="s">
        <v>4469</v>
      </c>
      <c r="Y99" t="s">
        <v>4466</v>
      </c>
      <c r="Z99" t="s">
        <v>1013</v>
      </c>
      <c r="AA99" t="s">
        <v>4478</v>
      </c>
      <c r="AB99" t="s">
        <v>4477</v>
      </c>
      <c r="AC99" t="s">
        <v>61</v>
      </c>
      <c r="AD99" t="s">
        <v>19</v>
      </c>
      <c r="AE99" t="s">
        <v>19</v>
      </c>
      <c r="AF99" t="s">
        <v>4732</v>
      </c>
      <c r="AG99" t="s">
        <v>4733</v>
      </c>
      <c r="AH99" t="s">
        <v>22</v>
      </c>
      <c r="AI99" t="s">
        <v>22</v>
      </c>
      <c r="AJ99" t="s">
        <v>22</v>
      </c>
      <c r="AK99" t="s">
        <v>22</v>
      </c>
    </row>
    <row r="100" spans="1:37" ht="11.25" customHeight="1">
      <c r="A100" t="s">
        <v>22</v>
      </c>
      <c r="B100" t="s">
        <v>48</v>
      </c>
      <c r="C100" t="s">
        <v>50</v>
      </c>
      <c r="D100" t="s">
        <v>22</v>
      </c>
      <c r="E100" t="s">
        <v>4734</v>
      </c>
      <c r="F100" t="s">
        <v>1065</v>
      </c>
      <c r="G100" t="s">
        <v>99</v>
      </c>
      <c r="H100" t="s">
        <v>99</v>
      </c>
      <c r="I100" t="s">
        <v>100</v>
      </c>
      <c r="J100" t="s">
        <v>1066</v>
      </c>
      <c r="K100" t="s">
        <v>1067</v>
      </c>
      <c r="L100" t="s">
        <v>4735</v>
      </c>
      <c r="M100" t="s">
        <v>1013</v>
      </c>
      <c r="N100" t="s">
        <v>114</v>
      </c>
      <c r="O100" t="s">
        <v>4476</v>
      </c>
      <c r="P100" t="s">
        <v>4476</v>
      </c>
      <c r="Q100" t="s">
        <v>100</v>
      </c>
      <c r="R100" t="s">
        <v>1066</v>
      </c>
      <c r="S100" t="s">
        <v>1067</v>
      </c>
      <c r="T100" t="s">
        <v>4465</v>
      </c>
      <c r="U100" t="s">
        <v>4545</v>
      </c>
      <c r="V100" t="s">
        <v>4736</v>
      </c>
      <c r="W100" t="s">
        <v>4468</v>
      </c>
      <c r="X100" t="s">
        <v>4547</v>
      </c>
      <c r="Y100" t="s">
        <v>4545</v>
      </c>
      <c r="Z100" t="s">
        <v>159</v>
      </c>
      <c r="AA100" t="s">
        <v>4737</v>
      </c>
      <c r="AB100" t="s">
        <v>4736</v>
      </c>
      <c r="AC100" t="s">
        <v>61</v>
      </c>
      <c r="AD100" t="s">
        <v>19</v>
      </c>
      <c r="AE100" t="s">
        <v>19</v>
      </c>
      <c r="AF100" t="s">
        <v>4536</v>
      </c>
      <c r="AG100" t="s">
        <v>4580</v>
      </c>
      <c r="AH100" t="s">
        <v>22</v>
      </c>
      <c r="AI100" t="s">
        <v>22</v>
      </c>
      <c r="AJ100" t="s">
        <v>22</v>
      </c>
      <c r="AK100" t="s">
        <v>22</v>
      </c>
    </row>
    <row r="101" spans="1:37" ht="11.25" customHeight="1">
      <c r="A101" t="s">
        <v>22</v>
      </c>
      <c r="B101" t="s">
        <v>48</v>
      </c>
      <c r="C101" t="s">
        <v>50</v>
      </c>
      <c r="D101" t="s">
        <v>22</v>
      </c>
      <c r="E101" t="s">
        <v>4738</v>
      </c>
      <c r="F101" t="s">
        <v>1065</v>
      </c>
      <c r="G101" t="s">
        <v>99</v>
      </c>
      <c r="H101" t="s">
        <v>99</v>
      </c>
      <c r="I101" t="s">
        <v>100</v>
      </c>
      <c r="J101" t="s">
        <v>1066</v>
      </c>
      <c r="K101" t="s">
        <v>1067</v>
      </c>
      <c r="L101" t="s">
        <v>4739</v>
      </c>
      <c r="M101" t="s">
        <v>1013</v>
      </c>
      <c r="N101" t="s">
        <v>114</v>
      </c>
      <c r="O101" t="s">
        <v>4476</v>
      </c>
      <c r="P101" t="s">
        <v>4476</v>
      </c>
      <c r="Q101" t="s">
        <v>100</v>
      </c>
      <c r="R101" t="s">
        <v>1066</v>
      </c>
      <c r="S101" t="s">
        <v>1067</v>
      </c>
      <c r="T101" t="s">
        <v>4465</v>
      </c>
      <c r="U101" t="s">
        <v>4545</v>
      </c>
      <c r="V101" t="s">
        <v>4736</v>
      </c>
      <c r="W101" t="s">
        <v>4468</v>
      </c>
      <c r="X101" t="s">
        <v>4547</v>
      </c>
      <c r="Y101" t="s">
        <v>4545</v>
      </c>
      <c r="Z101" t="s">
        <v>159</v>
      </c>
      <c r="AA101" t="s">
        <v>4737</v>
      </c>
      <c r="AB101" t="s">
        <v>4736</v>
      </c>
      <c r="AC101" t="s">
        <v>61</v>
      </c>
      <c r="AD101" t="s">
        <v>19</v>
      </c>
      <c r="AE101" t="s">
        <v>19</v>
      </c>
      <c r="AF101" t="s">
        <v>4740</v>
      </c>
      <c r="AG101" t="s">
        <v>4741</v>
      </c>
      <c r="AH101" t="s">
        <v>22</v>
      </c>
      <c r="AI101" t="s">
        <v>22</v>
      </c>
      <c r="AJ101" t="s">
        <v>22</v>
      </c>
      <c r="AK101" t="s">
        <v>22</v>
      </c>
    </row>
    <row r="102" spans="1:37" ht="11.25" customHeight="1">
      <c r="A102" t="s">
        <v>22</v>
      </c>
      <c r="B102" t="s">
        <v>48</v>
      </c>
      <c r="C102" t="s">
        <v>50</v>
      </c>
      <c r="D102" t="s">
        <v>22</v>
      </c>
      <c r="E102" t="s">
        <v>4742</v>
      </c>
      <c r="F102" t="s">
        <v>1065</v>
      </c>
      <c r="G102" t="s">
        <v>106</v>
      </c>
      <c r="H102" t="s">
        <v>106</v>
      </c>
      <c r="I102" t="s">
        <v>107</v>
      </c>
      <c r="J102" t="s">
        <v>4743</v>
      </c>
      <c r="K102" t="s">
        <v>4744</v>
      </c>
      <c r="L102" t="s">
        <v>4745</v>
      </c>
      <c r="M102" t="s">
        <v>1013</v>
      </c>
      <c r="N102" t="s">
        <v>114</v>
      </c>
      <c r="O102" t="s">
        <v>106</v>
      </c>
      <c r="P102" t="s">
        <v>106</v>
      </c>
      <c r="Q102" t="s">
        <v>107</v>
      </c>
      <c r="R102" t="s">
        <v>4743</v>
      </c>
      <c r="S102" t="s">
        <v>4744</v>
      </c>
      <c r="T102" t="s">
        <v>4465</v>
      </c>
      <c r="U102" t="s">
        <v>4466</v>
      </c>
      <c r="V102" t="s">
        <v>4467</v>
      </c>
      <c r="W102" t="s">
        <v>4468</v>
      </c>
      <c r="X102" t="s">
        <v>4469</v>
      </c>
      <c r="Y102" t="s">
        <v>4466</v>
      </c>
      <c r="Z102" t="s">
        <v>1013</v>
      </c>
      <c r="AA102" t="s">
        <v>4470</v>
      </c>
      <c r="AB102" t="s">
        <v>4467</v>
      </c>
      <c r="AC102" t="s">
        <v>61</v>
      </c>
      <c r="AD102" t="s">
        <v>19</v>
      </c>
      <c r="AE102" t="s">
        <v>19</v>
      </c>
      <c r="AF102" t="s">
        <v>4503</v>
      </c>
      <c r="AG102" t="s">
        <v>1158</v>
      </c>
      <c r="AH102" t="s">
        <v>22</v>
      </c>
      <c r="AI102" t="s">
        <v>22</v>
      </c>
      <c r="AJ102" t="s">
        <v>22</v>
      </c>
      <c r="AK102" t="s">
        <v>22</v>
      </c>
    </row>
    <row r="103" spans="1:37" ht="11.25" customHeight="1">
      <c r="A103" t="s">
        <v>22</v>
      </c>
      <c r="B103" t="s">
        <v>48</v>
      </c>
      <c r="C103" t="s">
        <v>50</v>
      </c>
      <c r="D103" t="s">
        <v>22</v>
      </c>
      <c r="E103" t="s">
        <v>4746</v>
      </c>
      <c r="F103" t="s">
        <v>1065</v>
      </c>
      <c r="G103" t="s">
        <v>99</v>
      </c>
      <c r="H103" t="s">
        <v>99</v>
      </c>
      <c r="I103" t="s">
        <v>100</v>
      </c>
      <c r="J103" t="s">
        <v>1066</v>
      </c>
      <c r="K103" t="s">
        <v>1067</v>
      </c>
      <c r="L103" t="s">
        <v>4530</v>
      </c>
      <c r="M103" t="s">
        <v>4747</v>
      </c>
      <c r="N103" t="s">
        <v>114</v>
      </c>
      <c r="O103" t="s">
        <v>4476</v>
      </c>
      <c r="P103" t="s">
        <v>4476</v>
      </c>
      <c r="Q103" t="s">
        <v>100</v>
      </c>
      <c r="R103" t="s">
        <v>1066</v>
      </c>
      <c r="S103" t="s">
        <v>1067</v>
      </c>
      <c r="T103" t="s">
        <v>4465</v>
      </c>
      <c r="U103" t="s">
        <v>4466</v>
      </c>
      <c r="V103" t="s">
        <v>4477</v>
      </c>
      <c r="W103" t="s">
        <v>4468</v>
      </c>
      <c r="X103" t="s">
        <v>4469</v>
      </c>
      <c r="Y103" t="s">
        <v>4466</v>
      </c>
      <c r="Z103" t="s">
        <v>1013</v>
      </c>
      <c r="AA103" t="s">
        <v>4478</v>
      </c>
      <c r="AB103" t="s">
        <v>4477</v>
      </c>
      <c r="AC103" t="s">
        <v>61</v>
      </c>
      <c r="AD103" t="s">
        <v>19</v>
      </c>
      <c r="AE103" t="s">
        <v>19</v>
      </c>
      <c r="AF103" t="s">
        <v>4748</v>
      </c>
      <c r="AG103" t="s">
        <v>4635</v>
      </c>
      <c r="AH103" t="s">
        <v>22</v>
      </c>
      <c r="AI103" t="s">
        <v>22</v>
      </c>
      <c r="AJ103" t="s">
        <v>22</v>
      </c>
      <c r="AK103" t="s">
        <v>22</v>
      </c>
    </row>
    <row r="104" spans="1:37" ht="11.25" customHeight="1">
      <c r="A104" t="s">
        <v>22</v>
      </c>
      <c r="B104" t="s">
        <v>48</v>
      </c>
      <c r="C104" t="s">
        <v>50</v>
      </c>
      <c r="D104" t="s">
        <v>22</v>
      </c>
      <c r="E104" t="s">
        <v>4749</v>
      </c>
      <c r="F104" t="s">
        <v>1065</v>
      </c>
      <c r="G104" t="s">
        <v>99</v>
      </c>
      <c r="H104" t="s">
        <v>99</v>
      </c>
      <c r="I104" t="s">
        <v>100</v>
      </c>
      <c r="J104" t="s">
        <v>1066</v>
      </c>
      <c r="K104" t="s">
        <v>1067</v>
      </c>
      <c r="L104" t="s">
        <v>4750</v>
      </c>
      <c r="M104" t="s">
        <v>4751</v>
      </c>
      <c r="N104" t="s">
        <v>114</v>
      </c>
      <c r="O104" t="s">
        <v>4476</v>
      </c>
      <c r="P104" t="s">
        <v>4476</v>
      </c>
      <c r="Q104" t="s">
        <v>100</v>
      </c>
      <c r="R104" t="s">
        <v>1066</v>
      </c>
      <c r="S104" t="s">
        <v>1067</v>
      </c>
      <c r="T104" t="s">
        <v>4465</v>
      </c>
      <c r="U104" t="s">
        <v>4466</v>
      </c>
      <c r="V104" t="s">
        <v>4477</v>
      </c>
      <c r="W104" t="s">
        <v>4468</v>
      </c>
      <c r="X104" t="s">
        <v>4469</v>
      </c>
      <c r="Y104" t="s">
        <v>4466</v>
      </c>
      <c r="Z104" t="s">
        <v>1013</v>
      </c>
      <c r="AA104" t="s">
        <v>4478</v>
      </c>
      <c r="AB104" t="s">
        <v>4477</v>
      </c>
      <c r="AC104" t="s">
        <v>61</v>
      </c>
      <c r="AD104" t="s">
        <v>19</v>
      </c>
      <c r="AE104" t="s">
        <v>19</v>
      </c>
      <c r="AF104" t="s">
        <v>4748</v>
      </c>
      <c r="AG104" t="s">
        <v>4635</v>
      </c>
      <c r="AH104" t="s">
        <v>22</v>
      </c>
      <c r="AI104" t="s">
        <v>22</v>
      </c>
      <c r="AJ104" t="s">
        <v>22</v>
      </c>
      <c r="AK104" t="s">
        <v>22</v>
      </c>
    </row>
    <row r="105" spans="1:37" ht="11.25" customHeight="1">
      <c r="A105" t="s">
        <v>22</v>
      </c>
      <c r="B105" t="s">
        <v>48</v>
      </c>
      <c r="C105" t="s">
        <v>50</v>
      </c>
      <c r="D105" t="s">
        <v>22</v>
      </c>
      <c r="E105" t="s">
        <v>4752</v>
      </c>
      <c r="F105" t="s">
        <v>1065</v>
      </c>
      <c r="G105" t="s">
        <v>99</v>
      </c>
      <c r="H105" t="s">
        <v>99</v>
      </c>
      <c r="I105" t="s">
        <v>100</v>
      </c>
      <c r="J105" t="s">
        <v>1066</v>
      </c>
      <c r="K105" t="s">
        <v>1067</v>
      </c>
      <c r="L105" t="s">
        <v>4753</v>
      </c>
      <c r="M105" t="s">
        <v>4754</v>
      </c>
      <c r="N105" t="s">
        <v>114</v>
      </c>
      <c r="O105" t="s">
        <v>4476</v>
      </c>
      <c r="P105" t="s">
        <v>4476</v>
      </c>
      <c r="Q105" t="s">
        <v>100</v>
      </c>
      <c r="R105" t="s">
        <v>1066</v>
      </c>
      <c r="S105" t="s">
        <v>1067</v>
      </c>
      <c r="T105" t="s">
        <v>4465</v>
      </c>
      <c r="U105" t="s">
        <v>4466</v>
      </c>
      <c r="V105" t="s">
        <v>4477</v>
      </c>
      <c r="W105" t="s">
        <v>4468</v>
      </c>
      <c r="X105" t="s">
        <v>4469</v>
      </c>
      <c r="Y105" t="s">
        <v>4466</v>
      </c>
      <c r="Z105" t="s">
        <v>1013</v>
      </c>
      <c r="AA105" t="s">
        <v>4478</v>
      </c>
      <c r="AB105" t="s">
        <v>4477</v>
      </c>
      <c r="AC105" t="s">
        <v>61</v>
      </c>
      <c r="AD105" t="s">
        <v>19</v>
      </c>
      <c r="AE105" t="s">
        <v>19</v>
      </c>
      <c r="AF105" t="s">
        <v>4690</v>
      </c>
      <c r="AG105" t="s">
        <v>4500</v>
      </c>
      <c r="AH105" t="s">
        <v>22</v>
      </c>
      <c r="AI105" t="s">
        <v>22</v>
      </c>
      <c r="AJ105" t="s">
        <v>22</v>
      </c>
      <c r="AK105" t="s">
        <v>22</v>
      </c>
    </row>
    <row r="106" spans="1:37" ht="11.25" customHeight="1">
      <c r="A106" t="s">
        <v>22</v>
      </c>
      <c r="B106" t="s">
        <v>48</v>
      </c>
      <c r="C106" t="s">
        <v>50</v>
      </c>
      <c r="D106" t="s">
        <v>22</v>
      </c>
      <c r="E106" t="s">
        <v>4755</v>
      </c>
      <c r="F106" t="s">
        <v>1065</v>
      </c>
      <c r="G106" t="s">
        <v>99</v>
      </c>
      <c r="H106" t="s">
        <v>99</v>
      </c>
      <c r="I106" t="s">
        <v>100</v>
      </c>
      <c r="J106" t="s">
        <v>1066</v>
      </c>
      <c r="K106" t="s">
        <v>1067</v>
      </c>
      <c r="L106" t="s">
        <v>4558</v>
      </c>
      <c r="M106" t="s">
        <v>4694</v>
      </c>
      <c r="N106" t="s">
        <v>114</v>
      </c>
      <c r="O106" t="s">
        <v>4476</v>
      </c>
      <c r="P106" t="s">
        <v>4476</v>
      </c>
      <c r="Q106" t="s">
        <v>100</v>
      </c>
      <c r="R106" t="s">
        <v>1066</v>
      </c>
      <c r="S106" t="s">
        <v>1067</v>
      </c>
      <c r="T106" t="s">
        <v>4465</v>
      </c>
      <c r="U106" t="s">
        <v>4466</v>
      </c>
      <c r="V106" t="s">
        <v>4477</v>
      </c>
      <c r="W106" t="s">
        <v>4468</v>
      </c>
      <c r="X106" t="s">
        <v>4469</v>
      </c>
      <c r="Y106" t="s">
        <v>4466</v>
      </c>
      <c r="Z106" t="s">
        <v>1013</v>
      </c>
      <c r="AA106" t="s">
        <v>4478</v>
      </c>
      <c r="AB106" t="s">
        <v>4477</v>
      </c>
      <c r="AC106" t="s">
        <v>61</v>
      </c>
      <c r="AD106" t="s">
        <v>19</v>
      </c>
      <c r="AE106" t="s">
        <v>19</v>
      </c>
      <c r="AF106" t="s">
        <v>4756</v>
      </c>
      <c r="AG106" t="s">
        <v>4757</v>
      </c>
      <c r="AH106" t="s">
        <v>22</v>
      </c>
      <c r="AI106" t="s">
        <v>22</v>
      </c>
      <c r="AJ106" t="s">
        <v>22</v>
      </c>
      <c r="AK106" t="s">
        <v>22</v>
      </c>
    </row>
    <row r="107" spans="1:37" ht="11.25" customHeight="1">
      <c r="A107" t="s">
        <v>22</v>
      </c>
      <c r="B107" t="s">
        <v>48</v>
      </c>
      <c r="C107" t="s">
        <v>50</v>
      </c>
      <c r="D107" t="s">
        <v>22</v>
      </c>
      <c r="E107" t="s">
        <v>4758</v>
      </c>
      <c r="F107" t="s">
        <v>1065</v>
      </c>
      <c r="G107" t="s">
        <v>99</v>
      </c>
      <c r="H107" t="s">
        <v>99</v>
      </c>
      <c r="I107" t="s">
        <v>100</v>
      </c>
      <c r="J107" t="s">
        <v>1066</v>
      </c>
      <c r="K107" t="s">
        <v>1067</v>
      </c>
      <c r="L107" t="s">
        <v>4759</v>
      </c>
      <c r="M107" t="s">
        <v>4760</v>
      </c>
      <c r="N107" t="s">
        <v>114</v>
      </c>
      <c r="O107" t="s">
        <v>4476</v>
      </c>
      <c r="P107" t="s">
        <v>4476</v>
      </c>
      <c r="Q107" t="s">
        <v>100</v>
      </c>
      <c r="R107" t="s">
        <v>1066</v>
      </c>
      <c r="S107" t="s">
        <v>1067</v>
      </c>
      <c r="T107" t="s">
        <v>4465</v>
      </c>
      <c r="U107" t="s">
        <v>4466</v>
      </c>
      <c r="V107" t="s">
        <v>4477</v>
      </c>
      <c r="W107" t="s">
        <v>4468</v>
      </c>
      <c r="X107" t="s">
        <v>4469</v>
      </c>
      <c r="Y107" t="s">
        <v>4466</v>
      </c>
      <c r="Z107" t="s">
        <v>1013</v>
      </c>
      <c r="AA107" t="s">
        <v>4478</v>
      </c>
      <c r="AB107" t="s">
        <v>4477</v>
      </c>
      <c r="AC107" t="s">
        <v>61</v>
      </c>
      <c r="AD107" t="s">
        <v>19</v>
      </c>
      <c r="AE107" t="s">
        <v>19</v>
      </c>
      <c r="AF107" t="s">
        <v>4761</v>
      </c>
      <c r="AG107" t="s">
        <v>4509</v>
      </c>
      <c r="AH107" t="s">
        <v>22</v>
      </c>
      <c r="AI107" t="s">
        <v>22</v>
      </c>
      <c r="AJ107" t="s">
        <v>22</v>
      </c>
      <c r="AK107" t="s">
        <v>22</v>
      </c>
    </row>
    <row r="108" spans="1:37" ht="11.25" customHeight="1">
      <c r="A108" t="s">
        <v>22</v>
      </c>
      <c r="B108" t="s">
        <v>48</v>
      </c>
      <c r="C108" t="s">
        <v>50</v>
      </c>
      <c r="D108" t="s">
        <v>22</v>
      </c>
      <c r="E108" t="s">
        <v>4762</v>
      </c>
      <c r="F108" t="s">
        <v>1065</v>
      </c>
      <c r="G108" t="s">
        <v>99</v>
      </c>
      <c r="H108" t="s">
        <v>99</v>
      </c>
      <c r="I108" t="s">
        <v>100</v>
      </c>
      <c r="J108" t="s">
        <v>1066</v>
      </c>
      <c r="K108" t="s">
        <v>1067</v>
      </c>
      <c r="L108" t="s">
        <v>4763</v>
      </c>
      <c r="M108" t="s">
        <v>4504</v>
      </c>
      <c r="N108" t="s">
        <v>114</v>
      </c>
      <c r="O108" t="s">
        <v>4476</v>
      </c>
      <c r="P108" t="s">
        <v>4476</v>
      </c>
      <c r="Q108" t="s">
        <v>100</v>
      </c>
      <c r="R108" t="s">
        <v>1066</v>
      </c>
      <c r="S108" t="s">
        <v>1067</v>
      </c>
      <c r="T108" t="s">
        <v>4465</v>
      </c>
      <c r="U108" t="s">
        <v>4466</v>
      </c>
      <c r="V108" t="s">
        <v>4477</v>
      </c>
      <c r="W108" t="s">
        <v>4468</v>
      </c>
      <c r="X108" t="s">
        <v>4469</v>
      </c>
      <c r="Y108" t="s">
        <v>4466</v>
      </c>
      <c r="Z108" t="s">
        <v>1013</v>
      </c>
      <c r="AA108" t="s">
        <v>4478</v>
      </c>
      <c r="AB108" t="s">
        <v>4477</v>
      </c>
      <c r="AC108" t="s">
        <v>61</v>
      </c>
      <c r="AD108" t="s">
        <v>19</v>
      </c>
      <c r="AE108" t="s">
        <v>19</v>
      </c>
      <c r="AF108" t="s">
        <v>1158</v>
      </c>
      <c r="AG108" t="s">
        <v>1158</v>
      </c>
      <c r="AH108" t="s">
        <v>22</v>
      </c>
      <c r="AI108" t="s">
        <v>22</v>
      </c>
      <c r="AJ108" t="s">
        <v>22</v>
      </c>
      <c r="AK108" t="s">
        <v>22</v>
      </c>
    </row>
    <row r="109" spans="1:37" ht="11.25" customHeight="1">
      <c r="A109" t="s">
        <v>22</v>
      </c>
      <c r="B109" t="s">
        <v>48</v>
      </c>
      <c r="C109" t="s">
        <v>50</v>
      </c>
      <c r="D109" t="s">
        <v>22</v>
      </c>
      <c r="E109" t="s">
        <v>4764</v>
      </c>
      <c r="F109" t="s">
        <v>1065</v>
      </c>
      <c r="G109" t="s">
        <v>99</v>
      </c>
      <c r="H109" t="s">
        <v>99</v>
      </c>
      <c r="I109" t="s">
        <v>100</v>
      </c>
      <c r="J109" t="s">
        <v>1066</v>
      </c>
      <c r="K109" t="s">
        <v>1067</v>
      </c>
      <c r="L109" t="s">
        <v>4765</v>
      </c>
      <c r="M109" t="s">
        <v>4639</v>
      </c>
      <c r="N109" t="s">
        <v>114</v>
      </c>
      <c r="O109" t="s">
        <v>4476</v>
      </c>
      <c r="P109" t="s">
        <v>4476</v>
      </c>
      <c r="Q109" t="s">
        <v>100</v>
      </c>
      <c r="R109" t="s">
        <v>1066</v>
      </c>
      <c r="S109" t="s">
        <v>1067</v>
      </c>
      <c r="T109" t="s">
        <v>4465</v>
      </c>
      <c r="U109" t="s">
        <v>4466</v>
      </c>
      <c r="V109" t="s">
        <v>4477</v>
      </c>
      <c r="W109" t="s">
        <v>4468</v>
      </c>
      <c r="X109" t="s">
        <v>4469</v>
      </c>
      <c r="Y109" t="s">
        <v>4466</v>
      </c>
      <c r="Z109" t="s">
        <v>1013</v>
      </c>
      <c r="AA109" t="s">
        <v>4478</v>
      </c>
      <c r="AB109" t="s">
        <v>4477</v>
      </c>
      <c r="AC109" t="s">
        <v>61</v>
      </c>
      <c r="AD109" t="s">
        <v>19</v>
      </c>
      <c r="AE109" t="s">
        <v>19</v>
      </c>
      <c r="AF109" t="s">
        <v>4766</v>
      </c>
      <c r="AG109" t="s">
        <v>4496</v>
      </c>
      <c r="AH109" t="s">
        <v>22</v>
      </c>
      <c r="AI109" t="s">
        <v>22</v>
      </c>
      <c r="AJ109" t="s">
        <v>22</v>
      </c>
      <c r="AK109" t="s">
        <v>22</v>
      </c>
    </row>
    <row r="110" spans="1:37" ht="11.25" customHeight="1">
      <c r="A110" t="s">
        <v>22</v>
      </c>
      <c r="B110" t="s">
        <v>48</v>
      </c>
      <c r="C110" t="s">
        <v>50</v>
      </c>
      <c r="D110" t="s">
        <v>22</v>
      </c>
      <c r="E110" t="s">
        <v>4767</v>
      </c>
      <c r="F110" t="s">
        <v>1065</v>
      </c>
      <c r="G110" t="s">
        <v>99</v>
      </c>
      <c r="H110" t="s">
        <v>99</v>
      </c>
      <c r="I110" t="s">
        <v>100</v>
      </c>
      <c r="J110" t="s">
        <v>1066</v>
      </c>
      <c r="K110" t="s">
        <v>1067</v>
      </c>
      <c r="L110" t="s">
        <v>4768</v>
      </c>
      <c r="M110" t="s">
        <v>1013</v>
      </c>
      <c r="N110" t="s">
        <v>114</v>
      </c>
      <c r="O110" t="s">
        <v>4476</v>
      </c>
      <c r="P110" t="s">
        <v>4476</v>
      </c>
      <c r="Q110" t="s">
        <v>100</v>
      </c>
      <c r="R110" t="s">
        <v>1066</v>
      </c>
      <c r="S110" t="s">
        <v>1067</v>
      </c>
      <c r="T110" t="s">
        <v>4584</v>
      </c>
      <c r="U110" t="s">
        <v>4650</v>
      </c>
      <c r="V110" t="s">
        <v>4769</v>
      </c>
      <c r="W110" t="s">
        <v>4468</v>
      </c>
      <c r="X110" t="s">
        <v>4547</v>
      </c>
      <c r="Y110" t="s">
        <v>4652</v>
      </c>
      <c r="Z110" t="s">
        <v>4770</v>
      </c>
      <c r="AA110" t="s">
        <v>4771</v>
      </c>
      <c r="AB110" t="s">
        <v>4769</v>
      </c>
      <c r="AC110" t="s">
        <v>61</v>
      </c>
      <c r="AD110" t="s">
        <v>19</v>
      </c>
      <c r="AE110" t="s">
        <v>19</v>
      </c>
      <c r="AF110" t="s">
        <v>4509</v>
      </c>
      <c r="AG110" t="s">
        <v>4503</v>
      </c>
      <c r="AH110" t="s">
        <v>22</v>
      </c>
      <c r="AI110" t="s">
        <v>22</v>
      </c>
      <c r="AJ110" t="s">
        <v>22</v>
      </c>
      <c r="AK110" t="s">
        <v>22</v>
      </c>
    </row>
    <row r="111" spans="1:37" ht="11.25" customHeight="1">
      <c r="A111" t="s">
        <v>22</v>
      </c>
      <c r="B111" t="s">
        <v>48</v>
      </c>
      <c r="C111" t="s">
        <v>50</v>
      </c>
      <c r="D111" t="s">
        <v>22</v>
      </c>
      <c r="E111" t="s">
        <v>4772</v>
      </c>
      <c r="F111" t="s">
        <v>1065</v>
      </c>
      <c r="G111" t="s">
        <v>99</v>
      </c>
      <c r="H111" t="s">
        <v>99</v>
      </c>
      <c r="I111" t="s">
        <v>100</v>
      </c>
      <c r="J111" t="s">
        <v>1066</v>
      </c>
      <c r="K111" t="s">
        <v>1067</v>
      </c>
      <c r="L111" t="s">
        <v>4773</v>
      </c>
      <c r="M111" t="s">
        <v>4774</v>
      </c>
      <c r="N111" t="s">
        <v>114</v>
      </c>
      <c r="O111" t="s">
        <v>4476</v>
      </c>
      <c r="P111" t="s">
        <v>4476</v>
      </c>
      <c r="Q111" t="s">
        <v>100</v>
      </c>
      <c r="R111" t="s">
        <v>1066</v>
      </c>
      <c r="S111" t="s">
        <v>1067</v>
      </c>
      <c r="T111" t="s">
        <v>4465</v>
      </c>
      <c r="U111" t="s">
        <v>4466</v>
      </c>
      <c r="V111" t="s">
        <v>4477</v>
      </c>
      <c r="W111" t="s">
        <v>4468</v>
      </c>
      <c r="X111" t="s">
        <v>4469</v>
      </c>
      <c r="Y111" t="s">
        <v>4466</v>
      </c>
      <c r="Z111" t="s">
        <v>1013</v>
      </c>
      <c r="AA111" t="s">
        <v>4478</v>
      </c>
      <c r="AB111" t="s">
        <v>4477</v>
      </c>
      <c r="AC111" t="s">
        <v>61</v>
      </c>
      <c r="AD111" t="s">
        <v>19</v>
      </c>
      <c r="AE111" t="s">
        <v>19</v>
      </c>
      <c r="AF111" t="s">
        <v>4775</v>
      </c>
      <c r="AG111" t="s">
        <v>4520</v>
      </c>
      <c r="AH111" t="s">
        <v>22</v>
      </c>
      <c r="AI111" t="s">
        <v>22</v>
      </c>
      <c r="AJ111" t="s">
        <v>22</v>
      </c>
      <c r="AK111" t="s">
        <v>22</v>
      </c>
    </row>
    <row r="112" spans="1:37" ht="11.25" customHeight="1">
      <c r="A112" t="s">
        <v>22</v>
      </c>
      <c r="B112" t="s">
        <v>48</v>
      </c>
      <c r="C112" t="s">
        <v>50</v>
      </c>
      <c r="D112" t="s">
        <v>22</v>
      </c>
      <c r="E112" t="s">
        <v>4772</v>
      </c>
      <c r="F112" t="s">
        <v>1065</v>
      </c>
      <c r="G112" t="s">
        <v>99</v>
      </c>
      <c r="H112" t="s">
        <v>99</v>
      </c>
      <c r="I112" t="s">
        <v>100</v>
      </c>
      <c r="J112" t="s">
        <v>1066</v>
      </c>
      <c r="K112" t="s">
        <v>1067</v>
      </c>
      <c r="L112" t="s">
        <v>4776</v>
      </c>
      <c r="M112" t="s">
        <v>4777</v>
      </c>
      <c r="N112" t="s">
        <v>114</v>
      </c>
      <c r="O112" t="s">
        <v>4476</v>
      </c>
      <c r="P112" t="s">
        <v>4476</v>
      </c>
      <c r="Q112" t="s">
        <v>100</v>
      </c>
      <c r="R112" t="s">
        <v>1066</v>
      </c>
      <c r="S112" t="s">
        <v>1067</v>
      </c>
      <c r="T112" t="s">
        <v>4465</v>
      </c>
      <c r="U112" t="s">
        <v>4545</v>
      </c>
      <c r="V112" t="s">
        <v>4546</v>
      </c>
      <c r="W112" t="s">
        <v>4468</v>
      </c>
      <c r="X112" t="s">
        <v>4547</v>
      </c>
      <c r="Y112" t="s">
        <v>4545</v>
      </c>
      <c r="Z112" t="s">
        <v>4557</v>
      </c>
      <c r="AA112" t="s">
        <v>4549</v>
      </c>
      <c r="AB112" t="s">
        <v>4546</v>
      </c>
      <c r="AC112" t="s">
        <v>61</v>
      </c>
      <c r="AD112" t="s">
        <v>19</v>
      </c>
      <c r="AE112" t="s">
        <v>19</v>
      </c>
      <c r="AF112" t="s">
        <v>4778</v>
      </c>
      <c r="AG112" t="s">
        <v>4779</v>
      </c>
      <c r="AH112" t="s">
        <v>22</v>
      </c>
      <c r="AI112" t="s">
        <v>22</v>
      </c>
      <c r="AJ112" t="s">
        <v>22</v>
      </c>
      <c r="AK112" t="s">
        <v>22</v>
      </c>
    </row>
    <row r="113" spans="1:37" ht="11.25" customHeight="1">
      <c r="A113" t="s">
        <v>22</v>
      </c>
      <c r="B113" t="s">
        <v>48</v>
      </c>
      <c r="C113" t="s">
        <v>50</v>
      </c>
      <c r="D113" t="s">
        <v>22</v>
      </c>
      <c r="E113" t="s">
        <v>4780</v>
      </c>
      <c r="F113" t="s">
        <v>1065</v>
      </c>
      <c r="G113" t="s">
        <v>99</v>
      </c>
      <c r="H113" t="s">
        <v>99</v>
      </c>
      <c r="I113" t="s">
        <v>100</v>
      </c>
      <c r="J113" t="s">
        <v>1066</v>
      </c>
      <c r="K113" t="s">
        <v>1067</v>
      </c>
      <c r="L113" t="s">
        <v>4781</v>
      </c>
      <c r="M113" t="s">
        <v>4782</v>
      </c>
      <c r="N113" t="s">
        <v>114</v>
      </c>
      <c r="O113" t="s">
        <v>4476</v>
      </c>
      <c r="P113" t="s">
        <v>4476</v>
      </c>
      <c r="Q113" t="s">
        <v>100</v>
      </c>
      <c r="R113" t="s">
        <v>1066</v>
      </c>
      <c r="S113" t="s">
        <v>1067</v>
      </c>
      <c r="T113" t="s">
        <v>4465</v>
      </c>
      <c r="U113" t="s">
        <v>4466</v>
      </c>
      <c r="V113" t="s">
        <v>4477</v>
      </c>
      <c r="W113" t="s">
        <v>4468</v>
      </c>
      <c r="X113" t="s">
        <v>4469</v>
      </c>
      <c r="Y113" t="s">
        <v>4466</v>
      </c>
      <c r="Z113" t="s">
        <v>1013</v>
      </c>
      <c r="AA113" t="s">
        <v>4478</v>
      </c>
      <c r="AB113" t="s">
        <v>4477</v>
      </c>
      <c r="AC113" t="s">
        <v>61</v>
      </c>
      <c r="AD113" t="s">
        <v>19</v>
      </c>
      <c r="AE113" t="s">
        <v>19</v>
      </c>
      <c r="AF113" t="s">
        <v>4620</v>
      </c>
      <c r="AG113" t="s">
        <v>4500</v>
      </c>
      <c r="AH113" t="s">
        <v>22</v>
      </c>
      <c r="AI113" t="s">
        <v>22</v>
      </c>
      <c r="AJ113" t="s">
        <v>22</v>
      </c>
      <c r="AK113" t="s">
        <v>22</v>
      </c>
    </row>
    <row r="114" spans="1:37" ht="11.25" customHeight="1">
      <c r="A114" t="s">
        <v>22</v>
      </c>
      <c r="B114" t="s">
        <v>48</v>
      </c>
      <c r="C114" t="s">
        <v>50</v>
      </c>
      <c r="D114" t="s">
        <v>22</v>
      </c>
      <c r="E114" t="s">
        <v>4783</v>
      </c>
      <c r="F114" t="s">
        <v>1065</v>
      </c>
      <c r="G114" t="s">
        <v>99</v>
      </c>
      <c r="H114" t="s">
        <v>99</v>
      </c>
      <c r="I114" t="s">
        <v>100</v>
      </c>
      <c r="J114" t="s">
        <v>1066</v>
      </c>
      <c r="K114" t="s">
        <v>1067</v>
      </c>
      <c r="L114" t="s">
        <v>4784</v>
      </c>
      <c r="M114" t="s">
        <v>1069</v>
      </c>
      <c r="N114" t="s">
        <v>114</v>
      </c>
      <c r="O114" t="s">
        <v>4476</v>
      </c>
      <c r="P114" t="s">
        <v>4476</v>
      </c>
      <c r="Q114" t="s">
        <v>100</v>
      </c>
      <c r="R114" t="s">
        <v>1066</v>
      </c>
      <c r="S114" t="s">
        <v>1067</v>
      </c>
      <c r="T114" t="s">
        <v>4465</v>
      </c>
      <c r="U114" t="s">
        <v>4466</v>
      </c>
      <c r="V114" t="s">
        <v>4477</v>
      </c>
      <c r="W114" t="s">
        <v>4468</v>
      </c>
      <c r="X114" t="s">
        <v>4469</v>
      </c>
      <c r="Y114" t="s">
        <v>4466</v>
      </c>
      <c r="Z114" t="s">
        <v>1013</v>
      </c>
      <c r="AA114" t="s">
        <v>4478</v>
      </c>
      <c r="AB114" t="s">
        <v>4477</v>
      </c>
      <c r="AC114" t="s">
        <v>61</v>
      </c>
      <c r="AD114" t="s">
        <v>19</v>
      </c>
      <c r="AE114" t="s">
        <v>19</v>
      </c>
      <c r="AF114" t="s">
        <v>1186</v>
      </c>
      <c r="AG114" t="s">
        <v>1186</v>
      </c>
      <c r="AH114" t="s">
        <v>22</v>
      </c>
      <c r="AI114" t="s">
        <v>22</v>
      </c>
      <c r="AJ114" t="s">
        <v>22</v>
      </c>
      <c r="AK114" t="s">
        <v>22</v>
      </c>
    </row>
    <row r="115" spans="1:37" ht="11.25" customHeight="1">
      <c r="A115" t="s">
        <v>22</v>
      </c>
      <c r="B115" t="s">
        <v>48</v>
      </c>
      <c r="C115" t="s">
        <v>50</v>
      </c>
      <c r="D115" t="s">
        <v>22</v>
      </c>
      <c r="E115" t="s">
        <v>4783</v>
      </c>
      <c r="F115" t="s">
        <v>1065</v>
      </c>
      <c r="G115" t="s">
        <v>99</v>
      </c>
      <c r="H115" t="s">
        <v>99</v>
      </c>
      <c r="I115" t="s">
        <v>100</v>
      </c>
      <c r="J115" t="s">
        <v>1066</v>
      </c>
      <c r="K115" t="s">
        <v>1067</v>
      </c>
      <c r="L115" t="s">
        <v>4785</v>
      </c>
      <c r="M115" t="s">
        <v>4786</v>
      </c>
      <c r="N115" t="s">
        <v>114</v>
      </c>
      <c r="O115" t="s">
        <v>4476</v>
      </c>
      <c r="P115" t="s">
        <v>4476</v>
      </c>
      <c r="Q115" t="s">
        <v>100</v>
      </c>
      <c r="R115" t="s">
        <v>1066</v>
      </c>
      <c r="S115" t="s">
        <v>1067</v>
      </c>
      <c r="T115" t="s">
        <v>4465</v>
      </c>
      <c r="U115" t="s">
        <v>4466</v>
      </c>
      <c r="V115" t="s">
        <v>4477</v>
      </c>
      <c r="W115" t="s">
        <v>4468</v>
      </c>
      <c r="X115" t="s">
        <v>4469</v>
      </c>
      <c r="Y115" t="s">
        <v>4466</v>
      </c>
      <c r="Z115" t="s">
        <v>1013</v>
      </c>
      <c r="AA115" t="s">
        <v>4478</v>
      </c>
      <c r="AB115" t="s">
        <v>4477</v>
      </c>
      <c r="AC115" t="s">
        <v>61</v>
      </c>
      <c r="AD115" t="s">
        <v>19</v>
      </c>
      <c r="AE115" t="s">
        <v>19</v>
      </c>
      <c r="AF115" t="s">
        <v>4787</v>
      </c>
      <c r="AG115" t="s">
        <v>4788</v>
      </c>
      <c r="AH115" t="s">
        <v>22</v>
      </c>
      <c r="AI115" t="s">
        <v>22</v>
      </c>
      <c r="AJ115" t="s">
        <v>22</v>
      </c>
      <c r="AK115" t="s">
        <v>22</v>
      </c>
    </row>
    <row r="116" spans="1:37" ht="11.25" customHeight="1">
      <c r="A116" t="s">
        <v>22</v>
      </c>
      <c r="B116" t="s">
        <v>48</v>
      </c>
      <c r="C116" t="s">
        <v>50</v>
      </c>
      <c r="D116" t="s">
        <v>22</v>
      </c>
      <c r="E116" t="s">
        <v>4789</v>
      </c>
      <c r="F116" t="s">
        <v>1065</v>
      </c>
      <c r="G116" t="s">
        <v>99</v>
      </c>
      <c r="H116" t="s">
        <v>99</v>
      </c>
      <c r="I116" t="s">
        <v>100</v>
      </c>
      <c r="J116" t="s">
        <v>1066</v>
      </c>
      <c r="K116" t="s">
        <v>1067</v>
      </c>
      <c r="L116" t="s">
        <v>4693</v>
      </c>
      <c r="M116" t="s">
        <v>4790</v>
      </c>
      <c r="N116" t="s">
        <v>114</v>
      </c>
      <c r="O116" t="s">
        <v>4476</v>
      </c>
      <c r="P116" t="s">
        <v>4476</v>
      </c>
      <c r="Q116" t="s">
        <v>100</v>
      </c>
      <c r="R116" t="s">
        <v>1066</v>
      </c>
      <c r="S116" t="s">
        <v>1067</v>
      </c>
      <c r="T116" t="s">
        <v>4465</v>
      </c>
      <c r="U116" t="s">
        <v>4466</v>
      </c>
      <c r="V116" t="s">
        <v>4477</v>
      </c>
      <c r="W116" t="s">
        <v>4468</v>
      </c>
      <c r="X116" t="s">
        <v>4469</v>
      </c>
      <c r="Y116" t="s">
        <v>4466</v>
      </c>
      <c r="Z116" t="s">
        <v>1013</v>
      </c>
      <c r="AA116" t="s">
        <v>4478</v>
      </c>
      <c r="AB116" t="s">
        <v>4477</v>
      </c>
      <c r="AC116" t="s">
        <v>61</v>
      </c>
      <c r="AD116" t="s">
        <v>19</v>
      </c>
      <c r="AE116" t="s">
        <v>19</v>
      </c>
      <c r="AF116" t="s">
        <v>4519</v>
      </c>
      <c r="AG116" t="s">
        <v>4496</v>
      </c>
      <c r="AH116" t="s">
        <v>22</v>
      </c>
      <c r="AI116" t="s">
        <v>22</v>
      </c>
      <c r="AJ116" t="s">
        <v>22</v>
      </c>
      <c r="AK116" t="s">
        <v>22</v>
      </c>
    </row>
    <row r="117" spans="1:37" ht="11.25" customHeight="1">
      <c r="A117" t="s">
        <v>22</v>
      </c>
      <c r="B117" t="s">
        <v>48</v>
      </c>
      <c r="C117" t="s">
        <v>50</v>
      </c>
      <c r="D117" t="s">
        <v>22</v>
      </c>
      <c r="E117" t="s">
        <v>4791</v>
      </c>
      <c r="F117" t="s">
        <v>1065</v>
      </c>
      <c r="G117" t="s">
        <v>99</v>
      </c>
      <c r="H117" t="s">
        <v>99</v>
      </c>
      <c r="I117" t="s">
        <v>100</v>
      </c>
      <c r="J117" t="s">
        <v>1066</v>
      </c>
      <c r="K117" t="s">
        <v>1067</v>
      </c>
      <c r="L117" t="s">
        <v>4792</v>
      </c>
      <c r="M117" t="s">
        <v>4793</v>
      </c>
      <c r="N117" t="s">
        <v>114</v>
      </c>
      <c r="O117" t="s">
        <v>4476</v>
      </c>
      <c r="P117" t="s">
        <v>4476</v>
      </c>
      <c r="Q117" t="s">
        <v>100</v>
      </c>
      <c r="R117" t="s">
        <v>1066</v>
      </c>
      <c r="S117" t="s">
        <v>1067</v>
      </c>
      <c r="T117" t="s">
        <v>4465</v>
      </c>
      <c r="U117" t="s">
        <v>4466</v>
      </c>
      <c r="V117" t="s">
        <v>4477</v>
      </c>
      <c r="W117" t="s">
        <v>4468</v>
      </c>
      <c r="X117" t="s">
        <v>4469</v>
      </c>
      <c r="Y117" t="s">
        <v>4466</v>
      </c>
      <c r="Z117" t="s">
        <v>1013</v>
      </c>
      <c r="AA117" t="s">
        <v>4478</v>
      </c>
      <c r="AB117" t="s">
        <v>4477</v>
      </c>
      <c r="AC117" t="s">
        <v>61</v>
      </c>
      <c r="AD117" t="s">
        <v>19</v>
      </c>
      <c r="AE117" t="s">
        <v>19</v>
      </c>
      <c r="AF117" t="s">
        <v>4794</v>
      </c>
      <c r="AG117" t="s">
        <v>4795</v>
      </c>
      <c r="AH117" t="s">
        <v>22</v>
      </c>
      <c r="AI117" t="s">
        <v>22</v>
      </c>
      <c r="AJ117" t="s">
        <v>22</v>
      </c>
      <c r="AK117" t="s">
        <v>22</v>
      </c>
    </row>
    <row r="118" spans="1:37" ht="11.25" customHeight="1">
      <c r="A118" t="s">
        <v>22</v>
      </c>
      <c r="B118" t="s">
        <v>48</v>
      </c>
      <c r="C118" t="s">
        <v>50</v>
      </c>
      <c r="D118" t="s">
        <v>22</v>
      </c>
      <c r="E118" t="s">
        <v>4796</v>
      </c>
      <c r="F118" t="s">
        <v>1065</v>
      </c>
      <c r="G118" t="s">
        <v>99</v>
      </c>
      <c r="H118" t="s">
        <v>99</v>
      </c>
      <c r="I118" t="s">
        <v>100</v>
      </c>
      <c r="J118" t="s">
        <v>1066</v>
      </c>
      <c r="K118" t="s">
        <v>1067</v>
      </c>
      <c r="L118" t="s">
        <v>4797</v>
      </c>
      <c r="M118" t="s">
        <v>4798</v>
      </c>
      <c r="N118" t="s">
        <v>114</v>
      </c>
      <c r="O118" t="s">
        <v>4476</v>
      </c>
      <c r="P118" t="s">
        <v>4476</v>
      </c>
      <c r="Q118" t="s">
        <v>100</v>
      </c>
      <c r="R118" t="s">
        <v>1066</v>
      </c>
      <c r="S118" t="s">
        <v>1067</v>
      </c>
      <c r="T118" t="s">
        <v>4465</v>
      </c>
      <c r="U118" t="s">
        <v>4466</v>
      </c>
      <c r="V118" t="s">
        <v>4477</v>
      </c>
      <c r="W118" t="s">
        <v>4468</v>
      </c>
      <c r="X118" t="s">
        <v>4469</v>
      </c>
      <c r="Y118" t="s">
        <v>4466</v>
      </c>
      <c r="Z118" t="s">
        <v>1013</v>
      </c>
      <c r="AA118" t="s">
        <v>4478</v>
      </c>
      <c r="AB118" t="s">
        <v>4477</v>
      </c>
      <c r="AC118" t="s">
        <v>61</v>
      </c>
      <c r="AD118" t="s">
        <v>19</v>
      </c>
      <c r="AE118" t="s">
        <v>19</v>
      </c>
      <c r="AF118" t="s">
        <v>4799</v>
      </c>
      <c r="AG118" t="s">
        <v>4800</v>
      </c>
      <c r="AH118" t="s">
        <v>22</v>
      </c>
      <c r="AI118" t="s">
        <v>22</v>
      </c>
      <c r="AJ118" t="s">
        <v>22</v>
      </c>
      <c r="AK118" t="s">
        <v>22</v>
      </c>
    </row>
    <row r="119" spans="1:37" ht="11.25" customHeight="1">
      <c r="A119" t="s">
        <v>22</v>
      </c>
      <c r="B119" t="s">
        <v>48</v>
      </c>
      <c r="C119" t="s">
        <v>50</v>
      </c>
      <c r="D119" t="s">
        <v>22</v>
      </c>
      <c r="E119" t="s">
        <v>4801</v>
      </c>
      <c r="F119" t="s">
        <v>1065</v>
      </c>
      <c r="G119" t="s">
        <v>99</v>
      </c>
      <c r="H119" t="s">
        <v>99</v>
      </c>
      <c r="I119" t="s">
        <v>100</v>
      </c>
      <c r="J119" t="s">
        <v>1066</v>
      </c>
      <c r="K119" t="s">
        <v>1067</v>
      </c>
      <c r="L119" t="s">
        <v>4773</v>
      </c>
      <c r="M119" t="s">
        <v>4802</v>
      </c>
      <c r="N119" t="s">
        <v>114</v>
      </c>
      <c r="O119" t="s">
        <v>4476</v>
      </c>
      <c r="P119" t="s">
        <v>4476</v>
      </c>
      <c r="Q119" t="s">
        <v>100</v>
      </c>
      <c r="R119" t="s">
        <v>1066</v>
      </c>
      <c r="S119" t="s">
        <v>1067</v>
      </c>
      <c r="T119" t="s">
        <v>4465</v>
      </c>
      <c r="U119" t="s">
        <v>4466</v>
      </c>
      <c r="V119" t="s">
        <v>4477</v>
      </c>
      <c r="W119" t="s">
        <v>4468</v>
      </c>
      <c r="X119" t="s">
        <v>4469</v>
      </c>
      <c r="Y119" t="s">
        <v>4466</v>
      </c>
      <c r="Z119" t="s">
        <v>1013</v>
      </c>
      <c r="AA119" t="s">
        <v>4478</v>
      </c>
      <c r="AB119" t="s">
        <v>4477</v>
      </c>
      <c r="AC119" t="s">
        <v>61</v>
      </c>
      <c r="AD119" t="s">
        <v>19</v>
      </c>
      <c r="AE119" t="s">
        <v>19</v>
      </c>
      <c r="AF119" t="s">
        <v>4803</v>
      </c>
      <c r="AG119" t="s">
        <v>4804</v>
      </c>
      <c r="AH119" t="s">
        <v>22</v>
      </c>
      <c r="AI119" t="s">
        <v>22</v>
      </c>
      <c r="AJ119" t="s">
        <v>22</v>
      </c>
      <c r="AK119" t="s">
        <v>22</v>
      </c>
    </row>
    <row r="120" spans="1:37" ht="11.25" customHeight="1">
      <c r="A120" t="s">
        <v>22</v>
      </c>
      <c r="B120" t="s">
        <v>48</v>
      </c>
      <c r="C120" t="s">
        <v>50</v>
      </c>
      <c r="D120" t="s">
        <v>22</v>
      </c>
      <c r="E120" t="s">
        <v>4805</v>
      </c>
      <c r="F120" t="s">
        <v>1065</v>
      </c>
      <c r="G120" t="s">
        <v>99</v>
      </c>
      <c r="H120" t="s">
        <v>99</v>
      </c>
      <c r="I120" t="s">
        <v>100</v>
      </c>
      <c r="J120" t="s">
        <v>1066</v>
      </c>
      <c r="K120" t="s">
        <v>1067</v>
      </c>
      <c r="L120" t="s">
        <v>4806</v>
      </c>
      <c r="M120" t="s">
        <v>4807</v>
      </c>
      <c r="N120" t="s">
        <v>114</v>
      </c>
      <c r="O120" t="s">
        <v>4476</v>
      </c>
      <c r="P120" t="s">
        <v>4476</v>
      </c>
      <c r="Q120" t="s">
        <v>100</v>
      </c>
      <c r="R120" t="s">
        <v>1066</v>
      </c>
      <c r="S120" t="s">
        <v>1067</v>
      </c>
      <c r="T120" t="s">
        <v>4465</v>
      </c>
      <c r="U120" t="s">
        <v>4466</v>
      </c>
      <c r="V120" t="s">
        <v>4477</v>
      </c>
      <c r="W120" t="s">
        <v>4468</v>
      </c>
      <c r="X120" t="s">
        <v>4469</v>
      </c>
      <c r="Y120" t="s">
        <v>4466</v>
      </c>
      <c r="Z120" t="s">
        <v>1013</v>
      </c>
      <c r="AA120" t="s">
        <v>4478</v>
      </c>
      <c r="AB120" t="s">
        <v>4477</v>
      </c>
      <c r="AC120" t="s">
        <v>61</v>
      </c>
      <c r="AD120" t="s">
        <v>19</v>
      </c>
      <c r="AE120" t="s">
        <v>19</v>
      </c>
      <c r="AF120" t="s">
        <v>4808</v>
      </c>
      <c r="AG120" t="s">
        <v>4496</v>
      </c>
      <c r="AH120" t="s">
        <v>22</v>
      </c>
      <c r="AI120" t="s">
        <v>22</v>
      </c>
      <c r="AJ120" t="s">
        <v>22</v>
      </c>
      <c r="AK120" t="s">
        <v>22</v>
      </c>
    </row>
    <row r="121" spans="1:37" ht="11.25" customHeight="1">
      <c r="A121" t="s">
        <v>22</v>
      </c>
      <c r="B121" t="s">
        <v>48</v>
      </c>
      <c r="C121" t="s">
        <v>50</v>
      </c>
      <c r="D121" t="s">
        <v>22</v>
      </c>
      <c r="E121" t="s">
        <v>4809</v>
      </c>
      <c r="F121" t="s">
        <v>1065</v>
      </c>
      <c r="G121" t="s">
        <v>99</v>
      </c>
      <c r="H121" t="s">
        <v>99</v>
      </c>
      <c r="I121" t="s">
        <v>100</v>
      </c>
      <c r="J121" t="s">
        <v>1066</v>
      </c>
      <c r="K121" t="s">
        <v>1067</v>
      </c>
      <c r="L121" t="s">
        <v>4810</v>
      </c>
      <c r="M121" t="s">
        <v>4760</v>
      </c>
      <c r="N121" t="s">
        <v>114</v>
      </c>
      <c r="O121" t="s">
        <v>4476</v>
      </c>
      <c r="P121" t="s">
        <v>4476</v>
      </c>
      <c r="Q121" t="s">
        <v>100</v>
      </c>
      <c r="R121" t="s">
        <v>1066</v>
      </c>
      <c r="S121" t="s">
        <v>1067</v>
      </c>
      <c r="T121" t="s">
        <v>4465</v>
      </c>
      <c r="U121" t="s">
        <v>4466</v>
      </c>
      <c r="V121" t="s">
        <v>4477</v>
      </c>
      <c r="W121" t="s">
        <v>4468</v>
      </c>
      <c r="X121" t="s">
        <v>4469</v>
      </c>
      <c r="Y121" t="s">
        <v>4466</v>
      </c>
      <c r="Z121" t="s">
        <v>1013</v>
      </c>
      <c r="AA121" t="s">
        <v>4478</v>
      </c>
      <c r="AB121" t="s">
        <v>4477</v>
      </c>
      <c r="AC121" t="s">
        <v>61</v>
      </c>
      <c r="AD121" t="s">
        <v>19</v>
      </c>
      <c r="AE121" t="s">
        <v>19</v>
      </c>
      <c r="AF121" t="s">
        <v>4535</v>
      </c>
      <c r="AG121" t="s">
        <v>4536</v>
      </c>
      <c r="AH121" t="s">
        <v>22</v>
      </c>
      <c r="AI121" t="s">
        <v>22</v>
      </c>
      <c r="AJ121" t="s">
        <v>22</v>
      </c>
      <c r="AK121" t="s">
        <v>22</v>
      </c>
    </row>
    <row r="122" spans="1:37" ht="11.25" customHeight="1">
      <c r="A122" t="s">
        <v>22</v>
      </c>
      <c r="B122" t="s">
        <v>48</v>
      </c>
      <c r="C122" t="s">
        <v>50</v>
      </c>
      <c r="D122" t="s">
        <v>22</v>
      </c>
      <c r="E122" t="s">
        <v>4811</v>
      </c>
      <c r="F122" t="s">
        <v>1065</v>
      </c>
      <c r="G122" t="s">
        <v>99</v>
      </c>
      <c r="H122" t="s">
        <v>99</v>
      </c>
      <c r="I122" t="s">
        <v>100</v>
      </c>
      <c r="J122" t="s">
        <v>1066</v>
      </c>
      <c r="K122" t="s">
        <v>1067</v>
      </c>
      <c r="L122" t="s">
        <v>4792</v>
      </c>
      <c r="M122" t="s">
        <v>4812</v>
      </c>
      <c r="N122" t="s">
        <v>114</v>
      </c>
      <c r="O122" t="s">
        <v>4476</v>
      </c>
      <c r="P122" t="s">
        <v>4476</v>
      </c>
      <c r="Q122" t="s">
        <v>100</v>
      </c>
      <c r="R122" t="s">
        <v>1066</v>
      </c>
      <c r="S122" t="s">
        <v>1067</v>
      </c>
      <c r="T122" t="s">
        <v>4465</v>
      </c>
      <c r="U122" t="s">
        <v>4466</v>
      </c>
      <c r="V122" t="s">
        <v>4477</v>
      </c>
      <c r="W122" t="s">
        <v>4468</v>
      </c>
      <c r="X122" t="s">
        <v>4469</v>
      </c>
      <c r="Y122" t="s">
        <v>4466</v>
      </c>
      <c r="Z122" t="s">
        <v>1013</v>
      </c>
      <c r="AA122" t="s">
        <v>4478</v>
      </c>
      <c r="AB122" t="s">
        <v>4477</v>
      </c>
      <c r="AC122" t="s">
        <v>61</v>
      </c>
      <c r="AD122" t="s">
        <v>19</v>
      </c>
      <c r="AE122" t="s">
        <v>19</v>
      </c>
      <c r="AF122" t="s">
        <v>4813</v>
      </c>
      <c r="AG122" t="s">
        <v>4703</v>
      </c>
      <c r="AH122" t="s">
        <v>22</v>
      </c>
      <c r="AI122" t="s">
        <v>22</v>
      </c>
      <c r="AJ122" t="s">
        <v>22</v>
      </c>
      <c r="AK122" t="s">
        <v>22</v>
      </c>
    </row>
    <row r="123" spans="1:37" ht="11.25" customHeight="1">
      <c r="A123" t="s">
        <v>22</v>
      </c>
      <c r="B123" t="s">
        <v>48</v>
      </c>
      <c r="C123" t="s">
        <v>50</v>
      </c>
      <c r="D123" t="s">
        <v>22</v>
      </c>
      <c r="E123" t="s">
        <v>4814</v>
      </c>
      <c r="F123" t="s">
        <v>1065</v>
      </c>
      <c r="G123" t="s">
        <v>99</v>
      </c>
      <c r="H123" t="s">
        <v>99</v>
      </c>
      <c r="I123" t="s">
        <v>100</v>
      </c>
      <c r="J123" t="s">
        <v>1066</v>
      </c>
      <c r="K123" t="s">
        <v>1067</v>
      </c>
      <c r="L123" t="s">
        <v>4815</v>
      </c>
      <c r="M123" t="s">
        <v>4816</v>
      </c>
      <c r="N123" t="s">
        <v>114</v>
      </c>
      <c r="O123" t="s">
        <v>4476</v>
      </c>
      <c r="P123" t="s">
        <v>4476</v>
      </c>
      <c r="Q123" t="s">
        <v>100</v>
      </c>
      <c r="R123" t="s">
        <v>1066</v>
      </c>
      <c r="S123" t="s">
        <v>1067</v>
      </c>
      <c r="T123" t="s">
        <v>4465</v>
      </c>
      <c r="U123" t="s">
        <v>4466</v>
      </c>
      <c r="V123" t="s">
        <v>4477</v>
      </c>
      <c r="W123" t="s">
        <v>4468</v>
      </c>
      <c r="X123" t="s">
        <v>4469</v>
      </c>
      <c r="Y123" t="s">
        <v>4466</v>
      </c>
      <c r="Z123" t="s">
        <v>1013</v>
      </c>
      <c r="AA123" t="s">
        <v>4478</v>
      </c>
      <c r="AB123" t="s">
        <v>4477</v>
      </c>
      <c r="AC123" t="s">
        <v>61</v>
      </c>
      <c r="AD123" t="s">
        <v>19</v>
      </c>
      <c r="AE123" t="s">
        <v>19</v>
      </c>
      <c r="AF123" t="s">
        <v>4620</v>
      </c>
      <c r="AG123" t="s">
        <v>4500</v>
      </c>
      <c r="AH123" t="s">
        <v>22</v>
      </c>
      <c r="AI123" t="s">
        <v>22</v>
      </c>
      <c r="AJ123" t="s">
        <v>22</v>
      </c>
      <c r="AK123" t="s">
        <v>22</v>
      </c>
    </row>
    <row r="124" spans="1:37" ht="11.25" customHeight="1">
      <c r="A124" t="s">
        <v>22</v>
      </c>
      <c r="B124" t="s">
        <v>48</v>
      </c>
      <c r="C124" t="s">
        <v>50</v>
      </c>
      <c r="D124" t="s">
        <v>22</v>
      </c>
      <c r="E124" t="s">
        <v>4817</v>
      </c>
      <c r="F124" t="s">
        <v>1065</v>
      </c>
      <c r="G124" t="s">
        <v>99</v>
      </c>
      <c r="H124" t="s">
        <v>99</v>
      </c>
      <c r="I124" t="s">
        <v>100</v>
      </c>
      <c r="J124" t="s">
        <v>1066</v>
      </c>
      <c r="K124" t="s">
        <v>1067</v>
      </c>
      <c r="L124" t="s">
        <v>4818</v>
      </c>
      <c r="M124" t="s">
        <v>4515</v>
      </c>
      <c r="N124" t="s">
        <v>114</v>
      </c>
      <c r="O124" t="s">
        <v>4476</v>
      </c>
      <c r="P124" t="s">
        <v>4476</v>
      </c>
      <c r="Q124" t="s">
        <v>100</v>
      </c>
      <c r="R124" t="s">
        <v>1066</v>
      </c>
      <c r="S124" t="s">
        <v>1067</v>
      </c>
      <c r="T124" t="s">
        <v>4465</v>
      </c>
      <c r="U124" t="s">
        <v>4466</v>
      </c>
      <c r="V124" t="s">
        <v>4477</v>
      </c>
      <c r="W124" t="s">
        <v>4468</v>
      </c>
      <c r="X124" t="s">
        <v>4469</v>
      </c>
      <c r="Y124" t="s">
        <v>4466</v>
      </c>
      <c r="Z124" t="s">
        <v>1013</v>
      </c>
      <c r="AA124" t="s">
        <v>4478</v>
      </c>
      <c r="AB124" t="s">
        <v>4477</v>
      </c>
      <c r="AC124" t="s">
        <v>61</v>
      </c>
      <c r="AD124" t="s">
        <v>19</v>
      </c>
      <c r="AE124" t="s">
        <v>19</v>
      </c>
      <c r="AF124" t="s">
        <v>4819</v>
      </c>
      <c r="AG124" t="s">
        <v>4820</v>
      </c>
      <c r="AH124" t="s">
        <v>22</v>
      </c>
      <c r="AI124" t="s">
        <v>22</v>
      </c>
      <c r="AJ124" t="s">
        <v>22</v>
      </c>
      <c r="AK124" t="s">
        <v>22</v>
      </c>
    </row>
    <row r="125" spans="1:37" ht="11.25" customHeight="1">
      <c r="A125" t="s">
        <v>22</v>
      </c>
      <c r="B125" t="s">
        <v>48</v>
      </c>
      <c r="C125" t="s">
        <v>50</v>
      </c>
      <c r="D125" t="s">
        <v>22</v>
      </c>
      <c r="E125" t="s">
        <v>4817</v>
      </c>
      <c r="F125" t="s">
        <v>1065</v>
      </c>
      <c r="G125" t="s">
        <v>99</v>
      </c>
      <c r="H125" t="s">
        <v>99</v>
      </c>
      <c r="I125" t="s">
        <v>100</v>
      </c>
      <c r="J125" t="s">
        <v>1066</v>
      </c>
      <c r="K125" t="s">
        <v>1067</v>
      </c>
      <c r="L125" t="s">
        <v>4821</v>
      </c>
      <c r="M125" t="s">
        <v>4822</v>
      </c>
      <c r="N125" t="s">
        <v>114</v>
      </c>
      <c r="O125" t="s">
        <v>4476</v>
      </c>
      <c r="P125" t="s">
        <v>4476</v>
      </c>
      <c r="Q125" t="s">
        <v>100</v>
      </c>
      <c r="R125" t="s">
        <v>1066</v>
      </c>
      <c r="S125" t="s">
        <v>1067</v>
      </c>
      <c r="T125" t="s">
        <v>4465</v>
      </c>
      <c r="U125" t="s">
        <v>4466</v>
      </c>
      <c r="V125" t="s">
        <v>4477</v>
      </c>
      <c r="W125" t="s">
        <v>4468</v>
      </c>
      <c r="X125" t="s">
        <v>4469</v>
      </c>
      <c r="Y125" t="s">
        <v>4466</v>
      </c>
      <c r="Z125" t="s">
        <v>1013</v>
      </c>
      <c r="AA125" t="s">
        <v>4478</v>
      </c>
      <c r="AB125" t="s">
        <v>4477</v>
      </c>
      <c r="AC125" t="s">
        <v>61</v>
      </c>
      <c r="AD125" t="s">
        <v>19</v>
      </c>
      <c r="AE125" t="s">
        <v>19</v>
      </c>
      <c r="AF125" t="s">
        <v>4620</v>
      </c>
      <c r="AG125" t="s">
        <v>4500</v>
      </c>
      <c r="AH125" t="s">
        <v>22</v>
      </c>
      <c r="AI125" t="s">
        <v>22</v>
      </c>
      <c r="AJ125" t="s">
        <v>22</v>
      </c>
      <c r="AK125" t="s">
        <v>22</v>
      </c>
    </row>
    <row r="126" spans="1:37" ht="11.25" customHeight="1">
      <c r="A126" t="s">
        <v>22</v>
      </c>
      <c r="B126" t="s">
        <v>48</v>
      </c>
      <c r="C126" t="s">
        <v>50</v>
      </c>
      <c r="D126" t="s">
        <v>22</v>
      </c>
      <c r="E126" t="s">
        <v>4823</v>
      </c>
      <c r="F126" t="s">
        <v>1065</v>
      </c>
      <c r="G126" t="s">
        <v>99</v>
      </c>
      <c r="H126" t="s">
        <v>99</v>
      </c>
      <c r="I126" t="s">
        <v>100</v>
      </c>
      <c r="J126" t="s">
        <v>1066</v>
      </c>
      <c r="K126" t="s">
        <v>1067</v>
      </c>
      <c r="L126" t="s">
        <v>4824</v>
      </c>
      <c r="M126" t="s">
        <v>4825</v>
      </c>
      <c r="N126" t="s">
        <v>114</v>
      </c>
      <c r="O126" t="s">
        <v>4476</v>
      </c>
      <c r="P126" t="s">
        <v>4476</v>
      </c>
      <c r="Q126" t="s">
        <v>100</v>
      </c>
      <c r="R126" t="s">
        <v>1066</v>
      </c>
      <c r="S126" t="s">
        <v>1067</v>
      </c>
      <c r="T126" t="s">
        <v>4465</v>
      </c>
      <c r="U126" t="s">
        <v>4466</v>
      </c>
      <c r="V126" t="s">
        <v>4477</v>
      </c>
      <c r="W126" t="s">
        <v>4468</v>
      </c>
      <c r="X126" t="s">
        <v>4469</v>
      </c>
      <c r="Y126" t="s">
        <v>4466</v>
      </c>
      <c r="Z126" t="s">
        <v>1013</v>
      </c>
      <c r="AA126" t="s">
        <v>4478</v>
      </c>
      <c r="AB126" t="s">
        <v>4477</v>
      </c>
      <c r="AC126" t="s">
        <v>61</v>
      </c>
      <c r="AD126" t="s">
        <v>19</v>
      </c>
      <c r="AE126" t="s">
        <v>19</v>
      </c>
      <c r="AF126" t="s">
        <v>4620</v>
      </c>
      <c r="AG126" t="s">
        <v>4500</v>
      </c>
      <c r="AH126" t="s">
        <v>22</v>
      </c>
      <c r="AI126" t="s">
        <v>22</v>
      </c>
      <c r="AJ126" t="s">
        <v>22</v>
      </c>
      <c r="AK126" t="s">
        <v>22</v>
      </c>
    </row>
    <row r="127" spans="1:37" ht="11.25" customHeight="1">
      <c r="A127" t="s">
        <v>22</v>
      </c>
      <c r="B127" t="s">
        <v>48</v>
      </c>
      <c r="C127" t="s">
        <v>50</v>
      </c>
      <c r="D127" t="s">
        <v>22</v>
      </c>
      <c r="E127" t="s">
        <v>4823</v>
      </c>
      <c r="F127" t="s">
        <v>1065</v>
      </c>
      <c r="G127" t="s">
        <v>99</v>
      </c>
      <c r="H127" t="s">
        <v>99</v>
      </c>
      <c r="I127" t="s">
        <v>100</v>
      </c>
      <c r="J127" t="s">
        <v>1066</v>
      </c>
      <c r="K127" t="s">
        <v>1067</v>
      </c>
      <c r="L127" t="s">
        <v>4656</v>
      </c>
      <c r="M127" t="s">
        <v>4826</v>
      </c>
      <c r="N127" t="s">
        <v>114</v>
      </c>
      <c r="O127" t="s">
        <v>4476</v>
      </c>
      <c r="P127" t="s">
        <v>4476</v>
      </c>
      <c r="Q127" t="s">
        <v>100</v>
      </c>
      <c r="R127" t="s">
        <v>1066</v>
      </c>
      <c r="S127" t="s">
        <v>1067</v>
      </c>
      <c r="T127" t="s">
        <v>4465</v>
      </c>
      <c r="U127" t="s">
        <v>4466</v>
      </c>
      <c r="V127" t="s">
        <v>4477</v>
      </c>
      <c r="W127" t="s">
        <v>4468</v>
      </c>
      <c r="X127" t="s">
        <v>4469</v>
      </c>
      <c r="Y127" t="s">
        <v>4466</v>
      </c>
      <c r="Z127" t="s">
        <v>1013</v>
      </c>
      <c r="AA127" t="s">
        <v>4478</v>
      </c>
      <c r="AB127" t="s">
        <v>4477</v>
      </c>
      <c r="AC127" t="s">
        <v>61</v>
      </c>
      <c r="AD127" t="s">
        <v>19</v>
      </c>
      <c r="AE127" t="s">
        <v>19</v>
      </c>
      <c r="AF127" t="s">
        <v>4748</v>
      </c>
      <c r="AG127" t="s">
        <v>4635</v>
      </c>
      <c r="AH127" t="s">
        <v>22</v>
      </c>
      <c r="AI127" t="s">
        <v>22</v>
      </c>
      <c r="AJ127" t="s">
        <v>22</v>
      </c>
      <c r="AK127" t="s">
        <v>22</v>
      </c>
    </row>
    <row r="128" spans="1:37" ht="11.25" customHeight="1">
      <c r="A128" t="s">
        <v>22</v>
      </c>
      <c r="B128" t="s">
        <v>48</v>
      </c>
      <c r="C128" t="s">
        <v>50</v>
      </c>
      <c r="D128" t="s">
        <v>22</v>
      </c>
      <c r="E128" t="s">
        <v>4827</v>
      </c>
      <c r="F128" t="s">
        <v>1065</v>
      </c>
      <c r="G128" t="s">
        <v>99</v>
      </c>
      <c r="H128" t="s">
        <v>99</v>
      </c>
      <c r="I128" t="s">
        <v>100</v>
      </c>
      <c r="J128" t="s">
        <v>1066</v>
      </c>
      <c r="K128" t="s">
        <v>1067</v>
      </c>
      <c r="L128" t="s">
        <v>4648</v>
      </c>
      <c r="M128" t="s">
        <v>4657</v>
      </c>
      <c r="N128" t="s">
        <v>114</v>
      </c>
      <c r="O128" t="s">
        <v>4476</v>
      </c>
      <c r="P128" t="s">
        <v>4476</v>
      </c>
      <c r="Q128" t="s">
        <v>100</v>
      </c>
      <c r="R128" t="s">
        <v>1066</v>
      </c>
      <c r="S128" t="s">
        <v>1067</v>
      </c>
      <c r="T128" t="s">
        <v>4465</v>
      </c>
      <c r="U128" t="s">
        <v>4466</v>
      </c>
      <c r="V128" t="s">
        <v>4477</v>
      </c>
      <c r="W128" t="s">
        <v>4468</v>
      </c>
      <c r="X128" t="s">
        <v>4469</v>
      </c>
      <c r="Y128" t="s">
        <v>4466</v>
      </c>
      <c r="Z128" t="s">
        <v>1013</v>
      </c>
      <c r="AA128" t="s">
        <v>4478</v>
      </c>
      <c r="AB128" t="s">
        <v>4477</v>
      </c>
      <c r="AC128" t="s">
        <v>61</v>
      </c>
      <c r="AD128" t="s">
        <v>19</v>
      </c>
      <c r="AE128" t="s">
        <v>19</v>
      </c>
      <c r="AF128" t="s">
        <v>4500</v>
      </c>
      <c r="AG128" t="s">
        <v>4506</v>
      </c>
      <c r="AH128" t="s">
        <v>22</v>
      </c>
      <c r="AI128" t="s">
        <v>22</v>
      </c>
      <c r="AJ128" t="s">
        <v>22</v>
      </c>
      <c r="AK128" t="s">
        <v>22</v>
      </c>
    </row>
    <row r="129" spans="1:37" ht="11.25" customHeight="1">
      <c r="A129" t="s">
        <v>22</v>
      </c>
      <c r="B129" t="s">
        <v>48</v>
      </c>
      <c r="C129" t="s">
        <v>50</v>
      </c>
      <c r="D129" t="s">
        <v>22</v>
      </c>
      <c r="E129" t="s">
        <v>4828</v>
      </c>
      <c r="F129" t="s">
        <v>1065</v>
      </c>
      <c r="G129" t="s">
        <v>99</v>
      </c>
      <c r="H129" t="s">
        <v>99</v>
      </c>
      <c r="I129" t="s">
        <v>100</v>
      </c>
      <c r="J129" t="s">
        <v>1066</v>
      </c>
      <c r="K129" t="s">
        <v>1067</v>
      </c>
      <c r="L129" t="s">
        <v>4648</v>
      </c>
      <c r="M129" t="s">
        <v>4829</v>
      </c>
      <c r="N129" t="s">
        <v>114</v>
      </c>
      <c r="O129" t="s">
        <v>4476</v>
      </c>
      <c r="P129" t="s">
        <v>4476</v>
      </c>
      <c r="Q129" t="s">
        <v>100</v>
      </c>
      <c r="R129" t="s">
        <v>1066</v>
      </c>
      <c r="S129" t="s">
        <v>1067</v>
      </c>
      <c r="T129" t="s">
        <v>4465</v>
      </c>
      <c r="U129" t="s">
        <v>4466</v>
      </c>
      <c r="V129" t="s">
        <v>4477</v>
      </c>
      <c r="W129" t="s">
        <v>4468</v>
      </c>
      <c r="X129" t="s">
        <v>4469</v>
      </c>
      <c r="Y129" t="s">
        <v>4466</v>
      </c>
      <c r="Z129" t="s">
        <v>1013</v>
      </c>
      <c r="AA129" t="s">
        <v>4478</v>
      </c>
      <c r="AB129" t="s">
        <v>4477</v>
      </c>
      <c r="AC129" t="s">
        <v>61</v>
      </c>
      <c r="AD129" t="s">
        <v>19</v>
      </c>
      <c r="AE129" t="s">
        <v>19</v>
      </c>
      <c r="AF129" t="s">
        <v>4500</v>
      </c>
      <c r="AG129" t="s">
        <v>4506</v>
      </c>
      <c r="AH129" t="s">
        <v>22</v>
      </c>
      <c r="AI129" t="s">
        <v>22</v>
      </c>
      <c r="AJ129" t="s">
        <v>22</v>
      </c>
      <c r="AK129" t="s">
        <v>22</v>
      </c>
    </row>
    <row r="130" spans="1:37" ht="11.25" customHeight="1">
      <c r="A130" t="s">
        <v>22</v>
      </c>
      <c r="B130" t="s">
        <v>48</v>
      </c>
      <c r="C130" t="s">
        <v>50</v>
      </c>
      <c r="D130" t="s">
        <v>22</v>
      </c>
      <c r="E130" t="s">
        <v>4830</v>
      </c>
      <c r="F130" t="s">
        <v>1065</v>
      </c>
      <c r="G130" t="s">
        <v>99</v>
      </c>
      <c r="H130" t="s">
        <v>99</v>
      </c>
      <c r="I130" t="s">
        <v>100</v>
      </c>
      <c r="J130" t="s">
        <v>1066</v>
      </c>
      <c r="K130" t="s">
        <v>1067</v>
      </c>
      <c r="L130" t="s">
        <v>4831</v>
      </c>
      <c r="M130" t="s">
        <v>4832</v>
      </c>
      <c r="N130" t="s">
        <v>114</v>
      </c>
      <c r="O130" t="s">
        <v>4476</v>
      </c>
      <c r="P130" t="s">
        <v>4476</v>
      </c>
      <c r="Q130" t="s">
        <v>100</v>
      </c>
      <c r="R130" t="s">
        <v>1066</v>
      </c>
      <c r="S130" t="s">
        <v>1067</v>
      </c>
      <c r="T130" t="s">
        <v>4465</v>
      </c>
      <c r="U130" t="s">
        <v>4466</v>
      </c>
      <c r="V130" t="s">
        <v>4477</v>
      </c>
      <c r="W130" t="s">
        <v>4468</v>
      </c>
      <c r="X130" t="s">
        <v>4469</v>
      </c>
      <c r="Y130" t="s">
        <v>4466</v>
      </c>
      <c r="Z130" t="s">
        <v>1013</v>
      </c>
      <c r="AA130" t="s">
        <v>4478</v>
      </c>
      <c r="AB130" t="s">
        <v>4477</v>
      </c>
      <c r="AC130" t="s">
        <v>61</v>
      </c>
      <c r="AD130" t="s">
        <v>19</v>
      </c>
      <c r="AE130" t="s">
        <v>19</v>
      </c>
      <c r="AF130" t="s">
        <v>4833</v>
      </c>
      <c r="AG130" t="s">
        <v>4635</v>
      </c>
      <c r="AH130" t="s">
        <v>22</v>
      </c>
      <c r="AI130" t="s">
        <v>22</v>
      </c>
      <c r="AJ130" t="s">
        <v>22</v>
      </c>
      <c r="AK130" t="s">
        <v>22</v>
      </c>
    </row>
    <row r="131" spans="1:37" ht="11.25" customHeight="1">
      <c r="A131" t="s">
        <v>22</v>
      </c>
      <c r="B131" t="s">
        <v>48</v>
      </c>
      <c r="C131" t="s">
        <v>50</v>
      </c>
      <c r="D131" t="s">
        <v>22</v>
      </c>
      <c r="E131" t="s">
        <v>4834</v>
      </c>
      <c r="F131" t="s">
        <v>1065</v>
      </c>
      <c r="G131" t="s">
        <v>99</v>
      </c>
      <c r="H131" t="s">
        <v>99</v>
      </c>
      <c r="I131" t="s">
        <v>100</v>
      </c>
      <c r="J131" t="s">
        <v>1066</v>
      </c>
      <c r="K131" t="s">
        <v>1067</v>
      </c>
      <c r="L131" t="s">
        <v>4648</v>
      </c>
      <c r="M131" t="s">
        <v>4835</v>
      </c>
      <c r="N131" t="s">
        <v>114</v>
      </c>
      <c r="O131" t="s">
        <v>4476</v>
      </c>
      <c r="P131" t="s">
        <v>4476</v>
      </c>
      <c r="Q131" t="s">
        <v>100</v>
      </c>
      <c r="R131" t="s">
        <v>1066</v>
      </c>
      <c r="S131" t="s">
        <v>1067</v>
      </c>
      <c r="T131" t="s">
        <v>4465</v>
      </c>
      <c r="U131" t="s">
        <v>4466</v>
      </c>
      <c r="V131" t="s">
        <v>4477</v>
      </c>
      <c r="W131" t="s">
        <v>4468</v>
      </c>
      <c r="X131" t="s">
        <v>4469</v>
      </c>
      <c r="Y131" t="s">
        <v>4466</v>
      </c>
      <c r="Z131" t="s">
        <v>1013</v>
      </c>
      <c r="AA131" t="s">
        <v>4478</v>
      </c>
      <c r="AB131" t="s">
        <v>4477</v>
      </c>
      <c r="AC131" t="s">
        <v>61</v>
      </c>
      <c r="AD131" t="s">
        <v>19</v>
      </c>
      <c r="AE131" t="s">
        <v>19</v>
      </c>
      <c r="AF131" t="s">
        <v>4836</v>
      </c>
      <c r="AG131" t="s">
        <v>4788</v>
      </c>
      <c r="AH131" t="s">
        <v>22</v>
      </c>
      <c r="AI131" t="s">
        <v>22</v>
      </c>
      <c r="AJ131" t="s">
        <v>22</v>
      </c>
      <c r="AK131" t="s">
        <v>22</v>
      </c>
    </row>
    <row r="132" spans="1:37" ht="11.25" customHeight="1">
      <c r="A132" t="s">
        <v>22</v>
      </c>
      <c r="B132" t="s">
        <v>48</v>
      </c>
      <c r="C132" t="s">
        <v>50</v>
      </c>
      <c r="D132" t="s">
        <v>22</v>
      </c>
      <c r="E132" t="s">
        <v>4834</v>
      </c>
      <c r="F132" t="s">
        <v>1065</v>
      </c>
      <c r="G132" t="s">
        <v>99</v>
      </c>
      <c r="H132" t="s">
        <v>99</v>
      </c>
      <c r="I132" t="s">
        <v>100</v>
      </c>
      <c r="J132" t="s">
        <v>1066</v>
      </c>
      <c r="K132" t="s">
        <v>1067</v>
      </c>
      <c r="L132" t="s">
        <v>4837</v>
      </c>
      <c r="M132" t="s">
        <v>4534</v>
      </c>
      <c r="N132" t="s">
        <v>114</v>
      </c>
      <c r="O132" t="s">
        <v>4476</v>
      </c>
      <c r="P132" t="s">
        <v>4476</v>
      </c>
      <c r="Q132" t="s">
        <v>100</v>
      </c>
      <c r="R132" t="s">
        <v>1066</v>
      </c>
      <c r="S132" t="s">
        <v>1067</v>
      </c>
      <c r="T132" t="s">
        <v>4465</v>
      </c>
      <c r="U132" t="s">
        <v>4466</v>
      </c>
      <c r="V132" t="s">
        <v>4477</v>
      </c>
      <c r="W132" t="s">
        <v>4468</v>
      </c>
      <c r="X132" t="s">
        <v>4469</v>
      </c>
      <c r="Y132" t="s">
        <v>4466</v>
      </c>
      <c r="Z132" t="s">
        <v>1013</v>
      </c>
      <c r="AA132" t="s">
        <v>4478</v>
      </c>
      <c r="AB132" t="s">
        <v>4477</v>
      </c>
      <c r="AC132" t="s">
        <v>61</v>
      </c>
      <c r="AD132" t="s">
        <v>19</v>
      </c>
      <c r="AE132" t="s">
        <v>19</v>
      </c>
      <c r="AF132" t="s">
        <v>4520</v>
      </c>
      <c r="AG132" t="s">
        <v>4509</v>
      </c>
      <c r="AH132" t="s">
        <v>22</v>
      </c>
      <c r="AI132" t="s">
        <v>22</v>
      </c>
      <c r="AJ132" t="s">
        <v>22</v>
      </c>
      <c r="AK132" t="s">
        <v>22</v>
      </c>
    </row>
    <row r="133" spans="1:37" ht="11.25" customHeight="1">
      <c r="A133" t="s">
        <v>22</v>
      </c>
      <c r="B133" t="s">
        <v>48</v>
      </c>
      <c r="C133" t="s">
        <v>50</v>
      </c>
      <c r="D133" t="s">
        <v>22</v>
      </c>
      <c r="E133" t="s">
        <v>4838</v>
      </c>
      <c r="F133" t="s">
        <v>1065</v>
      </c>
      <c r="G133" t="s">
        <v>106</v>
      </c>
      <c r="H133" t="s">
        <v>106</v>
      </c>
      <c r="I133" t="s">
        <v>107</v>
      </c>
      <c r="J133" t="s">
        <v>4482</v>
      </c>
      <c r="K133" t="s">
        <v>4483</v>
      </c>
      <c r="L133" t="s">
        <v>4484</v>
      </c>
      <c r="M133" t="s">
        <v>782</v>
      </c>
      <c r="N133" t="s">
        <v>114</v>
      </c>
      <c r="O133" t="s">
        <v>106</v>
      </c>
      <c r="P133" t="s">
        <v>106</v>
      </c>
      <c r="Q133" t="s">
        <v>107</v>
      </c>
      <c r="R133" t="s">
        <v>4482</v>
      </c>
      <c r="S133" t="s">
        <v>4483</v>
      </c>
      <c r="T133" t="s">
        <v>4465</v>
      </c>
      <c r="U133" t="s">
        <v>4466</v>
      </c>
      <c r="V133" t="s">
        <v>4467</v>
      </c>
      <c r="W133" t="s">
        <v>4468</v>
      </c>
      <c r="X133" t="s">
        <v>4469</v>
      </c>
      <c r="Y133" t="s">
        <v>4466</v>
      </c>
      <c r="Z133" t="s">
        <v>1013</v>
      </c>
      <c r="AA133" t="s">
        <v>4470</v>
      </c>
      <c r="AB133" t="s">
        <v>4467</v>
      </c>
      <c r="AC133" t="s">
        <v>61</v>
      </c>
      <c r="AD133" t="s">
        <v>19</v>
      </c>
      <c r="AE133" t="s">
        <v>19</v>
      </c>
      <c r="AF133" t="s">
        <v>4509</v>
      </c>
      <c r="AG133" t="s">
        <v>4839</v>
      </c>
      <c r="AH133" t="s">
        <v>22</v>
      </c>
      <c r="AI133" t="s">
        <v>22</v>
      </c>
      <c r="AJ133" t="s">
        <v>22</v>
      </c>
      <c r="AK133" t="s">
        <v>22</v>
      </c>
    </row>
    <row r="134" spans="1:37" ht="11.25" customHeight="1">
      <c r="A134" t="s">
        <v>22</v>
      </c>
      <c r="B134" t="s">
        <v>48</v>
      </c>
      <c r="C134" t="s">
        <v>50</v>
      </c>
      <c r="D134" t="s">
        <v>22</v>
      </c>
      <c r="E134" t="s">
        <v>4838</v>
      </c>
      <c r="F134" t="s">
        <v>1065</v>
      </c>
      <c r="G134" t="s">
        <v>106</v>
      </c>
      <c r="H134" t="s">
        <v>106</v>
      </c>
      <c r="I134" t="s">
        <v>107</v>
      </c>
      <c r="J134" t="s">
        <v>4840</v>
      </c>
      <c r="K134" t="s">
        <v>4841</v>
      </c>
      <c r="L134" t="s">
        <v>4842</v>
      </c>
      <c r="M134" t="s">
        <v>782</v>
      </c>
      <c r="N134" t="s">
        <v>114</v>
      </c>
      <c r="O134" t="s">
        <v>106</v>
      </c>
      <c r="P134" t="s">
        <v>106</v>
      </c>
      <c r="Q134" t="s">
        <v>107</v>
      </c>
      <c r="R134" t="s">
        <v>4840</v>
      </c>
      <c r="S134" t="s">
        <v>4841</v>
      </c>
      <c r="T134" t="s">
        <v>4465</v>
      </c>
      <c r="U134" t="s">
        <v>4466</v>
      </c>
      <c r="V134" t="s">
        <v>4467</v>
      </c>
      <c r="W134" t="s">
        <v>4468</v>
      </c>
      <c r="X134" t="s">
        <v>4469</v>
      </c>
      <c r="Y134" t="s">
        <v>4466</v>
      </c>
      <c r="Z134" t="s">
        <v>1013</v>
      </c>
      <c r="AA134" t="s">
        <v>4470</v>
      </c>
      <c r="AB134" t="s">
        <v>4467</v>
      </c>
      <c r="AC134" t="s">
        <v>61</v>
      </c>
      <c r="AD134" t="s">
        <v>19</v>
      </c>
      <c r="AE134" t="s">
        <v>19</v>
      </c>
      <c r="AF134" t="s">
        <v>4506</v>
      </c>
      <c r="AG134" t="s">
        <v>4795</v>
      </c>
      <c r="AH134" t="s">
        <v>22</v>
      </c>
      <c r="AI134" t="s">
        <v>22</v>
      </c>
      <c r="AJ134" t="s">
        <v>22</v>
      </c>
      <c r="AK134" t="s">
        <v>22</v>
      </c>
    </row>
    <row r="135" spans="1:37" ht="11.25" customHeight="1">
      <c r="A135" t="s">
        <v>22</v>
      </c>
      <c r="B135" t="s">
        <v>48</v>
      </c>
      <c r="C135" t="s">
        <v>50</v>
      </c>
      <c r="D135" t="s">
        <v>22</v>
      </c>
      <c r="E135" t="s">
        <v>4843</v>
      </c>
      <c r="F135" t="s">
        <v>1065</v>
      </c>
      <c r="G135" t="s">
        <v>106</v>
      </c>
      <c r="H135" t="s">
        <v>106</v>
      </c>
      <c r="I135" t="s">
        <v>107</v>
      </c>
      <c r="J135" t="s">
        <v>4482</v>
      </c>
      <c r="K135" t="s">
        <v>4483</v>
      </c>
      <c r="L135" t="s">
        <v>4484</v>
      </c>
      <c r="M135" t="s">
        <v>782</v>
      </c>
      <c r="N135" t="s">
        <v>114</v>
      </c>
      <c r="O135" t="s">
        <v>106</v>
      </c>
      <c r="P135" t="s">
        <v>106</v>
      </c>
      <c r="Q135" t="s">
        <v>107</v>
      </c>
      <c r="R135" t="s">
        <v>4482</v>
      </c>
      <c r="S135" t="s">
        <v>4483</v>
      </c>
      <c r="T135" t="s">
        <v>4465</v>
      </c>
      <c r="U135" t="s">
        <v>4466</v>
      </c>
      <c r="V135" t="s">
        <v>4467</v>
      </c>
      <c r="W135" t="s">
        <v>4468</v>
      </c>
      <c r="X135" t="s">
        <v>4469</v>
      </c>
      <c r="Y135" t="s">
        <v>4466</v>
      </c>
      <c r="Z135" t="s">
        <v>1013</v>
      </c>
      <c r="AA135" t="s">
        <v>4470</v>
      </c>
      <c r="AB135" t="s">
        <v>4467</v>
      </c>
      <c r="AC135" t="s">
        <v>61</v>
      </c>
      <c r="AD135" t="s">
        <v>19</v>
      </c>
      <c r="AE135" t="s">
        <v>19</v>
      </c>
      <c r="AF135" t="s">
        <v>4509</v>
      </c>
      <c r="AG135" t="s">
        <v>4839</v>
      </c>
      <c r="AH135" t="s">
        <v>22</v>
      </c>
      <c r="AI135" t="s">
        <v>22</v>
      </c>
      <c r="AJ135" t="s">
        <v>22</v>
      </c>
      <c r="AK135" t="s">
        <v>22</v>
      </c>
    </row>
    <row r="136" spans="1:37" ht="11.25" customHeight="1">
      <c r="A136" t="s">
        <v>22</v>
      </c>
      <c r="B136" t="s">
        <v>48</v>
      </c>
      <c r="C136" t="s">
        <v>50</v>
      </c>
      <c r="D136" t="s">
        <v>22</v>
      </c>
      <c r="E136" t="s">
        <v>4843</v>
      </c>
      <c r="F136" t="s">
        <v>1065</v>
      </c>
      <c r="G136" t="s">
        <v>106</v>
      </c>
      <c r="H136" t="s">
        <v>106</v>
      </c>
      <c r="I136" t="s">
        <v>107</v>
      </c>
      <c r="J136" t="s">
        <v>4840</v>
      </c>
      <c r="K136" t="s">
        <v>4841</v>
      </c>
      <c r="L136" t="s">
        <v>4842</v>
      </c>
      <c r="M136" t="s">
        <v>782</v>
      </c>
      <c r="N136" t="s">
        <v>114</v>
      </c>
      <c r="O136" t="s">
        <v>106</v>
      </c>
      <c r="P136" t="s">
        <v>106</v>
      </c>
      <c r="Q136" t="s">
        <v>107</v>
      </c>
      <c r="R136" t="s">
        <v>4840</v>
      </c>
      <c r="S136" t="s">
        <v>4841</v>
      </c>
      <c r="T136" t="s">
        <v>4465</v>
      </c>
      <c r="U136" t="s">
        <v>4466</v>
      </c>
      <c r="V136" t="s">
        <v>4467</v>
      </c>
      <c r="W136" t="s">
        <v>4468</v>
      </c>
      <c r="X136" t="s">
        <v>4469</v>
      </c>
      <c r="Y136" t="s">
        <v>4466</v>
      </c>
      <c r="Z136" t="s">
        <v>1013</v>
      </c>
      <c r="AA136" t="s">
        <v>4470</v>
      </c>
      <c r="AB136" t="s">
        <v>4467</v>
      </c>
      <c r="AC136" t="s">
        <v>61</v>
      </c>
      <c r="AD136" t="s">
        <v>19</v>
      </c>
      <c r="AE136" t="s">
        <v>19</v>
      </c>
      <c r="AF136" t="s">
        <v>4503</v>
      </c>
      <c r="AG136" t="s">
        <v>4844</v>
      </c>
      <c r="AH136" t="s">
        <v>22</v>
      </c>
      <c r="AI136" t="s">
        <v>22</v>
      </c>
      <c r="AJ136" t="s">
        <v>22</v>
      </c>
      <c r="AK136" t="s">
        <v>22</v>
      </c>
    </row>
    <row r="137" spans="1:37" ht="11.25" customHeight="1">
      <c r="A137" t="s">
        <v>22</v>
      </c>
      <c r="B137" t="s">
        <v>48</v>
      </c>
      <c r="C137" t="s">
        <v>50</v>
      </c>
      <c r="D137" t="s">
        <v>22</v>
      </c>
      <c r="E137" t="s">
        <v>4845</v>
      </c>
      <c r="F137" t="s">
        <v>1065</v>
      </c>
      <c r="G137" t="s">
        <v>106</v>
      </c>
      <c r="H137" t="s">
        <v>106</v>
      </c>
      <c r="I137" t="s">
        <v>107</v>
      </c>
      <c r="J137" t="s">
        <v>4472</v>
      </c>
      <c r="K137" t="s">
        <v>4473</v>
      </c>
      <c r="L137" t="s">
        <v>4846</v>
      </c>
      <c r="M137" t="s">
        <v>4847</v>
      </c>
      <c r="N137" t="s">
        <v>114</v>
      </c>
      <c r="O137" t="s">
        <v>106</v>
      </c>
      <c r="P137" t="s">
        <v>106</v>
      </c>
      <c r="Q137" t="s">
        <v>107</v>
      </c>
      <c r="R137" t="s">
        <v>4472</v>
      </c>
      <c r="S137" t="s">
        <v>4473</v>
      </c>
      <c r="T137" t="s">
        <v>4465</v>
      </c>
      <c r="U137" t="s">
        <v>4466</v>
      </c>
      <c r="V137" t="s">
        <v>4467</v>
      </c>
      <c r="W137" t="s">
        <v>4468</v>
      </c>
      <c r="X137" t="s">
        <v>4469</v>
      </c>
      <c r="Y137" t="s">
        <v>4466</v>
      </c>
      <c r="Z137" t="s">
        <v>1013</v>
      </c>
      <c r="AA137" t="s">
        <v>4470</v>
      </c>
      <c r="AB137" t="s">
        <v>4467</v>
      </c>
      <c r="AC137" t="s">
        <v>61</v>
      </c>
      <c r="AD137" t="s">
        <v>19</v>
      </c>
      <c r="AE137" t="s">
        <v>19</v>
      </c>
      <c r="AF137" t="s">
        <v>4624</v>
      </c>
      <c r="AG137" t="s">
        <v>4848</v>
      </c>
      <c r="AH137" t="s">
        <v>22</v>
      </c>
      <c r="AI137" t="s">
        <v>22</v>
      </c>
      <c r="AJ137" t="s">
        <v>22</v>
      </c>
      <c r="AK137" t="s">
        <v>22</v>
      </c>
    </row>
    <row r="138" spans="1:37" ht="11.25" customHeight="1">
      <c r="A138" t="s">
        <v>22</v>
      </c>
      <c r="B138" t="s">
        <v>48</v>
      </c>
      <c r="C138" t="s">
        <v>50</v>
      </c>
      <c r="D138" t="s">
        <v>22</v>
      </c>
      <c r="E138" t="s">
        <v>4849</v>
      </c>
      <c r="F138" t="s">
        <v>1065</v>
      </c>
      <c r="G138" t="s">
        <v>106</v>
      </c>
      <c r="H138" t="s">
        <v>106</v>
      </c>
      <c r="I138" t="s">
        <v>107</v>
      </c>
      <c r="J138" t="s">
        <v>4850</v>
      </c>
      <c r="K138" t="s">
        <v>4851</v>
      </c>
      <c r="L138" t="s">
        <v>4852</v>
      </c>
      <c r="M138" t="s">
        <v>782</v>
      </c>
      <c r="N138" t="s">
        <v>114</v>
      </c>
      <c r="O138" t="s">
        <v>106</v>
      </c>
      <c r="P138" t="s">
        <v>106</v>
      </c>
      <c r="Q138" t="s">
        <v>107</v>
      </c>
      <c r="R138" t="s">
        <v>4850</v>
      </c>
      <c r="S138" t="s">
        <v>4851</v>
      </c>
      <c r="T138" t="s">
        <v>4465</v>
      </c>
      <c r="U138" t="s">
        <v>4466</v>
      </c>
      <c r="V138" t="s">
        <v>4467</v>
      </c>
      <c r="W138" t="s">
        <v>4475</v>
      </c>
      <c r="X138" t="s">
        <v>4469</v>
      </c>
      <c r="Y138" t="s">
        <v>4466</v>
      </c>
      <c r="Z138" t="s">
        <v>1013</v>
      </c>
      <c r="AA138" t="s">
        <v>4470</v>
      </c>
      <c r="AB138" t="s">
        <v>4467</v>
      </c>
      <c r="AC138" t="s">
        <v>61</v>
      </c>
      <c r="AD138" t="s">
        <v>19</v>
      </c>
      <c r="AE138" t="s">
        <v>19</v>
      </c>
      <c r="AF138" t="s">
        <v>115</v>
      </c>
      <c r="AG138" t="s">
        <v>89</v>
      </c>
      <c r="AH138" t="s">
        <v>22</v>
      </c>
      <c r="AI138" t="s">
        <v>22</v>
      </c>
      <c r="AJ138" t="s">
        <v>22</v>
      </c>
      <c r="AK138" t="s">
        <v>22</v>
      </c>
    </row>
    <row r="139" spans="1:37" ht="11.25" customHeight="1">
      <c r="A139" t="s">
        <v>22</v>
      </c>
      <c r="B139" t="s">
        <v>48</v>
      </c>
      <c r="C139" t="s">
        <v>50</v>
      </c>
      <c r="D139" t="s">
        <v>22</v>
      </c>
      <c r="E139" t="s">
        <v>4853</v>
      </c>
      <c r="F139" t="s">
        <v>1065</v>
      </c>
      <c r="G139" t="s">
        <v>106</v>
      </c>
      <c r="H139" t="s">
        <v>106</v>
      </c>
      <c r="I139" t="s">
        <v>107</v>
      </c>
      <c r="J139" t="s">
        <v>4854</v>
      </c>
      <c r="K139" t="s">
        <v>4855</v>
      </c>
      <c r="L139" t="s">
        <v>4856</v>
      </c>
      <c r="M139" t="s">
        <v>782</v>
      </c>
      <c r="N139" t="s">
        <v>114</v>
      </c>
      <c r="O139" t="s">
        <v>106</v>
      </c>
      <c r="P139" t="s">
        <v>106</v>
      </c>
      <c r="Q139" t="s">
        <v>107</v>
      </c>
      <c r="R139" t="s">
        <v>4854</v>
      </c>
      <c r="S139" t="s">
        <v>4855</v>
      </c>
      <c r="T139" t="s">
        <v>4465</v>
      </c>
      <c r="U139" t="s">
        <v>4466</v>
      </c>
      <c r="V139" t="s">
        <v>4467</v>
      </c>
      <c r="W139" t="s">
        <v>4468</v>
      </c>
      <c r="X139" t="s">
        <v>4469</v>
      </c>
      <c r="Y139" t="s">
        <v>4466</v>
      </c>
      <c r="Z139" t="s">
        <v>1013</v>
      </c>
      <c r="AA139" t="s">
        <v>4470</v>
      </c>
      <c r="AB139" t="s">
        <v>4467</v>
      </c>
      <c r="AC139" t="s">
        <v>61</v>
      </c>
      <c r="AD139" t="s">
        <v>19</v>
      </c>
      <c r="AE139" t="s">
        <v>19</v>
      </c>
      <c r="AF139" t="s">
        <v>4536</v>
      </c>
      <c r="AG139" t="s">
        <v>4857</v>
      </c>
      <c r="AH139" t="s">
        <v>22</v>
      </c>
      <c r="AI139" t="s">
        <v>22</v>
      </c>
      <c r="AJ139" t="s">
        <v>22</v>
      </c>
      <c r="AK139" t="s">
        <v>22</v>
      </c>
    </row>
    <row r="140" spans="1:37" ht="11.25" customHeight="1">
      <c r="A140" t="s">
        <v>22</v>
      </c>
      <c r="B140" t="s">
        <v>48</v>
      </c>
      <c r="C140" t="s">
        <v>50</v>
      </c>
      <c r="D140" t="s">
        <v>22</v>
      </c>
      <c r="E140" t="s">
        <v>4858</v>
      </c>
      <c r="F140" t="s">
        <v>1065</v>
      </c>
      <c r="G140" t="s">
        <v>106</v>
      </c>
      <c r="H140" t="s">
        <v>106</v>
      </c>
      <c r="I140" t="s">
        <v>107</v>
      </c>
      <c r="J140" t="s">
        <v>4859</v>
      </c>
      <c r="K140" t="s">
        <v>4860</v>
      </c>
      <c r="L140" t="s">
        <v>4861</v>
      </c>
      <c r="M140" t="s">
        <v>782</v>
      </c>
      <c r="N140" t="s">
        <v>114</v>
      </c>
      <c r="O140" t="s">
        <v>106</v>
      </c>
      <c r="P140" t="s">
        <v>106</v>
      </c>
      <c r="Q140" t="s">
        <v>107</v>
      </c>
      <c r="R140" t="s">
        <v>4859</v>
      </c>
      <c r="S140" t="s">
        <v>4860</v>
      </c>
      <c r="T140" t="s">
        <v>4465</v>
      </c>
      <c r="U140" t="s">
        <v>4466</v>
      </c>
      <c r="V140" t="s">
        <v>4467</v>
      </c>
      <c r="W140" t="s">
        <v>4468</v>
      </c>
      <c r="X140" t="s">
        <v>4469</v>
      </c>
      <c r="Y140" t="s">
        <v>4466</v>
      </c>
      <c r="Z140" t="s">
        <v>1013</v>
      </c>
      <c r="AA140" t="s">
        <v>4470</v>
      </c>
      <c r="AB140" t="s">
        <v>4467</v>
      </c>
      <c r="AC140" t="s">
        <v>61</v>
      </c>
      <c r="AD140" t="s">
        <v>19</v>
      </c>
      <c r="AE140" t="s">
        <v>19</v>
      </c>
      <c r="AF140" t="s">
        <v>1824</v>
      </c>
      <c r="AG140" t="s">
        <v>1803</v>
      </c>
      <c r="AH140" t="s">
        <v>22</v>
      </c>
      <c r="AI140" t="s">
        <v>22</v>
      </c>
      <c r="AJ140" t="s">
        <v>22</v>
      </c>
      <c r="AK140" t="s">
        <v>22</v>
      </c>
    </row>
    <row r="141" spans="1:37" ht="11.25" customHeight="1">
      <c r="A141" t="s">
        <v>22</v>
      </c>
      <c r="B141" t="s">
        <v>48</v>
      </c>
      <c r="C141" t="s">
        <v>50</v>
      </c>
      <c r="D141" t="s">
        <v>22</v>
      </c>
      <c r="E141" t="s">
        <v>4862</v>
      </c>
      <c r="F141" t="s">
        <v>1065</v>
      </c>
      <c r="G141" t="s">
        <v>106</v>
      </c>
      <c r="H141" t="s">
        <v>106</v>
      </c>
      <c r="I141" t="s">
        <v>107</v>
      </c>
      <c r="J141" t="s">
        <v>4863</v>
      </c>
      <c r="K141" t="s">
        <v>4864</v>
      </c>
      <c r="L141" t="s">
        <v>4865</v>
      </c>
      <c r="M141" t="s">
        <v>782</v>
      </c>
      <c r="N141" t="s">
        <v>114</v>
      </c>
      <c r="O141" t="s">
        <v>106</v>
      </c>
      <c r="P141" t="s">
        <v>106</v>
      </c>
      <c r="Q141" t="s">
        <v>107</v>
      </c>
      <c r="R141" t="s">
        <v>4863</v>
      </c>
      <c r="S141" t="s">
        <v>4864</v>
      </c>
      <c r="T141" t="s">
        <v>4465</v>
      </c>
      <c r="U141" t="s">
        <v>4466</v>
      </c>
      <c r="V141" t="s">
        <v>4467</v>
      </c>
      <c r="W141" t="s">
        <v>4468</v>
      </c>
      <c r="X141" t="s">
        <v>4469</v>
      </c>
      <c r="Y141" t="s">
        <v>4466</v>
      </c>
      <c r="Z141" t="s">
        <v>1013</v>
      </c>
      <c r="AA141" t="s">
        <v>4470</v>
      </c>
      <c r="AB141" t="s">
        <v>4467</v>
      </c>
      <c r="AC141" t="s">
        <v>61</v>
      </c>
      <c r="AD141" t="s">
        <v>19</v>
      </c>
      <c r="AE141" t="s">
        <v>19</v>
      </c>
      <c r="AF141" t="s">
        <v>1824</v>
      </c>
      <c r="AG141" t="s">
        <v>1803</v>
      </c>
      <c r="AH141" t="s">
        <v>22</v>
      </c>
      <c r="AI141" t="s">
        <v>22</v>
      </c>
      <c r="AJ141" t="s">
        <v>22</v>
      </c>
      <c r="AK141" t="s">
        <v>22</v>
      </c>
    </row>
    <row r="142" spans="1:37" ht="11.25" customHeight="1">
      <c r="A142" t="s">
        <v>22</v>
      </c>
      <c r="B142" t="s">
        <v>48</v>
      </c>
      <c r="C142" t="s">
        <v>50</v>
      </c>
      <c r="D142" t="s">
        <v>22</v>
      </c>
      <c r="E142" t="s">
        <v>4866</v>
      </c>
      <c r="F142" t="s">
        <v>1065</v>
      </c>
      <c r="G142" t="s">
        <v>99</v>
      </c>
      <c r="H142" t="s">
        <v>99</v>
      </c>
      <c r="I142" t="s">
        <v>100</v>
      </c>
      <c r="J142" t="s">
        <v>1066</v>
      </c>
      <c r="K142" t="s">
        <v>1067</v>
      </c>
      <c r="L142" t="s">
        <v>4739</v>
      </c>
      <c r="M142" t="s">
        <v>1013</v>
      </c>
      <c r="N142" t="s">
        <v>114</v>
      </c>
      <c r="O142" t="s">
        <v>4476</v>
      </c>
      <c r="P142" t="s">
        <v>4476</v>
      </c>
      <c r="Q142" t="s">
        <v>100</v>
      </c>
      <c r="R142" t="s">
        <v>1066</v>
      </c>
      <c r="S142" t="s">
        <v>1067</v>
      </c>
      <c r="T142" t="s">
        <v>4465</v>
      </c>
      <c r="U142" t="s">
        <v>4545</v>
      </c>
      <c r="V142" t="s">
        <v>4736</v>
      </c>
      <c r="W142" t="s">
        <v>4468</v>
      </c>
      <c r="X142" t="s">
        <v>4547</v>
      </c>
      <c r="Y142" t="s">
        <v>4545</v>
      </c>
      <c r="Z142" t="s">
        <v>159</v>
      </c>
      <c r="AA142" t="s">
        <v>4737</v>
      </c>
      <c r="AB142" t="s">
        <v>4736</v>
      </c>
      <c r="AC142" t="s">
        <v>61</v>
      </c>
      <c r="AD142" t="s">
        <v>19</v>
      </c>
      <c r="AE142" t="s">
        <v>19</v>
      </c>
      <c r="AF142" t="s">
        <v>4867</v>
      </c>
      <c r="AG142" t="s">
        <v>4868</v>
      </c>
      <c r="AH142" t="s">
        <v>22</v>
      </c>
      <c r="AI142" t="s">
        <v>22</v>
      </c>
      <c r="AJ142" t="s">
        <v>22</v>
      </c>
      <c r="AK142" t="s">
        <v>22</v>
      </c>
    </row>
    <row r="143" spans="1:37" ht="11.25" customHeight="1">
      <c r="A143" t="s">
        <v>22</v>
      </c>
      <c r="B143" t="s">
        <v>48</v>
      </c>
      <c r="C143" t="s">
        <v>50</v>
      </c>
      <c r="D143" t="s">
        <v>22</v>
      </c>
      <c r="E143" t="s">
        <v>4869</v>
      </c>
      <c r="F143" t="s">
        <v>1065</v>
      </c>
      <c r="G143" t="s">
        <v>99</v>
      </c>
      <c r="H143" t="s">
        <v>99</v>
      </c>
      <c r="I143" t="s">
        <v>100</v>
      </c>
      <c r="J143" t="s">
        <v>1066</v>
      </c>
      <c r="K143" t="s">
        <v>1067</v>
      </c>
      <c r="L143" t="s">
        <v>4870</v>
      </c>
      <c r="M143" t="s">
        <v>1013</v>
      </c>
      <c r="N143" t="s">
        <v>114</v>
      </c>
      <c r="O143" t="s">
        <v>4476</v>
      </c>
      <c r="P143" t="s">
        <v>4476</v>
      </c>
      <c r="Q143" t="s">
        <v>100</v>
      </c>
      <c r="R143" t="s">
        <v>1066</v>
      </c>
      <c r="S143" t="s">
        <v>1067</v>
      </c>
      <c r="T143" t="s">
        <v>4465</v>
      </c>
      <c r="U143" t="s">
        <v>4545</v>
      </c>
      <c r="V143" t="s">
        <v>4546</v>
      </c>
      <c r="W143" t="s">
        <v>4468</v>
      </c>
      <c r="X143" t="s">
        <v>4547</v>
      </c>
      <c r="Y143" t="s">
        <v>4545</v>
      </c>
      <c r="Z143" t="s">
        <v>4557</v>
      </c>
      <c r="AA143" t="s">
        <v>4549</v>
      </c>
      <c r="AB143" t="s">
        <v>4546</v>
      </c>
      <c r="AC143" t="s">
        <v>61</v>
      </c>
      <c r="AD143" t="s">
        <v>19</v>
      </c>
      <c r="AE143" t="s">
        <v>19</v>
      </c>
      <c r="AF143" t="s">
        <v>4871</v>
      </c>
      <c r="AG143" t="s">
        <v>4872</v>
      </c>
      <c r="AH143" t="s">
        <v>22</v>
      </c>
      <c r="AI143" t="s">
        <v>22</v>
      </c>
      <c r="AJ143" t="s">
        <v>22</v>
      </c>
      <c r="AK143" t="s">
        <v>22</v>
      </c>
    </row>
    <row r="144" spans="1:37" ht="11.25" customHeight="1">
      <c r="A144" t="s">
        <v>22</v>
      </c>
      <c r="B144" t="s">
        <v>48</v>
      </c>
      <c r="C144" t="s">
        <v>50</v>
      </c>
      <c r="D144" t="s">
        <v>22</v>
      </c>
      <c r="E144" t="s">
        <v>4873</v>
      </c>
      <c r="F144" t="s">
        <v>1065</v>
      </c>
      <c r="G144" t="s">
        <v>106</v>
      </c>
      <c r="H144" t="s">
        <v>106</v>
      </c>
      <c r="I144" t="s">
        <v>107</v>
      </c>
      <c r="J144" t="s">
        <v>4874</v>
      </c>
      <c r="K144" t="s">
        <v>4875</v>
      </c>
      <c r="L144" t="s">
        <v>4876</v>
      </c>
      <c r="M144" t="s">
        <v>782</v>
      </c>
      <c r="N144" t="s">
        <v>114</v>
      </c>
      <c r="O144" t="s">
        <v>106</v>
      </c>
      <c r="P144" t="s">
        <v>106</v>
      </c>
      <c r="Q144" t="s">
        <v>107</v>
      </c>
      <c r="R144" t="s">
        <v>4874</v>
      </c>
      <c r="S144" t="s">
        <v>4875</v>
      </c>
      <c r="T144" t="s">
        <v>4465</v>
      </c>
      <c r="U144" t="s">
        <v>4466</v>
      </c>
      <c r="V144" t="s">
        <v>4467</v>
      </c>
      <c r="W144" t="s">
        <v>4468</v>
      </c>
      <c r="X144" t="s">
        <v>4469</v>
      </c>
      <c r="Y144" t="s">
        <v>4466</v>
      </c>
      <c r="Z144" t="s">
        <v>1013</v>
      </c>
      <c r="AA144" t="s">
        <v>4470</v>
      </c>
      <c r="AB144" t="s">
        <v>4467</v>
      </c>
      <c r="AC144" t="s">
        <v>61</v>
      </c>
      <c r="AD144" t="s">
        <v>19</v>
      </c>
      <c r="AE144" t="s">
        <v>19</v>
      </c>
      <c r="AF144" t="s">
        <v>4877</v>
      </c>
      <c r="AG144" t="s">
        <v>1841</v>
      </c>
      <c r="AH144" t="s">
        <v>22</v>
      </c>
      <c r="AI144" t="s">
        <v>22</v>
      </c>
      <c r="AJ144" t="s">
        <v>22</v>
      </c>
      <c r="AK144" t="s">
        <v>22</v>
      </c>
    </row>
    <row r="145" spans="1:37" ht="11.25" customHeight="1">
      <c r="A145" t="s">
        <v>22</v>
      </c>
      <c r="B145" t="s">
        <v>48</v>
      </c>
      <c r="C145" t="s">
        <v>50</v>
      </c>
      <c r="D145" t="s">
        <v>22</v>
      </c>
      <c r="E145" t="s">
        <v>4878</v>
      </c>
      <c r="F145" t="s">
        <v>1065</v>
      </c>
      <c r="G145" t="s">
        <v>106</v>
      </c>
      <c r="H145" t="s">
        <v>106</v>
      </c>
      <c r="I145" t="s">
        <v>107</v>
      </c>
      <c r="J145" t="s">
        <v>4879</v>
      </c>
      <c r="K145" t="s">
        <v>4880</v>
      </c>
      <c r="L145" t="s">
        <v>4881</v>
      </c>
      <c r="M145" t="s">
        <v>782</v>
      </c>
      <c r="N145" t="s">
        <v>114</v>
      </c>
      <c r="O145" t="s">
        <v>106</v>
      </c>
      <c r="P145" t="s">
        <v>106</v>
      </c>
      <c r="Q145" t="s">
        <v>107</v>
      </c>
      <c r="R145" t="s">
        <v>4879</v>
      </c>
      <c r="S145" t="s">
        <v>4880</v>
      </c>
      <c r="T145" t="s">
        <v>4465</v>
      </c>
      <c r="U145" t="s">
        <v>4466</v>
      </c>
      <c r="V145" t="s">
        <v>4467</v>
      </c>
      <c r="W145" t="s">
        <v>4468</v>
      </c>
      <c r="X145" t="s">
        <v>4469</v>
      </c>
      <c r="Y145" t="s">
        <v>4466</v>
      </c>
      <c r="Z145" t="s">
        <v>1013</v>
      </c>
      <c r="AA145" t="s">
        <v>4470</v>
      </c>
      <c r="AB145" t="s">
        <v>4467</v>
      </c>
      <c r="AC145" t="s">
        <v>61</v>
      </c>
      <c r="AD145" t="s">
        <v>19</v>
      </c>
      <c r="AE145" t="s">
        <v>19</v>
      </c>
      <c r="AF145" t="s">
        <v>4503</v>
      </c>
      <c r="AG145" t="s">
        <v>4503</v>
      </c>
      <c r="AH145" t="s">
        <v>22</v>
      </c>
      <c r="AI145" t="s">
        <v>22</v>
      </c>
      <c r="AJ145" t="s">
        <v>22</v>
      </c>
      <c r="AK145" t="s">
        <v>22</v>
      </c>
    </row>
    <row r="146" spans="1:37" ht="11.25" customHeight="1">
      <c r="A146" t="s">
        <v>22</v>
      </c>
      <c r="B146" t="s">
        <v>48</v>
      </c>
      <c r="C146" t="s">
        <v>50</v>
      </c>
      <c r="D146" t="s">
        <v>22</v>
      </c>
      <c r="E146" t="s">
        <v>1108</v>
      </c>
      <c r="F146" t="s">
        <v>1075</v>
      </c>
      <c r="G146" t="s">
        <v>99</v>
      </c>
      <c r="H146" t="s">
        <v>99</v>
      </c>
      <c r="I146" t="s">
        <v>100</v>
      </c>
      <c r="J146" t="s">
        <v>1066</v>
      </c>
      <c r="K146" t="s">
        <v>1067</v>
      </c>
      <c r="L146" t="s">
        <v>1109</v>
      </c>
      <c r="M146" t="s">
        <v>1013</v>
      </c>
      <c r="N146" t="s">
        <v>114</v>
      </c>
      <c r="O146" t="s">
        <v>4476</v>
      </c>
      <c r="P146" t="s">
        <v>4476</v>
      </c>
      <c r="Q146" t="s">
        <v>100</v>
      </c>
      <c r="R146" t="s">
        <v>1066</v>
      </c>
      <c r="S146" t="s">
        <v>1067</v>
      </c>
      <c r="T146" t="s">
        <v>4465</v>
      </c>
      <c r="U146" t="s">
        <v>4466</v>
      </c>
      <c r="V146" t="s">
        <v>4477</v>
      </c>
      <c r="W146" t="s">
        <v>4468</v>
      </c>
      <c r="X146" t="s">
        <v>4469</v>
      </c>
      <c r="Y146" t="s">
        <v>4466</v>
      </c>
      <c r="Z146" t="s">
        <v>1013</v>
      </c>
      <c r="AA146" t="s">
        <v>4478</v>
      </c>
      <c r="AB146" t="s">
        <v>4477</v>
      </c>
      <c r="AC146" t="s">
        <v>19</v>
      </c>
      <c r="AD146" t="s">
        <v>61</v>
      </c>
      <c r="AE146" t="s">
        <v>19</v>
      </c>
      <c r="AF146" t="s">
        <v>22</v>
      </c>
      <c r="AG146" t="s">
        <v>22</v>
      </c>
      <c r="AH146" t="s">
        <v>4882</v>
      </c>
      <c r="AI146" t="s">
        <v>4883</v>
      </c>
      <c r="AJ146" t="s">
        <v>22</v>
      </c>
      <c r="AK146" t="s">
        <v>22</v>
      </c>
    </row>
    <row r="147" spans="1:37" ht="11.25" customHeight="1">
      <c r="A147" t="s">
        <v>22</v>
      </c>
      <c r="B147" t="s">
        <v>48</v>
      </c>
      <c r="C147" t="s">
        <v>50</v>
      </c>
      <c r="D147" t="s">
        <v>22</v>
      </c>
      <c r="E147" t="s">
        <v>4884</v>
      </c>
      <c r="F147" t="s">
        <v>4885</v>
      </c>
      <c r="G147" t="s">
        <v>106</v>
      </c>
      <c r="H147" t="s">
        <v>106</v>
      </c>
      <c r="I147" t="s">
        <v>107</v>
      </c>
      <c r="J147" t="s">
        <v>4719</v>
      </c>
      <c r="K147" t="s">
        <v>4720</v>
      </c>
      <c r="L147" t="s">
        <v>4721</v>
      </c>
      <c r="M147" t="s">
        <v>782</v>
      </c>
      <c r="N147" t="s">
        <v>114</v>
      </c>
      <c r="O147" t="s">
        <v>106</v>
      </c>
      <c r="P147" t="s">
        <v>106</v>
      </c>
      <c r="Q147" t="s">
        <v>107</v>
      </c>
      <c r="R147" t="s">
        <v>4719</v>
      </c>
      <c r="S147" t="s">
        <v>4720</v>
      </c>
      <c r="T147" t="s">
        <v>4465</v>
      </c>
      <c r="U147" t="s">
        <v>4466</v>
      </c>
      <c r="V147" t="s">
        <v>4467</v>
      </c>
      <c r="W147" t="s">
        <v>4468</v>
      </c>
      <c r="X147" t="s">
        <v>4469</v>
      </c>
      <c r="Y147" t="s">
        <v>4466</v>
      </c>
      <c r="Z147" t="s">
        <v>1013</v>
      </c>
      <c r="AA147" t="s">
        <v>4470</v>
      </c>
      <c r="AB147" t="s">
        <v>4467</v>
      </c>
      <c r="AC147" t="s">
        <v>19</v>
      </c>
      <c r="AD147" t="s">
        <v>19</v>
      </c>
      <c r="AE147" t="s">
        <v>61</v>
      </c>
      <c r="AF147" t="s">
        <v>22</v>
      </c>
      <c r="AG147" t="s">
        <v>22</v>
      </c>
      <c r="AH147" t="s">
        <v>22</v>
      </c>
      <c r="AI147" t="s">
        <v>22</v>
      </c>
      <c r="AJ147" t="s">
        <v>4580</v>
      </c>
      <c r="AK147" t="s">
        <v>1136</v>
      </c>
    </row>
    <row r="148" spans="1:37" ht="11.25" customHeight="1">
      <c r="A148" t="s">
        <v>22</v>
      </c>
      <c r="B148" t="s">
        <v>48</v>
      </c>
      <c r="C148" t="s">
        <v>50</v>
      </c>
      <c r="D148" t="s">
        <v>22</v>
      </c>
      <c r="E148" t="s">
        <v>4886</v>
      </c>
      <c r="F148" t="s">
        <v>4885</v>
      </c>
      <c r="G148" t="s">
        <v>106</v>
      </c>
      <c r="H148" t="s">
        <v>106</v>
      </c>
      <c r="I148" t="s">
        <v>107</v>
      </c>
      <c r="J148" t="s">
        <v>4887</v>
      </c>
      <c r="K148" t="s">
        <v>4888</v>
      </c>
      <c r="L148" t="s">
        <v>4889</v>
      </c>
      <c r="M148" t="s">
        <v>1013</v>
      </c>
      <c r="N148" t="s">
        <v>114</v>
      </c>
      <c r="O148" t="s">
        <v>106</v>
      </c>
      <c r="P148" t="s">
        <v>106</v>
      </c>
      <c r="Q148" t="s">
        <v>107</v>
      </c>
      <c r="R148" t="s">
        <v>4887</v>
      </c>
      <c r="S148" t="s">
        <v>4888</v>
      </c>
      <c r="T148" t="s">
        <v>4465</v>
      </c>
      <c r="U148" t="s">
        <v>4466</v>
      </c>
      <c r="V148" t="s">
        <v>4467</v>
      </c>
      <c r="W148" t="s">
        <v>4475</v>
      </c>
      <c r="X148" t="s">
        <v>4469</v>
      </c>
      <c r="Y148" t="s">
        <v>4466</v>
      </c>
      <c r="Z148" t="s">
        <v>1013</v>
      </c>
      <c r="AA148" t="s">
        <v>4470</v>
      </c>
      <c r="AB148" t="s">
        <v>4467</v>
      </c>
      <c r="AC148" t="s">
        <v>19</v>
      </c>
      <c r="AD148" t="s">
        <v>19</v>
      </c>
      <c r="AE148" t="s">
        <v>61</v>
      </c>
      <c r="AF148" t="s">
        <v>22</v>
      </c>
      <c r="AG148" t="s">
        <v>22</v>
      </c>
      <c r="AH148" t="s">
        <v>22</v>
      </c>
      <c r="AI148" t="s">
        <v>22</v>
      </c>
      <c r="AJ148" t="s">
        <v>115</v>
      </c>
      <c r="AK148" t="s">
        <v>384</v>
      </c>
    </row>
    <row r="149" spans="1:37" ht="11.25" customHeight="1">
      <c r="A149" t="s">
        <v>22</v>
      </c>
      <c r="B149" t="s">
        <v>48</v>
      </c>
      <c r="C149" t="s">
        <v>50</v>
      </c>
      <c r="D149" t="s">
        <v>22</v>
      </c>
      <c r="E149" t="s">
        <v>4890</v>
      </c>
      <c r="F149" t="s">
        <v>4885</v>
      </c>
      <c r="G149" t="s">
        <v>99</v>
      </c>
      <c r="H149" t="s">
        <v>99</v>
      </c>
      <c r="I149" t="s">
        <v>100</v>
      </c>
      <c r="J149" t="s">
        <v>1066</v>
      </c>
      <c r="K149" t="s">
        <v>1067</v>
      </c>
      <c r="L149" t="s">
        <v>4891</v>
      </c>
      <c r="M149" t="s">
        <v>1013</v>
      </c>
      <c r="N149" t="s">
        <v>114</v>
      </c>
      <c r="O149" t="s">
        <v>4476</v>
      </c>
      <c r="P149" t="s">
        <v>4476</v>
      </c>
      <c r="Q149" t="s">
        <v>100</v>
      </c>
      <c r="R149" t="s">
        <v>1066</v>
      </c>
      <c r="S149" t="s">
        <v>1067</v>
      </c>
      <c r="T149" t="s">
        <v>4465</v>
      </c>
      <c r="U149" t="s">
        <v>4545</v>
      </c>
      <c r="V149" t="s">
        <v>4892</v>
      </c>
      <c r="W149" t="s">
        <v>4468</v>
      </c>
      <c r="X149" t="s">
        <v>4547</v>
      </c>
      <c r="Y149" t="s">
        <v>4545</v>
      </c>
      <c r="Z149" t="s">
        <v>159</v>
      </c>
      <c r="AA149" t="s">
        <v>4737</v>
      </c>
      <c r="AB149" t="s">
        <v>4892</v>
      </c>
      <c r="AC149" t="s">
        <v>19</v>
      </c>
      <c r="AD149" t="s">
        <v>19</v>
      </c>
      <c r="AE149" t="s">
        <v>61</v>
      </c>
      <c r="AF149" t="s">
        <v>22</v>
      </c>
      <c r="AG149" t="s">
        <v>22</v>
      </c>
      <c r="AH149" t="s">
        <v>22</v>
      </c>
      <c r="AI149" t="s">
        <v>22</v>
      </c>
      <c r="AJ149" t="s">
        <v>4893</v>
      </c>
      <c r="AK149" t="s">
        <v>4894</v>
      </c>
    </row>
    <row r="150" spans="1:37" ht="11.25" customHeight="1">
      <c r="A150" t="s">
        <v>22</v>
      </c>
      <c r="B150" t="s">
        <v>48</v>
      </c>
      <c r="C150" t="s">
        <v>50</v>
      </c>
      <c r="D150" t="s">
        <v>22</v>
      </c>
      <c r="E150" t="s">
        <v>4895</v>
      </c>
      <c r="F150" t="s">
        <v>4885</v>
      </c>
      <c r="G150" t="s">
        <v>99</v>
      </c>
      <c r="H150" t="s">
        <v>99</v>
      </c>
      <c r="I150" t="s">
        <v>100</v>
      </c>
      <c r="J150" t="s">
        <v>1066</v>
      </c>
      <c r="K150" t="s">
        <v>1067</v>
      </c>
      <c r="L150" t="s">
        <v>4896</v>
      </c>
      <c r="M150" t="s">
        <v>1013</v>
      </c>
      <c r="N150" t="s">
        <v>114</v>
      </c>
      <c r="O150" t="s">
        <v>4476</v>
      </c>
      <c r="P150" t="s">
        <v>4476</v>
      </c>
      <c r="Q150" t="s">
        <v>100</v>
      </c>
      <c r="R150" t="s">
        <v>1066</v>
      </c>
      <c r="S150" t="s">
        <v>1067</v>
      </c>
      <c r="T150" t="s">
        <v>4465</v>
      </c>
      <c r="U150" t="s">
        <v>4466</v>
      </c>
      <c r="V150" t="s">
        <v>4897</v>
      </c>
      <c r="W150" t="s">
        <v>4468</v>
      </c>
      <c r="X150" t="s">
        <v>4469</v>
      </c>
      <c r="Y150" t="s">
        <v>4466</v>
      </c>
      <c r="Z150" t="s">
        <v>1013</v>
      </c>
      <c r="AA150" t="s">
        <v>4478</v>
      </c>
      <c r="AB150" t="s">
        <v>4897</v>
      </c>
      <c r="AC150" t="s">
        <v>19</v>
      </c>
      <c r="AD150" t="s">
        <v>19</v>
      </c>
      <c r="AE150" t="s">
        <v>61</v>
      </c>
      <c r="AF150" t="s">
        <v>22</v>
      </c>
      <c r="AG150" t="s">
        <v>22</v>
      </c>
      <c r="AH150" t="s">
        <v>22</v>
      </c>
      <c r="AI150" t="s">
        <v>22</v>
      </c>
      <c r="AJ150" t="s">
        <v>4898</v>
      </c>
      <c r="AK150" t="s">
        <v>4899</v>
      </c>
    </row>
    <row r="151" spans="1:37" ht="11.25" customHeight="1">
      <c r="A151" t="s">
        <v>22</v>
      </c>
      <c r="B151" t="s">
        <v>48</v>
      </c>
      <c r="C151" t="s">
        <v>50</v>
      </c>
      <c r="D151" t="s">
        <v>22</v>
      </c>
      <c r="E151" t="s">
        <v>4900</v>
      </c>
      <c r="F151" t="s">
        <v>4885</v>
      </c>
      <c r="G151" t="s">
        <v>99</v>
      </c>
      <c r="H151" t="s">
        <v>99</v>
      </c>
      <c r="I151" t="s">
        <v>100</v>
      </c>
      <c r="J151" t="s">
        <v>1066</v>
      </c>
      <c r="K151" t="s">
        <v>1067</v>
      </c>
      <c r="L151" t="s">
        <v>4901</v>
      </c>
      <c r="M151" t="s">
        <v>1013</v>
      </c>
      <c r="N151" t="s">
        <v>114</v>
      </c>
      <c r="O151" t="s">
        <v>4476</v>
      </c>
      <c r="P151" t="s">
        <v>4476</v>
      </c>
      <c r="Q151" t="s">
        <v>100</v>
      </c>
      <c r="R151" t="s">
        <v>1066</v>
      </c>
      <c r="S151" t="s">
        <v>1067</v>
      </c>
      <c r="T151" t="s">
        <v>4465</v>
      </c>
      <c r="U151" t="s">
        <v>4466</v>
      </c>
      <c r="V151" t="s">
        <v>4902</v>
      </c>
      <c r="W151" t="s">
        <v>4468</v>
      </c>
      <c r="X151" t="s">
        <v>4469</v>
      </c>
      <c r="Y151" t="s">
        <v>4466</v>
      </c>
      <c r="Z151" t="s">
        <v>1013</v>
      </c>
      <c r="AA151" t="s">
        <v>4478</v>
      </c>
      <c r="AB151" t="s">
        <v>4902</v>
      </c>
      <c r="AC151" t="s">
        <v>19</v>
      </c>
      <c r="AD151" t="s">
        <v>19</v>
      </c>
      <c r="AE151" t="s">
        <v>61</v>
      </c>
      <c r="AF151" t="s">
        <v>22</v>
      </c>
      <c r="AG151" t="s">
        <v>22</v>
      </c>
      <c r="AH151" t="s">
        <v>22</v>
      </c>
      <c r="AI151" t="s">
        <v>22</v>
      </c>
      <c r="AJ151" t="s">
        <v>4903</v>
      </c>
      <c r="AK151" t="s">
        <v>4904</v>
      </c>
    </row>
    <row r="152" spans="1:37" ht="11.25" customHeight="1">
      <c r="A152" t="s">
        <v>22</v>
      </c>
      <c r="B152" t="s">
        <v>48</v>
      </c>
      <c r="C152" t="s">
        <v>50</v>
      </c>
      <c r="D152" t="s">
        <v>22</v>
      </c>
      <c r="E152" t="s">
        <v>4905</v>
      </c>
      <c r="F152" t="s">
        <v>4885</v>
      </c>
      <c r="G152" t="s">
        <v>106</v>
      </c>
      <c r="H152" t="s">
        <v>106</v>
      </c>
      <c r="I152" t="s">
        <v>107</v>
      </c>
      <c r="J152" t="s">
        <v>4879</v>
      </c>
      <c r="K152" t="s">
        <v>4880</v>
      </c>
      <c r="L152" t="s">
        <v>4906</v>
      </c>
      <c r="M152" t="s">
        <v>782</v>
      </c>
      <c r="N152" t="s">
        <v>114</v>
      </c>
      <c r="O152" t="s">
        <v>106</v>
      </c>
      <c r="P152" t="s">
        <v>106</v>
      </c>
      <c r="Q152" t="s">
        <v>107</v>
      </c>
      <c r="R152" t="s">
        <v>4879</v>
      </c>
      <c r="S152" t="s">
        <v>4880</v>
      </c>
      <c r="T152" t="s">
        <v>4567</v>
      </c>
      <c r="U152" t="s">
        <v>4677</v>
      </c>
      <c r="V152" t="s">
        <v>4907</v>
      </c>
      <c r="W152" t="s">
        <v>4468</v>
      </c>
      <c r="X152" t="s">
        <v>4569</v>
      </c>
      <c r="Y152" t="s">
        <v>4570</v>
      </c>
      <c r="Z152" t="s">
        <v>1013</v>
      </c>
      <c r="AA152" t="s">
        <v>4908</v>
      </c>
      <c r="AB152" t="s">
        <v>4907</v>
      </c>
      <c r="AC152" t="s">
        <v>19</v>
      </c>
      <c r="AD152" t="s">
        <v>19</v>
      </c>
      <c r="AE152" t="s">
        <v>61</v>
      </c>
      <c r="AF152" t="s">
        <v>22</v>
      </c>
      <c r="AG152" t="s">
        <v>22</v>
      </c>
      <c r="AH152" t="s">
        <v>22</v>
      </c>
      <c r="AI152" t="s">
        <v>22</v>
      </c>
      <c r="AJ152" t="s">
        <v>1824</v>
      </c>
      <c r="AK152" t="s">
        <v>1158</v>
      </c>
    </row>
    <row r="153" spans="1:37" ht="11.25" customHeight="1">
      <c r="A153" t="s">
        <v>22</v>
      </c>
      <c r="B153" t="s">
        <v>48</v>
      </c>
      <c r="C153" t="s">
        <v>50</v>
      </c>
      <c r="D153" t="s">
        <v>22</v>
      </c>
      <c r="E153" t="s">
        <v>4909</v>
      </c>
      <c r="F153" t="s">
        <v>4885</v>
      </c>
      <c r="G153" t="s">
        <v>106</v>
      </c>
      <c r="H153" t="s">
        <v>106</v>
      </c>
      <c r="I153" t="s">
        <v>107</v>
      </c>
      <c r="J153" t="s">
        <v>4472</v>
      </c>
      <c r="K153" t="s">
        <v>4473</v>
      </c>
      <c r="L153" t="s">
        <v>4474</v>
      </c>
      <c r="M153" t="s">
        <v>782</v>
      </c>
      <c r="N153" t="s">
        <v>114</v>
      </c>
      <c r="O153" t="s">
        <v>106</v>
      </c>
      <c r="P153" t="s">
        <v>106</v>
      </c>
      <c r="Q153" t="s">
        <v>107</v>
      </c>
      <c r="R153" t="s">
        <v>4472</v>
      </c>
      <c r="S153" t="s">
        <v>4473</v>
      </c>
      <c r="T153" t="s">
        <v>4465</v>
      </c>
      <c r="U153" t="s">
        <v>4466</v>
      </c>
      <c r="V153" t="s">
        <v>4467</v>
      </c>
      <c r="W153" t="s">
        <v>4468</v>
      </c>
      <c r="X153" t="s">
        <v>4469</v>
      </c>
      <c r="Y153" t="s">
        <v>4466</v>
      </c>
      <c r="Z153" t="s">
        <v>1013</v>
      </c>
      <c r="AA153" t="s">
        <v>4470</v>
      </c>
      <c r="AB153" t="s">
        <v>4467</v>
      </c>
      <c r="AC153" t="s">
        <v>19</v>
      </c>
      <c r="AD153" t="s">
        <v>19</v>
      </c>
      <c r="AE153" t="s">
        <v>61</v>
      </c>
      <c r="AF153" t="s">
        <v>22</v>
      </c>
      <c r="AG153" t="s">
        <v>22</v>
      </c>
      <c r="AH153" t="s">
        <v>22</v>
      </c>
      <c r="AI153" t="s">
        <v>22</v>
      </c>
      <c r="AJ153" t="s">
        <v>384</v>
      </c>
      <c r="AK153" t="s">
        <v>116</v>
      </c>
    </row>
    <row r="154" spans="1:37" ht="11.25" customHeight="1">
      <c r="A154" t="s">
        <v>22</v>
      </c>
      <c r="B154" t="s">
        <v>48</v>
      </c>
      <c r="C154" t="s">
        <v>50</v>
      </c>
      <c r="D154" t="s">
        <v>22</v>
      </c>
      <c r="E154" t="s">
        <v>4910</v>
      </c>
      <c r="F154" t="s">
        <v>4885</v>
      </c>
      <c r="G154" t="s">
        <v>106</v>
      </c>
      <c r="H154" t="s">
        <v>106</v>
      </c>
      <c r="I154" t="s">
        <v>107</v>
      </c>
      <c r="J154" t="s">
        <v>4911</v>
      </c>
      <c r="K154" t="s">
        <v>4912</v>
      </c>
      <c r="L154" t="s">
        <v>4913</v>
      </c>
      <c r="M154" t="s">
        <v>782</v>
      </c>
      <c r="N154" t="s">
        <v>114</v>
      </c>
      <c r="O154" t="s">
        <v>106</v>
      </c>
      <c r="P154" t="s">
        <v>106</v>
      </c>
      <c r="Q154" t="s">
        <v>107</v>
      </c>
      <c r="R154" t="s">
        <v>4911</v>
      </c>
      <c r="S154" t="s">
        <v>4912</v>
      </c>
      <c r="T154" t="s">
        <v>4465</v>
      </c>
      <c r="U154" t="s">
        <v>4466</v>
      </c>
      <c r="V154" t="s">
        <v>4467</v>
      </c>
      <c r="W154" t="s">
        <v>4468</v>
      </c>
      <c r="X154" t="s">
        <v>4469</v>
      </c>
      <c r="Y154" t="s">
        <v>4466</v>
      </c>
      <c r="Z154" t="s">
        <v>1013</v>
      </c>
      <c r="AA154" t="s">
        <v>4470</v>
      </c>
      <c r="AB154" t="s">
        <v>4467</v>
      </c>
      <c r="AC154" t="s">
        <v>19</v>
      </c>
      <c r="AD154" t="s">
        <v>19</v>
      </c>
      <c r="AE154" t="s">
        <v>61</v>
      </c>
      <c r="AF154" t="s">
        <v>22</v>
      </c>
      <c r="AG154" t="s">
        <v>22</v>
      </c>
      <c r="AH154" t="s">
        <v>22</v>
      </c>
      <c r="AI154" t="s">
        <v>22</v>
      </c>
      <c r="AJ154" t="s">
        <v>384</v>
      </c>
      <c r="AK154" t="s">
        <v>160</v>
      </c>
    </row>
    <row r="155" spans="1:37" ht="11.25" customHeight="1">
      <c r="A155" t="s">
        <v>22</v>
      </c>
      <c r="B155" t="s">
        <v>48</v>
      </c>
      <c r="C155" t="s">
        <v>50</v>
      </c>
      <c r="D155" t="s">
        <v>22</v>
      </c>
      <c r="E155" t="s">
        <v>4914</v>
      </c>
      <c r="F155" t="s">
        <v>1075</v>
      </c>
      <c r="G155" t="s">
        <v>106</v>
      </c>
      <c r="H155" t="s">
        <v>106</v>
      </c>
      <c r="I155" t="s">
        <v>107</v>
      </c>
      <c r="J155" t="s">
        <v>4472</v>
      </c>
      <c r="K155" t="s">
        <v>4473</v>
      </c>
      <c r="L155" t="s">
        <v>4474</v>
      </c>
      <c r="M155" t="s">
        <v>782</v>
      </c>
      <c r="N155" t="s">
        <v>114</v>
      </c>
      <c r="O155" t="s">
        <v>106</v>
      </c>
      <c r="P155" t="s">
        <v>106</v>
      </c>
      <c r="Q155" t="s">
        <v>107</v>
      </c>
      <c r="R155" t="s">
        <v>4472</v>
      </c>
      <c r="S155" t="s">
        <v>4473</v>
      </c>
      <c r="T155" t="s">
        <v>4465</v>
      </c>
      <c r="U155" t="s">
        <v>4466</v>
      </c>
      <c r="V155" t="s">
        <v>4467</v>
      </c>
      <c r="W155" t="s">
        <v>4475</v>
      </c>
      <c r="X155" t="s">
        <v>4469</v>
      </c>
      <c r="Y155" t="s">
        <v>4466</v>
      </c>
      <c r="Z155" t="s">
        <v>1013</v>
      </c>
      <c r="AA155" t="s">
        <v>4470</v>
      </c>
      <c r="AB155" t="s">
        <v>4467</v>
      </c>
      <c r="AC155" t="s">
        <v>19</v>
      </c>
      <c r="AD155" t="s">
        <v>61</v>
      </c>
      <c r="AE155" t="s">
        <v>19</v>
      </c>
      <c r="AF155" t="s">
        <v>22</v>
      </c>
      <c r="AG155" t="s">
        <v>22</v>
      </c>
      <c r="AH155" t="s">
        <v>115</v>
      </c>
      <c r="AI155" t="s">
        <v>90</v>
      </c>
      <c r="AJ155" t="s">
        <v>22</v>
      </c>
      <c r="AK155" t="s">
        <v>22</v>
      </c>
    </row>
    <row r="156" spans="1:37" ht="11.25" customHeight="1">
      <c r="A156" t="s">
        <v>22</v>
      </c>
      <c r="B156" t="s">
        <v>48</v>
      </c>
      <c r="C156" t="s">
        <v>50</v>
      </c>
      <c r="D156" t="s">
        <v>22</v>
      </c>
      <c r="E156" t="s">
        <v>4915</v>
      </c>
      <c r="F156" t="s">
        <v>4885</v>
      </c>
      <c r="G156" t="s">
        <v>106</v>
      </c>
      <c r="H156" t="s">
        <v>106</v>
      </c>
      <c r="I156" t="s">
        <v>107</v>
      </c>
      <c r="J156" t="s">
        <v>4916</v>
      </c>
      <c r="K156" t="s">
        <v>4917</v>
      </c>
      <c r="L156" t="s">
        <v>4918</v>
      </c>
      <c r="M156" t="s">
        <v>782</v>
      </c>
      <c r="N156" t="s">
        <v>114</v>
      </c>
      <c r="O156" t="s">
        <v>106</v>
      </c>
      <c r="P156" t="s">
        <v>106</v>
      </c>
      <c r="Q156" t="s">
        <v>107</v>
      </c>
      <c r="R156" t="s">
        <v>4916</v>
      </c>
      <c r="S156" t="s">
        <v>4917</v>
      </c>
      <c r="T156" t="s">
        <v>4567</v>
      </c>
      <c r="U156" t="s">
        <v>4677</v>
      </c>
      <c r="V156" t="s">
        <v>4919</v>
      </c>
      <c r="W156" t="s">
        <v>4468</v>
      </c>
      <c r="X156" t="s">
        <v>4569</v>
      </c>
      <c r="Y156" t="s">
        <v>4570</v>
      </c>
      <c r="Z156" t="s">
        <v>1013</v>
      </c>
      <c r="AA156" t="s">
        <v>4920</v>
      </c>
      <c r="AB156" t="s">
        <v>4919</v>
      </c>
      <c r="AC156" t="s">
        <v>19</v>
      </c>
      <c r="AD156" t="s">
        <v>19</v>
      </c>
      <c r="AE156" t="s">
        <v>61</v>
      </c>
      <c r="AF156" t="s">
        <v>22</v>
      </c>
      <c r="AG156" t="s">
        <v>22</v>
      </c>
      <c r="AH156" t="s">
        <v>22</v>
      </c>
      <c r="AI156" t="s">
        <v>22</v>
      </c>
      <c r="AJ156" t="s">
        <v>384</v>
      </c>
      <c r="AK156" t="s">
        <v>114</v>
      </c>
    </row>
    <row r="157" spans="1:37" ht="11.25" customHeight="1">
      <c r="A157" t="s">
        <v>22</v>
      </c>
      <c r="B157" t="s">
        <v>48</v>
      </c>
      <c r="C157" t="s">
        <v>50</v>
      </c>
      <c r="D157" t="s">
        <v>22</v>
      </c>
      <c r="E157" t="s">
        <v>4921</v>
      </c>
      <c r="F157" t="s">
        <v>4885</v>
      </c>
      <c r="G157" t="s">
        <v>106</v>
      </c>
      <c r="H157" t="s">
        <v>106</v>
      </c>
      <c r="I157" t="s">
        <v>107</v>
      </c>
      <c r="J157" t="s">
        <v>4887</v>
      </c>
      <c r="K157" t="s">
        <v>4888</v>
      </c>
      <c r="L157" t="s">
        <v>4889</v>
      </c>
      <c r="M157" t="s">
        <v>1013</v>
      </c>
      <c r="N157" t="s">
        <v>114</v>
      </c>
      <c r="O157" t="s">
        <v>106</v>
      </c>
      <c r="P157" t="s">
        <v>106</v>
      </c>
      <c r="Q157" t="s">
        <v>107</v>
      </c>
      <c r="R157" t="s">
        <v>4887</v>
      </c>
      <c r="S157" t="s">
        <v>4888</v>
      </c>
      <c r="T157" t="s">
        <v>4465</v>
      </c>
      <c r="U157" t="s">
        <v>4466</v>
      </c>
      <c r="V157" t="s">
        <v>4467</v>
      </c>
      <c r="W157" t="s">
        <v>4475</v>
      </c>
      <c r="X157" t="s">
        <v>4469</v>
      </c>
      <c r="Y157" t="s">
        <v>4466</v>
      </c>
      <c r="Z157" t="s">
        <v>1013</v>
      </c>
      <c r="AA157" t="s">
        <v>4470</v>
      </c>
      <c r="AB157" t="s">
        <v>4467</v>
      </c>
      <c r="AC157" t="s">
        <v>19</v>
      </c>
      <c r="AD157" t="s">
        <v>19</v>
      </c>
      <c r="AE157" t="s">
        <v>61</v>
      </c>
      <c r="AF157" t="s">
        <v>22</v>
      </c>
      <c r="AG157" t="s">
        <v>22</v>
      </c>
      <c r="AH157" t="s">
        <v>22</v>
      </c>
      <c r="AI157" t="s">
        <v>22</v>
      </c>
      <c r="AJ157" t="s">
        <v>115</v>
      </c>
      <c r="AK157" t="s">
        <v>384</v>
      </c>
    </row>
    <row r="158" spans="1:37" ht="11.25" customHeight="1">
      <c r="A158" t="s">
        <v>22</v>
      </c>
      <c r="B158" t="s">
        <v>48</v>
      </c>
      <c r="C158" t="s">
        <v>50</v>
      </c>
      <c r="D158" t="s">
        <v>22</v>
      </c>
      <c r="E158" t="s">
        <v>4922</v>
      </c>
      <c r="F158" t="s">
        <v>1065</v>
      </c>
      <c r="G158" t="s">
        <v>106</v>
      </c>
      <c r="H158" t="s">
        <v>106</v>
      </c>
      <c r="I158" t="s">
        <v>107</v>
      </c>
      <c r="J158" t="s">
        <v>4482</v>
      </c>
      <c r="K158" t="s">
        <v>4483</v>
      </c>
      <c r="L158" t="s">
        <v>4484</v>
      </c>
      <c r="M158" t="s">
        <v>782</v>
      </c>
      <c r="N158" t="s">
        <v>114</v>
      </c>
      <c r="O158" t="s">
        <v>106</v>
      </c>
      <c r="P158" t="s">
        <v>106</v>
      </c>
      <c r="Q158" t="s">
        <v>107</v>
      </c>
      <c r="R158" t="s">
        <v>4482</v>
      </c>
      <c r="S158" t="s">
        <v>4483</v>
      </c>
      <c r="T158" t="s">
        <v>4465</v>
      </c>
      <c r="U158" t="s">
        <v>4466</v>
      </c>
      <c r="V158" t="s">
        <v>4467</v>
      </c>
      <c r="W158" t="s">
        <v>4468</v>
      </c>
      <c r="X158" t="s">
        <v>4469</v>
      </c>
      <c r="Y158" t="s">
        <v>4466</v>
      </c>
      <c r="Z158" t="s">
        <v>1013</v>
      </c>
      <c r="AA158" t="s">
        <v>4470</v>
      </c>
      <c r="AB158" t="s">
        <v>4467</v>
      </c>
      <c r="AC158" t="s">
        <v>61</v>
      </c>
      <c r="AD158" t="s">
        <v>19</v>
      </c>
      <c r="AE158" t="s">
        <v>19</v>
      </c>
      <c r="AF158" t="s">
        <v>4923</v>
      </c>
      <c r="AG158" t="s">
        <v>4923</v>
      </c>
      <c r="AH158" t="s">
        <v>22</v>
      </c>
      <c r="AI158" t="s">
        <v>22</v>
      </c>
      <c r="AJ158" t="s">
        <v>22</v>
      </c>
      <c r="AK158" t="s">
        <v>22</v>
      </c>
    </row>
    <row r="159" spans="1:37" ht="11.25" customHeight="1">
      <c r="A159" t="s">
        <v>22</v>
      </c>
      <c r="B159" t="s">
        <v>48</v>
      </c>
      <c r="C159" t="s">
        <v>50</v>
      </c>
      <c r="D159" t="s">
        <v>22</v>
      </c>
      <c r="E159" t="s">
        <v>4924</v>
      </c>
      <c r="F159" t="s">
        <v>1065</v>
      </c>
      <c r="G159" t="s">
        <v>106</v>
      </c>
      <c r="H159" t="s">
        <v>106</v>
      </c>
      <c r="I159" t="s">
        <v>107</v>
      </c>
      <c r="J159" t="s">
        <v>4859</v>
      </c>
      <c r="K159" t="s">
        <v>4860</v>
      </c>
      <c r="L159" t="s">
        <v>4861</v>
      </c>
      <c r="M159" t="s">
        <v>782</v>
      </c>
      <c r="N159" t="s">
        <v>114</v>
      </c>
      <c r="O159" t="s">
        <v>106</v>
      </c>
      <c r="P159" t="s">
        <v>106</v>
      </c>
      <c r="Q159" t="s">
        <v>107</v>
      </c>
      <c r="R159" t="s">
        <v>4859</v>
      </c>
      <c r="S159" t="s">
        <v>4860</v>
      </c>
      <c r="T159" t="s">
        <v>4465</v>
      </c>
      <c r="U159" t="s">
        <v>4466</v>
      </c>
      <c r="V159" t="s">
        <v>4467</v>
      </c>
      <c r="W159" t="s">
        <v>4468</v>
      </c>
      <c r="X159" t="s">
        <v>4469</v>
      </c>
      <c r="Y159" t="s">
        <v>4466</v>
      </c>
      <c r="Z159" t="s">
        <v>1013</v>
      </c>
      <c r="AA159" t="s">
        <v>4470</v>
      </c>
      <c r="AB159" t="s">
        <v>4467</v>
      </c>
      <c r="AC159" t="s">
        <v>61</v>
      </c>
      <c r="AD159" t="s">
        <v>19</v>
      </c>
      <c r="AE159" t="s">
        <v>19</v>
      </c>
      <c r="AF159" t="s">
        <v>1824</v>
      </c>
      <c r="AG159" t="s">
        <v>1824</v>
      </c>
      <c r="AH159" t="s">
        <v>22</v>
      </c>
      <c r="AI159" t="s">
        <v>22</v>
      </c>
      <c r="AJ159" t="s">
        <v>22</v>
      </c>
      <c r="AK159" t="s">
        <v>22</v>
      </c>
    </row>
    <row r="160" spans="1:37" ht="11.25" customHeight="1">
      <c r="A160" t="s">
        <v>22</v>
      </c>
      <c r="B160" t="s">
        <v>48</v>
      </c>
      <c r="C160" t="s">
        <v>50</v>
      </c>
      <c r="D160" t="s">
        <v>22</v>
      </c>
      <c r="E160" t="s">
        <v>4925</v>
      </c>
      <c r="F160" t="s">
        <v>1065</v>
      </c>
      <c r="G160" t="s">
        <v>106</v>
      </c>
      <c r="H160" t="s">
        <v>106</v>
      </c>
      <c r="I160" t="s">
        <v>107</v>
      </c>
      <c r="J160" t="s">
        <v>4854</v>
      </c>
      <c r="K160" t="s">
        <v>4855</v>
      </c>
      <c r="L160" t="s">
        <v>4856</v>
      </c>
      <c r="M160" t="s">
        <v>782</v>
      </c>
      <c r="N160" t="s">
        <v>114</v>
      </c>
      <c r="O160" t="s">
        <v>106</v>
      </c>
      <c r="P160" t="s">
        <v>106</v>
      </c>
      <c r="Q160" t="s">
        <v>107</v>
      </c>
      <c r="R160" t="s">
        <v>4854</v>
      </c>
      <c r="S160" t="s">
        <v>4855</v>
      </c>
      <c r="T160" t="s">
        <v>4465</v>
      </c>
      <c r="U160" t="s">
        <v>4466</v>
      </c>
      <c r="V160" t="s">
        <v>4467</v>
      </c>
      <c r="W160" t="s">
        <v>4468</v>
      </c>
      <c r="X160" t="s">
        <v>4469</v>
      </c>
      <c r="Y160" t="s">
        <v>4466</v>
      </c>
      <c r="Z160" t="s">
        <v>1013</v>
      </c>
      <c r="AA160" t="s">
        <v>4470</v>
      </c>
      <c r="AB160" t="s">
        <v>4467</v>
      </c>
      <c r="AC160" t="s">
        <v>61</v>
      </c>
      <c r="AD160" t="s">
        <v>19</v>
      </c>
      <c r="AE160" t="s">
        <v>19</v>
      </c>
      <c r="AF160" t="s">
        <v>4536</v>
      </c>
      <c r="AG160" t="s">
        <v>4536</v>
      </c>
      <c r="AH160" t="s">
        <v>22</v>
      </c>
      <c r="AI160" t="s">
        <v>22</v>
      </c>
      <c r="AJ160" t="s">
        <v>22</v>
      </c>
      <c r="AK160" t="s">
        <v>22</v>
      </c>
    </row>
    <row r="161" spans="1:37" ht="11.25" customHeight="1">
      <c r="A161" t="s">
        <v>22</v>
      </c>
      <c r="B161" t="s">
        <v>48</v>
      </c>
      <c r="C161" t="s">
        <v>50</v>
      </c>
      <c r="D161" t="s">
        <v>22</v>
      </c>
      <c r="E161" t="s">
        <v>4926</v>
      </c>
      <c r="F161" t="s">
        <v>1065</v>
      </c>
      <c r="G161" t="s">
        <v>106</v>
      </c>
      <c r="H161" t="s">
        <v>106</v>
      </c>
      <c r="I161" t="s">
        <v>107</v>
      </c>
      <c r="J161" t="s">
        <v>4854</v>
      </c>
      <c r="K161" t="s">
        <v>4855</v>
      </c>
      <c r="L161" t="s">
        <v>4856</v>
      </c>
      <c r="M161" t="s">
        <v>782</v>
      </c>
      <c r="N161" t="s">
        <v>114</v>
      </c>
      <c r="O161" t="s">
        <v>106</v>
      </c>
      <c r="P161" t="s">
        <v>106</v>
      </c>
      <c r="Q161" t="s">
        <v>107</v>
      </c>
      <c r="R161" t="s">
        <v>4854</v>
      </c>
      <c r="S161" t="s">
        <v>4855</v>
      </c>
      <c r="T161" t="s">
        <v>4465</v>
      </c>
      <c r="U161" t="s">
        <v>4466</v>
      </c>
      <c r="V161" t="s">
        <v>4467</v>
      </c>
      <c r="W161" t="s">
        <v>4468</v>
      </c>
      <c r="X161" t="s">
        <v>4469</v>
      </c>
      <c r="Y161" t="s">
        <v>4466</v>
      </c>
      <c r="Z161" t="s">
        <v>1013</v>
      </c>
      <c r="AA161" t="s">
        <v>4470</v>
      </c>
      <c r="AB161" t="s">
        <v>4467</v>
      </c>
      <c r="AC161" t="s">
        <v>61</v>
      </c>
      <c r="AD161" t="s">
        <v>19</v>
      </c>
      <c r="AE161" t="s">
        <v>19</v>
      </c>
      <c r="AF161" t="s">
        <v>4536</v>
      </c>
      <c r="AG161" t="s">
        <v>4536</v>
      </c>
      <c r="AH161" t="s">
        <v>22</v>
      </c>
      <c r="AI161" t="s">
        <v>22</v>
      </c>
      <c r="AJ161" t="s">
        <v>22</v>
      </c>
      <c r="AK161" t="s">
        <v>22</v>
      </c>
    </row>
    <row r="162" spans="1:37" ht="11.25" customHeight="1">
      <c r="A162" t="s">
        <v>22</v>
      </c>
      <c r="B162" t="s">
        <v>48</v>
      </c>
      <c r="C162" t="s">
        <v>50</v>
      </c>
      <c r="D162" t="s">
        <v>22</v>
      </c>
      <c r="E162" t="s">
        <v>4927</v>
      </c>
      <c r="F162" t="s">
        <v>1065</v>
      </c>
      <c r="G162" t="s">
        <v>106</v>
      </c>
      <c r="H162" t="s">
        <v>106</v>
      </c>
      <c r="I162" t="s">
        <v>107</v>
      </c>
      <c r="J162" t="s">
        <v>4928</v>
      </c>
      <c r="K162" t="s">
        <v>4929</v>
      </c>
      <c r="L162" t="s">
        <v>4930</v>
      </c>
      <c r="M162" t="s">
        <v>782</v>
      </c>
      <c r="N162" t="s">
        <v>114</v>
      </c>
      <c r="O162" t="s">
        <v>106</v>
      </c>
      <c r="P162" t="s">
        <v>106</v>
      </c>
      <c r="Q162" t="s">
        <v>107</v>
      </c>
      <c r="R162" t="s">
        <v>4928</v>
      </c>
      <c r="S162" t="s">
        <v>4929</v>
      </c>
      <c r="T162" t="s">
        <v>4465</v>
      </c>
      <c r="U162" t="s">
        <v>4466</v>
      </c>
      <c r="V162" t="s">
        <v>4467</v>
      </c>
      <c r="W162" t="s">
        <v>4468</v>
      </c>
      <c r="X162" t="s">
        <v>4469</v>
      </c>
      <c r="Y162" t="s">
        <v>4466</v>
      </c>
      <c r="Z162" t="s">
        <v>1013</v>
      </c>
      <c r="AA162" t="s">
        <v>4470</v>
      </c>
      <c r="AB162" t="s">
        <v>4467</v>
      </c>
      <c r="AC162" t="s">
        <v>61</v>
      </c>
      <c r="AD162" t="s">
        <v>19</v>
      </c>
      <c r="AE162" t="s">
        <v>19</v>
      </c>
      <c r="AF162" t="s">
        <v>4580</v>
      </c>
      <c r="AG162" t="s">
        <v>4580</v>
      </c>
      <c r="AH162" t="s">
        <v>22</v>
      </c>
      <c r="AI162" t="s">
        <v>22</v>
      </c>
      <c r="AJ162" t="s">
        <v>22</v>
      </c>
      <c r="AK162" t="s">
        <v>22</v>
      </c>
    </row>
    <row r="163" spans="1:37" ht="11.25" customHeight="1">
      <c r="A163" t="s">
        <v>22</v>
      </c>
      <c r="B163" t="s">
        <v>48</v>
      </c>
      <c r="C163" t="s">
        <v>50</v>
      </c>
      <c r="D163" t="s">
        <v>22</v>
      </c>
      <c r="E163" t="s">
        <v>4931</v>
      </c>
      <c r="F163" t="s">
        <v>1065</v>
      </c>
      <c r="G163" t="s">
        <v>106</v>
      </c>
      <c r="H163" t="s">
        <v>106</v>
      </c>
      <c r="I163" t="s">
        <v>107</v>
      </c>
      <c r="J163" t="s">
        <v>4879</v>
      </c>
      <c r="K163" t="s">
        <v>4880</v>
      </c>
      <c r="L163" t="s">
        <v>4881</v>
      </c>
      <c r="M163" t="s">
        <v>782</v>
      </c>
      <c r="N163" t="s">
        <v>114</v>
      </c>
      <c r="O163" t="s">
        <v>106</v>
      </c>
      <c r="P163" t="s">
        <v>106</v>
      </c>
      <c r="Q163" t="s">
        <v>107</v>
      </c>
      <c r="R163" t="s">
        <v>4879</v>
      </c>
      <c r="S163" t="s">
        <v>4880</v>
      </c>
      <c r="T163" t="s">
        <v>4465</v>
      </c>
      <c r="U163" t="s">
        <v>4466</v>
      </c>
      <c r="V163" t="s">
        <v>4467</v>
      </c>
      <c r="W163" t="s">
        <v>4468</v>
      </c>
      <c r="X163" t="s">
        <v>4469</v>
      </c>
      <c r="Y163" t="s">
        <v>4466</v>
      </c>
      <c r="Z163" t="s">
        <v>1013</v>
      </c>
      <c r="AA163" t="s">
        <v>4470</v>
      </c>
      <c r="AB163" t="s">
        <v>4467</v>
      </c>
      <c r="AC163" t="s">
        <v>61</v>
      </c>
      <c r="AD163" t="s">
        <v>19</v>
      </c>
      <c r="AE163" t="s">
        <v>19</v>
      </c>
      <c r="AF163" t="s">
        <v>4503</v>
      </c>
      <c r="AG163" t="s">
        <v>4503</v>
      </c>
      <c r="AH163" t="s">
        <v>22</v>
      </c>
      <c r="AI163" t="s">
        <v>22</v>
      </c>
      <c r="AJ163" t="s">
        <v>22</v>
      </c>
      <c r="AK163" t="s">
        <v>22</v>
      </c>
    </row>
    <row r="164" spans="1:37" ht="11.25" customHeight="1">
      <c r="A164" t="s">
        <v>22</v>
      </c>
      <c r="B164" t="s">
        <v>48</v>
      </c>
      <c r="C164" t="s">
        <v>50</v>
      </c>
      <c r="D164" t="s">
        <v>22</v>
      </c>
      <c r="E164" t="s">
        <v>4932</v>
      </c>
      <c r="F164" t="s">
        <v>1065</v>
      </c>
      <c r="G164" t="s">
        <v>106</v>
      </c>
      <c r="H164" t="s">
        <v>106</v>
      </c>
      <c r="I164" t="s">
        <v>107</v>
      </c>
      <c r="J164" t="s">
        <v>4879</v>
      </c>
      <c r="K164" t="s">
        <v>4880</v>
      </c>
      <c r="L164" t="s">
        <v>4881</v>
      </c>
      <c r="M164" t="s">
        <v>782</v>
      </c>
      <c r="N164" t="s">
        <v>114</v>
      </c>
      <c r="O164" t="s">
        <v>106</v>
      </c>
      <c r="P164" t="s">
        <v>106</v>
      </c>
      <c r="Q164" t="s">
        <v>107</v>
      </c>
      <c r="R164" t="s">
        <v>4879</v>
      </c>
      <c r="S164" t="s">
        <v>4880</v>
      </c>
      <c r="T164" t="s">
        <v>4465</v>
      </c>
      <c r="U164" t="s">
        <v>4466</v>
      </c>
      <c r="V164" t="s">
        <v>4467</v>
      </c>
      <c r="W164" t="s">
        <v>4468</v>
      </c>
      <c r="X164" t="s">
        <v>4469</v>
      </c>
      <c r="Y164" t="s">
        <v>4466</v>
      </c>
      <c r="Z164" t="s">
        <v>1013</v>
      </c>
      <c r="AA164" t="s">
        <v>4470</v>
      </c>
      <c r="AB164" t="s">
        <v>4467</v>
      </c>
      <c r="AC164" t="s">
        <v>61</v>
      </c>
      <c r="AD164" t="s">
        <v>19</v>
      </c>
      <c r="AE164" t="s">
        <v>19</v>
      </c>
      <c r="AF164" t="s">
        <v>4503</v>
      </c>
      <c r="AG164" t="s">
        <v>4503</v>
      </c>
      <c r="AH164" t="s">
        <v>22</v>
      </c>
      <c r="AI164" t="s">
        <v>22</v>
      </c>
      <c r="AJ164" t="s">
        <v>22</v>
      </c>
      <c r="AK164" t="s">
        <v>22</v>
      </c>
    </row>
    <row r="165" spans="1:37" ht="11.25" customHeight="1">
      <c r="A165" t="s">
        <v>22</v>
      </c>
      <c r="B165" t="s">
        <v>48</v>
      </c>
      <c r="C165" t="s">
        <v>50</v>
      </c>
      <c r="D165" t="s">
        <v>22</v>
      </c>
      <c r="E165" t="s">
        <v>4933</v>
      </c>
      <c r="F165" t="s">
        <v>1065</v>
      </c>
      <c r="G165" t="s">
        <v>106</v>
      </c>
      <c r="H165" t="s">
        <v>106</v>
      </c>
      <c r="I165" t="s">
        <v>107</v>
      </c>
      <c r="J165" t="s">
        <v>4874</v>
      </c>
      <c r="K165" t="s">
        <v>4875</v>
      </c>
      <c r="L165" t="s">
        <v>4876</v>
      </c>
      <c r="M165" t="s">
        <v>782</v>
      </c>
      <c r="N165" t="s">
        <v>114</v>
      </c>
      <c r="O165" t="s">
        <v>106</v>
      </c>
      <c r="P165" t="s">
        <v>106</v>
      </c>
      <c r="Q165" t="s">
        <v>107</v>
      </c>
      <c r="R165" t="s">
        <v>4874</v>
      </c>
      <c r="S165" t="s">
        <v>4875</v>
      </c>
      <c r="T165" t="s">
        <v>4465</v>
      </c>
      <c r="U165" t="s">
        <v>4466</v>
      </c>
      <c r="V165" t="s">
        <v>4467</v>
      </c>
      <c r="W165" t="s">
        <v>4468</v>
      </c>
      <c r="X165" t="s">
        <v>4469</v>
      </c>
      <c r="Y165" t="s">
        <v>4466</v>
      </c>
      <c r="Z165" t="s">
        <v>1013</v>
      </c>
      <c r="AA165" t="s">
        <v>4470</v>
      </c>
      <c r="AB165" t="s">
        <v>4467</v>
      </c>
      <c r="AC165" t="s">
        <v>61</v>
      </c>
      <c r="AD165" t="s">
        <v>19</v>
      </c>
      <c r="AE165" t="s">
        <v>19</v>
      </c>
      <c r="AF165" t="s">
        <v>4503</v>
      </c>
      <c r="AG165" t="s">
        <v>4503</v>
      </c>
      <c r="AH165" t="s">
        <v>22</v>
      </c>
      <c r="AI165" t="s">
        <v>22</v>
      </c>
      <c r="AJ165" t="s">
        <v>22</v>
      </c>
      <c r="AK165" t="s">
        <v>22</v>
      </c>
    </row>
    <row r="166" spans="1:37" ht="11.25" customHeight="1">
      <c r="A166" t="s">
        <v>22</v>
      </c>
      <c r="B166" t="s">
        <v>48</v>
      </c>
      <c r="C166" t="s">
        <v>50</v>
      </c>
      <c r="D166" t="s">
        <v>22</v>
      </c>
      <c r="E166" t="s">
        <v>4934</v>
      </c>
      <c r="F166" t="s">
        <v>1065</v>
      </c>
      <c r="G166" t="s">
        <v>106</v>
      </c>
      <c r="H166" t="s">
        <v>106</v>
      </c>
      <c r="I166" t="s">
        <v>107</v>
      </c>
      <c r="J166" t="s">
        <v>4874</v>
      </c>
      <c r="K166" t="s">
        <v>4875</v>
      </c>
      <c r="L166" t="s">
        <v>4876</v>
      </c>
      <c r="M166" t="s">
        <v>782</v>
      </c>
      <c r="N166" t="s">
        <v>114</v>
      </c>
      <c r="O166" t="s">
        <v>106</v>
      </c>
      <c r="P166" t="s">
        <v>106</v>
      </c>
      <c r="Q166" t="s">
        <v>107</v>
      </c>
      <c r="R166" t="s">
        <v>4874</v>
      </c>
      <c r="S166" t="s">
        <v>4875</v>
      </c>
      <c r="T166" t="s">
        <v>4465</v>
      </c>
      <c r="U166" t="s">
        <v>4466</v>
      </c>
      <c r="V166" t="s">
        <v>4467</v>
      </c>
      <c r="W166" t="s">
        <v>4468</v>
      </c>
      <c r="X166" t="s">
        <v>4469</v>
      </c>
      <c r="Y166" t="s">
        <v>4466</v>
      </c>
      <c r="Z166" t="s">
        <v>1013</v>
      </c>
      <c r="AA166" t="s">
        <v>4470</v>
      </c>
      <c r="AB166" t="s">
        <v>4467</v>
      </c>
      <c r="AC166" t="s">
        <v>61</v>
      </c>
      <c r="AD166" t="s">
        <v>19</v>
      </c>
      <c r="AE166" t="s">
        <v>19</v>
      </c>
      <c r="AF166" t="s">
        <v>4503</v>
      </c>
      <c r="AG166" t="s">
        <v>4503</v>
      </c>
      <c r="AH166" t="s">
        <v>22</v>
      </c>
      <c r="AI166" t="s">
        <v>22</v>
      </c>
      <c r="AJ166" t="s">
        <v>22</v>
      </c>
      <c r="AK166" t="s">
        <v>22</v>
      </c>
    </row>
    <row r="167" spans="1:37" ht="11.25" customHeight="1">
      <c r="A167" t="s">
        <v>22</v>
      </c>
      <c r="B167" t="s">
        <v>48</v>
      </c>
      <c r="C167" t="s">
        <v>50</v>
      </c>
      <c r="D167" t="s">
        <v>22</v>
      </c>
      <c r="E167" t="s">
        <v>4935</v>
      </c>
      <c r="F167" t="s">
        <v>1065</v>
      </c>
      <c r="G167" t="s">
        <v>106</v>
      </c>
      <c r="H167" t="s">
        <v>106</v>
      </c>
      <c r="I167" t="s">
        <v>107</v>
      </c>
      <c r="J167" t="s">
        <v>4743</v>
      </c>
      <c r="K167" t="s">
        <v>4744</v>
      </c>
      <c r="L167" t="s">
        <v>4745</v>
      </c>
      <c r="M167" t="s">
        <v>1013</v>
      </c>
      <c r="N167" t="s">
        <v>114</v>
      </c>
      <c r="O167" t="s">
        <v>106</v>
      </c>
      <c r="P167" t="s">
        <v>106</v>
      </c>
      <c r="Q167" t="s">
        <v>107</v>
      </c>
      <c r="R167" t="s">
        <v>4743</v>
      </c>
      <c r="S167" t="s">
        <v>4744</v>
      </c>
      <c r="T167" t="s">
        <v>4465</v>
      </c>
      <c r="U167" t="s">
        <v>4466</v>
      </c>
      <c r="V167" t="s">
        <v>4467</v>
      </c>
      <c r="W167" t="s">
        <v>4468</v>
      </c>
      <c r="X167" t="s">
        <v>4469</v>
      </c>
      <c r="Y167" t="s">
        <v>4466</v>
      </c>
      <c r="Z167" t="s">
        <v>1013</v>
      </c>
      <c r="AA167" t="s">
        <v>4470</v>
      </c>
      <c r="AB167" t="s">
        <v>4467</v>
      </c>
      <c r="AC167" t="s">
        <v>61</v>
      </c>
      <c r="AD167" t="s">
        <v>19</v>
      </c>
      <c r="AE167" t="s">
        <v>19</v>
      </c>
      <c r="AF167" t="s">
        <v>4503</v>
      </c>
      <c r="AG167" t="s">
        <v>1158</v>
      </c>
      <c r="AH167" t="s">
        <v>22</v>
      </c>
      <c r="AI167" t="s">
        <v>22</v>
      </c>
      <c r="AJ167" t="s">
        <v>22</v>
      </c>
      <c r="AK167" t="s">
        <v>22</v>
      </c>
    </row>
    <row r="168" spans="1:37" ht="11.25" customHeight="1">
      <c r="A168" t="s">
        <v>22</v>
      </c>
      <c r="B168" t="s">
        <v>48</v>
      </c>
      <c r="C168" t="s">
        <v>50</v>
      </c>
      <c r="D168" t="s">
        <v>22</v>
      </c>
      <c r="E168" t="s">
        <v>4936</v>
      </c>
      <c r="F168" t="s">
        <v>1065</v>
      </c>
      <c r="G168" t="s">
        <v>106</v>
      </c>
      <c r="H168" t="s">
        <v>106</v>
      </c>
      <c r="I168" t="s">
        <v>107</v>
      </c>
      <c r="J168" t="s">
        <v>4719</v>
      </c>
      <c r="K168" t="s">
        <v>4720</v>
      </c>
      <c r="L168" t="s">
        <v>4721</v>
      </c>
      <c r="M168" t="s">
        <v>782</v>
      </c>
      <c r="N168" t="s">
        <v>114</v>
      </c>
      <c r="O168" t="s">
        <v>106</v>
      </c>
      <c r="P168" t="s">
        <v>106</v>
      </c>
      <c r="Q168" t="s">
        <v>107</v>
      </c>
      <c r="R168" t="s">
        <v>4719</v>
      </c>
      <c r="S168" t="s">
        <v>4720</v>
      </c>
      <c r="T168" t="s">
        <v>4465</v>
      </c>
      <c r="U168" t="s">
        <v>4466</v>
      </c>
      <c r="V168" t="s">
        <v>4467</v>
      </c>
      <c r="W168" t="s">
        <v>4468</v>
      </c>
      <c r="X168" t="s">
        <v>4469</v>
      </c>
      <c r="Y168" t="s">
        <v>4466</v>
      </c>
      <c r="Z168" t="s">
        <v>1013</v>
      </c>
      <c r="AA168" t="s">
        <v>4470</v>
      </c>
      <c r="AB168" t="s">
        <v>4467</v>
      </c>
      <c r="AC168" t="s">
        <v>61</v>
      </c>
      <c r="AD168" t="s">
        <v>19</v>
      </c>
      <c r="AE168" t="s">
        <v>19</v>
      </c>
      <c r="AF168" t="s">
        <v>4580</v>
      </c>
      <c r="AG168" t="s">
        <v>4722</v>
      </c>
      <c r="AH168" t="s">
        <v>22</v>
      </c>
      <c r="AI168" t="s">
        <v>22</v>
      </c>
      <c r="AJ168" t="s">
        <v>22</v>
      </c>
      <c r="AK168" t="s">
        <v>22</v>
      </c>
    </row>
    <row r="169" spans="1:37" ht="11.25" customHeight="1">
      <c r="A169" t="s">
        <v>22</v>
      </c>
      <c r="B169" t="s">
        <v>48</v>
      </c>
      <c r="C169" t="s">
        <v>50</v>
      </c>
      <c r="D169" t="s">
        <v>22</v>
      </c>
      <c r="E169" t="s">
        <v>4937</v>
      </c>
      <c r="F169" t="s">
        <v>1065</v>
      </c>
      <c r="G169" t="s">
        <v>106</v>
      </c>
      <c r="H169" t="s">
        <v>106</v>
      </c>
      <c r="I169" t="s">
        <v>107</v>
      </c>
      <c r="J169" t="s">
        <v>4840</v>
      </c>
      <c r="K169" t="s">
        <v>4841</v>
      </c>
      <c r="L169" t="s">
        <v>4938</v>
      </c>
      <c r="M169" t="s">
        <v>782</v>
      </c>
      <c r="N169" t="s">
        <v>114</v>
      </c>
      <c r="O169" t="s">
        <v>106</v>
      </c>
      <c r="P169" t="s">
        <v>106</v>
      </c>
      <c r="Q169" t="s">
        <v>107</v>
      </c>
      <c r="R169" t="s">
        <v>4840</v>
      </c>
      <c r="S169" t="s">
        <v>4841</v>
      </c>
      <c r="T169" t="s">
        <v>4465</v>
      </c>
      <c r="U169" t="s">
        <v>4466</v>
      </c>
      <c r="V169" t="s">
        <v>4467</v>
      </c>
      <c r="W169" t="s">
        <v>4468</v>
      </c>
      <c r="X169" t="s">
        <v>4469</v>
      </c>
      <c r="Y169" t="s">
        <v>4466</v>
      </c>
      <c r="Z169" t="s">
        <v>1013</v>
      </c>
      <c r="AA169" t="s">
        <v>4470</v>
      </c>
      <c r="AB169" t="s">
        <v>4467</v>
      </c>
      <c r="AC169" t="s">
        <v>61</v>
      </c>
      <c r="AD169" t="s">
        <v>19</v>
      </c>
      <c r="AE169" t="s">
        <v>19</v>
      </c>
      <c r="AF169" t="s">
        <v>4580</v>
      </c>
      <c r="AG169" t="s">
        <v>4580</v>
      </c>
      <c r="AH169" t="s">
        <v>22</v>
      </c>
      <c r="AI169" t="s">
        <v>22</v>
      </c>
      <c r="AJ169" t="s">
        <v>22</v>
      </c>
      <c r="AK169" t="s">
        <v>22</v>
      </c>
    </row>
    <row r="170" spans="1:37" ht="11.25" customHeight="1">
      <c r="A170" t="s">
        <v>22</v>
      </c>
      <c r="B170" t="s">
        <v>48</v>
      </c>
      <c r="C170" t="s">
        <v>50</v>
      </c>
      <c r="D170" t="s">
        <v>22</v>
      </c>
      <c r="E170" t="s">
        <v>4939</v>
      </c>
      <c r="F170" t="s">
        <v>1065</v>
      </c>
      <c r="G170" t="s">
        <v>106</v>
      </c>
      <c r="H170" t="s">
        <v>106</v>
      </c>
      <c r="I170" t="s">
        <v>107</v>
      </c>
      <c r="J170" t="s">
        <v>4482</v>
      </c>
      <c r="K170" t="s">
        <v>4483</v>
      </c>
      <c r="L170" t="s">
        <v>4484</v>
      </c>
      <c r="M170" t="s">
        <v>782</v>
      </c>
      <c r="N170" t="s">
        <v>114</v>
      </c>
      <c r="O170" t="s">
        <v>106</v>
      </c>
      <c r="P170" t="s">
        <v>106</v>
      </c>
      <c r="Q170" t="s">
        <v>107</v>
      </c>
      <c r="R170" t="s">
        <v>4482</v>
      </c>
      <c r="S170" t="s">
        <v>4483</v>
      </c>
      <c r="T170" t="s">
        <v>4465</v>
      </c>
      <c r="U170" t="s">
        <v>4466</v>
      </c>
      <c r="V170" t="s">
        <v>4467</v>
      </c>
      <c r="W170" t="s">
        <v>4468</v>
      </c>
      <c r="X170" t="s">
        <v>4469</v>
      </c>
      <c r="Y170" t="s">
        <v>4466</v>
      </c>
      <c r="Z170" t="s">
        <v>1013</v>
      </c>
      <c r="AA170" t="s">
        <v>4470</v>
      </c>
      <c r="AB170" t="s">
        <v>4467</v>
      </c>
      <c r="AC170" t="s">
        <v>61</v>
      </c>
      <c r="AD170" t="s">
        <v>19</v>
      </c>
      <c r="AE170" t="s">
        <v>19</v>
      </c>
      <c r="AF170" t="s">
        <v>4509</v>
      </c>
      <c r="AG170" t="s">
        <v>4509</v>
      </c>
      <c r="AH170" t="s">
        <v>22</v>
      </c>
      <c r="AI170" t="s">
        <v>22</v>
      </c>
      <c r="AJ170" t="s">
        <v>22</v>
      </c>
      <c r="AK170" t="s">
        <v>22</v>
      </c>
    </row>
    <row r="171" spans="1:37" ht="11.25" customHeight="1">
      <c r="A171" t="s">
        <v>22</v>
      </c>
      <c r="B171" t="s">
        <v>48</v>
      </c>
      <c r="C171" t="s">
        <v>50</v>
      </c>
      <c r="D171" t="s">
        <v>22</v>
      </c>
      <c r="E171" t="s">
        <v>4940</v>
      </c>
      <c r="F171" t="s">
        <v>1065</v>
      </c>
      <c r="G171" t="s">
        <v>106</v>
      </c>
      <c r="H171" t="s">
        <v>106</v>
      </c>
      <c r="I171" t="s">
        <v>107</v>
      </c>
      <c r="J171" t="s">
        <v>4482</v>
      </c>
      <c r="K171" t="s">
        <v>4483</v>
      </c>
      <c r="L171" t="s">
        <v>4484</v>
      </c>
      <c r="M171" t="s">
        <v>782</v>
      </c>
      <c r="N171" t="s">
        <v>114</v>
      </c>
      <c r="O171" t="s">
        <v>106</v>
      </c>
      <c r="P171" t="s">
        <v>106</v>
      </c>
      <c r="Q171" t="s">
        <v>107</v>
      </c>
      <c r="R171" t="s">
        <v>4482</v>
      </c>
      <c r="S171" t="s">
        <v>4483</v>
      </c>
      <c r="T171" t="s">
        <v>4465</v>
      </c>
      <c r="U171" t="s">
        <v>4466</v>
      </c>
      <c r="V171" t="s">
        <v>4467</v>
      </c>
      <c r="W171" t="s">
        <v>4468</v>
      </c>
      <c r="X171" t="s">
        <v>4469</v>
      </c>
      <c r="Y171" t="s">
        <v>4466</v>
      </c>
      <c r="Z171" t="s">
        <v>1013</v>
      </c>
      <c r="AA171" t="s">
        <v>4470</v>
      </c>
      <c r="AB171" t="s">
        <v>4467</v>
      </c>
      <c r="AC171" t="s">
        <v>61</v>
      </c>
      <c r="AD171" t="s">
        <v>19</v>
      </c>
      <c r="AE171" t="s">
        <v>19</v>
      </c>
      <c r="AF171" t="s">
        <v>4509</v>
      </c>
      <c r="AG171" t="s">
        <v>4509</v>
      </c>
      <c r="AH171" t="s">
        <v>22</v>
      </c>
      <c r="AI171" t="s">
        <v>22</v>
      </c>
      <c r="AJ171" t="s">
        <v>22</v>
      </c>
      <c r="AK171" t="s">
        <v>22</v>
      </c>
    </row>
    <row r="172" spans="1:37" ht="11.25" customHeight="1">
      <c r="A172" t="s">
        <v>22</v>
      </c>
      <c r="B172" t="s">
        <v>48</v>
      </c>
      <c r="C172" t="s">
        <v>50</v>
      </c>
      <c r="D172" t="s">
        <v>22</v>
      </c>
      <c r="E172" t="s">
        <v>4941</v>
      </c>
      <c r="F172" t="s">
        <v>1065</v>
      </c>
      <c r="G172" t="s">
        <v>106</v>
      </c>
      <c r="H172" t="s">
        <v>106</v>
      </c>
      <c r="I172" t="s">
        <v>107</v>
      </c>
      <c r="J172" t="s">
        <v>4863</v>
      </c>
      <c r="K172" t="s">
        <v>4864</v>
      </c>
      <c r="L172" t="s">
        <v>4865</v>
      </c>
      <c r="M172" t="s">
        <v>782</v>
      </c>
      <c r="N172" t="s">
        <v>114</v>
      </c>
      <c r="O172" t="s">
        <v>106</v>
      </c>
      <c r="P172" t="s">
        <v>106</v>
      </c>
      <c r="Q172" t="s">
        <v>107</v>
      </c>
      <c r="R172" t="s">
        <v>4863</v>
      </c>
      <c r="S172" t="s">
        <v>4864</v>
      </c>
      <c r="T172" t="s">
        <v>4465</v>
      </c>
      <c r="U172" t="s">
        <v>4466</v>
      </c>
      <c r="V172" t="s">
        <v>4467</v>
      </c>
      <c r="W172" t="s">
        <v>4468</v>
      </c>
      <c r="X172" t="s">
        <v>4469</v>
      </c>
      <c r="Y172" t="s">
        <v>4466</v>
      </c>
      <c r="Z172" t="s">
        <v>1013</v>
      </c>
      <c r="AA172" t="s">
        <v>4470</v>
      </c>
      <c r="AB172" t="s">
        <v>4467</v>
      </c>
      <c r="AC172" t="s">
        <v>61</v>
      </c>
      <c r="AD172" t="s">
        <v>19</v>
      </c>
      <c r="AE172" t="s">
        <v>19</v>
      </c>
      <c r="AF172" t="s">
        <v>1824</v>
      </c>
      <c r="AG172" t="s">
        <v>1824</v>
      </c>
      <c r="AH172" t="s">
        <v>22</v>
      </c>
      <c r="AI172" t="s">
        <v>22</v>
      </c>
      <c r="AJ172" t="s">
        <v>22</v>
      </c>
      <c r="AK172" t="s">
        <v>22</v>
      </c>
    </row>
    <row r="173" spans="1:37" ht="11.25" customHeight="1">
      <c r="A173" t="s">
        <v>22</v>
      </c>
      <c r="B173" t="s">
        <v>48</v>
      </c>
      <c r="C173" t="s">
        <v>50</v>
      </c>
      <c r="D173" t="s">
        <v>22</v>
      </c>
      <c r="E173" t="s">
        <v>4942</v>
      </c>
      <c r="F173" t="s">
        <v>1065</v>
      </c>
      <c r="G173" t="s">
        <v>106</v>
      </c>
      <c r="H173" t="s">
        <v>106</v>
      </c>
      <c r="I173" t="s">
        <v>107</v>
      </c>
      <c r="J173" t="s">
        <v>4840</v>
      </c>
      <c r="K173" t="s">
        <v>4841</v>
      </c>
      <c r="L173" t="s">
        <v>4943</v>
      </c>
      <c r="M173" t="s">
        <v>782</v>
      </c>
      <c r="N173" t="s">
        <v>114</v>
      </c>
      <c r="O173" t="s">
        <v>106</v>
      </c>
      <c r="P173" t="s">
        <v>106</v>
      </c>
      <c r="Q173" t="s">
        <v>107</v>
      </c>
      <c r="R173" t="s">
        <v>4840</v>
      </c>
      <c r="S173" t="s">
        <v>4841</v>
      </c>
      <c r="T173" t="s">
        <v>4465</v>
      </c>
      <c r="U173" t="s">
        <v>4466</v>
      </c>
      <c r="V173" t="s">
        <v>4467</v>
      </c>
      <c r="W173" t="s">
        <v>4468</v>
      </c>
      <c r="X173" t="s">
        <v>4469</v>
      </c>
      <c r="Y173" t="s">
        <v>4466</v>
      </c>
      <c r="Z173" t="s">
        <v>1013</v>
      </c>
      <c r="AA173" t="s">
        <v>4470</v>
      </c>
      <c r="AB173" t="s">
        <v>4467</v>
      </c>
      <c r="AC173" t="s">
        <v>61</v>
      </c>
      <c r="AD173" t="s">
        <v>19</v>
      </c>
      <c r="AE173" t="s">
        <v>19</v>
      </c>
      <c r="AF173" t="s">
        <v>4503</v>
      </c>
      <c r="AG173" t="s">
        <v>4503</v>
      </c>
      <c r="AH173" t="s">
        <v>22</v>
      </c>
      <c r="AI173" t="s">
        <v>22</v>
      </c>
      <c r="AJ173" t="s">
        <v>22</v>
      </c>
      <c r="AK173" t="s">
        <v>22</v>
      </c>
    </row>
    <row r="174" spans="1:37" ht="11.25" customHeight="1">
      <c r="A174" t="s">
        <v>22</v>
      </c>
      <c r="B174" t="s">
        <v>48</v>
      </c>
      <c r="C174" t="s">
        <v>50</v>
      </c>
      <c r="D174" t="s">
        <v>22</v>
      </c>
      <c r="E174" t="s">
        <v>4944</v>
      </c>
      <c r="F174" t="s">
        <v>1065</v>
      </c>
      <c r="G174" t="s">
        <v>106</v>
      </c>
      <c r="H174" t="s">
        <v>106</v>
      </c>
      <c r="I174" t="s">
        <v>107</v>
      </c>
      <c r="J174" t="s">
        <v>4840</v>
      </c>
      <c r="K174" t="s">
        <v>4841</v>
      </c>
      <c r="L174" t="s">
        <v>4943</v>
      </c>
      <c r="M174" t="s">
        <v>782</v>
      </c>
      <c r="N174" t="s">
        <v>114</v>
      </c>
      <c r="O174" t="s">
        <v>106</v>
      </c>
      <c r="P174" t="s">
        <v>106</v>
      </c>
      <c r="Q174" t="s">
        <v>107</v>
      </c>
      <c r="R174" t="s">
        <v>4840</v>
      </c>
      <c r="S174" t="s">
        <v>4841</v>
      </c>
      <c r="T174" t="s">
        <v>4465</v>
      </c>
      <c r="U174" t="s">
        <v>4466</v>
      </c>
      <c r="V174" t="s">
        <v>4467</v>
      </c>
      <c r="W174" t="s">
        <v>4468</v>
      </c>
      <c r="X174" t="s">
        <v>4469</v>
      </c>
      <c r="Y174" t="s">
        <v>4466</v>
      </c>
      <c r="Z174" t="s">
        <v>1013</v>
      </c>
      <c r="AA174" t="s">
        <v>4470</v>
      </c>
      <c r="AB174" t="s">
        <v>4467</v>
      </c>
      <c r="AC174" t="s">
        <v>61</v>
      </c>
      <c r="AD174" t="s">
        <v>19</v>
      </c>
      <c r="AE174" t="s">
        <v>19</v>
      </c>
      <c r="AF174" t="s">
        <v>4503</v>
      </c>
      <c r="AG174" t="s">
        <v>4503</v>
      </c>
      <c r="AH174" t="s">
        <v>22</v>
      </c>
      <c r="AI174" t="s">
        <v>22</v>
      </c>
      <c r="AJ174" t="s">
        <v>22</v>
      </c>
      <c r="AK174" t="s">
        <v>22</v>
      </c>
    </row>
    <row r="175" spans="1:37" ht="11.25" customHeight="1">
      <c r="A175" t="s">
        <v>22</v>
      </c>
      <c r="B175" t="s">
        <v>48</v>
      </c>
      <c r="C175" t="s">
        <v>50</v>
      </c>
      <c r="D175" t="s">
        <v>22</v>
      </c>
      <c r="E175" t="s">
        <v>4945</v>
      </c>
      <c r="F175" t="s">
        <v>1065</v>
      </c>
      <c r="G175" t="s">
        <v>106</v>
      </c>
      <c r="H175" t="s">
        <v>106</v>
      </c>
      <c r="I175" t="s">
        <v>107</v>
      </c>
      <c r="J175" t="s">
        <v>4840</v>
      </c>
      <c r="K175" t="s">
        <v>4841</v>
      </c>
      <c r="L175" t="s">
        <v>4943</v>
      </c>
      <c r="M175" t="s">
        <v>782</v>
      </c>
      <c r="N175" t="s">
        <v>114</v>
      </c>
      <c r="O175" t="s">
        <v>106</v>
      </c>
      <c r="P175" t="s">
        <v>106</v>
      </c>
      <c r="Q175" t="s">
        <v>107</v>
      </c>
      <c r="R175" t="s">
        <v>4840</v>
      </c>
      <c r="S175" t="s">
        <v>4841</v>
      </c>
      <c r="T175" t="s">
        <v>4465</v>
      </c>
      <c r="U175" t="s">
        <v>4466</v>
      </c>
      <c r="V175" t="s">
        <v>4467</v>
      </c>
      <c r="W175" t="s">
        <v>4468</v>
      </c>
      <c r="X175" t="s">
        <v>4469</v>
      </c>
      <c r="Y175" t="s">
        <v>4466</v>
      </c>
      <c r="Z175" t="s">
        <v>1013</v>
      </c>
      <c r="AA175" t="s">
        <v>4470</v>
      </c>
      <c r="AB175" t="s">
        <v>4467</v>
      </c>
      <c r="AC175" t="s">
        <v>61</v>
      </c>
      <c r="AD175" t="s">
        <v>19</v>
      </c>
      <c r="AE175" t="s">
        <v>19</v>
      </c>
      <c r="AF175" t="s">
        <v>4503</v>
      </c>
      <c r="AG175" t="s">
        <v>4503</v>
      </c>
      <c r="AH175" t="s">
        <v>22</v>
      </c>
      <c r="AI175" t="s">
        <v>22</v>
      </c>
      <c r="AJ175" t="s">
        <v>22</v>
      </c>
      <c r="AK175" t="s">
        <v>22</v>
      </c>
    </row>
    <row r="176" spans="1:37" ht="11.25" customHeight="1">
      <c r="A176" t="s">
        <v>22</v>
      </c>
      <c r="B176" t="s">
        <v>48</v>
      </c>
      <c r="C176" t="s">
        <v>50</v>
      </c>
      <c r="D176" t="s">
        <v>22</v>
      </c>
      <c r="E176" t="s">
        <v>4946</v>
      </c>
      <c r="F176" t="s">
        <v>1065</v>
      </c>
      <c r="G176" t="s">
        <v>106</v>
      </c>
      <c r="H176" t="s">
        <v>106</v>
      </c>
      <c r="I176" t="s">
        <v>107</v>
      </c>
      <c r="J176" t="s">
        <v>4840</v>
      </c>
      <c r="K176" t="s">
        <v>4841</v>
      </c>
      <c r="L176" t="s">
        <v>4842</v>
      </c>
      <c r="M176" t="s">
        <v>782</v>
      </c>
      <c r="N176" t="s">
        <v>114</v>
      </c>
      <c r="O176" t="s">
        <v>106</v>
      </c>
      <c r="P176" t="s">
        <v>106</v>
      </c>
      <c r="Q176" t="s">
        <v>107</v>
      </c>
      <c r="R176" t="s">
        <v>4840</v>
      </c>
      <c r="S176" t="s">
        <v>4841</v>
      </c>
      <c r="T176" t="s">
        <v>4465</v>
      </c>
      <c r="U176" t="s">
        <v>4466</v>
      </c>
      <c r="V176" t="s">
        <v>4467</v>
      </c>
      <c r="W176" t="s">
        <v>4468</v>
      </c>
      <c r="X176" t="s">
        <v>4469</v>
      </c>
      <c r="Y176" t="s">
        <v>4466</v>
      </c>
      <c r="Z176" t="s">
        <v>1013</v>
      </c>
      <c r="AA176" t="s">
        <v>4470</v>
      </c>
      <c r="AB176" t="s">
        <v>4467</v>
      </c>
      <c r="AC176" t="s">
        <v>61</v>
      </c>
      <c r="AD176" t="s">
        <v>19</v>
      </c>
      <c r="AE176" t="s">
        <v>19</v>
      </c>
      <c r="AF176" t="s">
        <v>4580</v>
      </c>
      <c r="AG176" t="s">
        <v>4580</v>
      </c>
      <c r="AH176" t="s">
        <v>22</v>
      </c>
      <c r="AI176" t="s">
        <v>22</v>
      </c>
      <c r="AJ176" t="s">
        <v>22</v>
      </c>
      <c r="AK176" t="s">
        <v>22</v>
      </c>
    </row>
    <row r="177" spans="1:37" ht="11.25" customHeight="1">
      <c r="A177" t="s">
        <v>22</v>
      </c>
      <c r="B177" t="s">
        <v>48</v>
      </c>
      <c r="C177" t="s">
        <v>50</v>
      </c>
      <c r="D177" t="s">
        <v>22</v>
      </c>
      <c r="E177" t="s">
        <v>4947</v>
      </c>
      <c r="F177" t="s">
        <v>1065</v>
      </c>
      <c r="G177" t="s">
        <v>106</v>
      </c>
      <c r="H177" t="s">
        <v>106</v>
      </c>
      <c r="I177" t="s">
        <v>107</v>
      </c>
      <c r="J177" t="s">
        <v>4840</v>
      </c>
      <c r="K177" t="s">
        <v>4841</v>
      </c>
      <c r="L177" t="s">
        <v>4842</v>
      </c>
      <c r="M177" t="s">
        <v>782</v>
      </c>
      <c r="N177" t="s">
        <v>114</v>
      </c>
      <c r="O177" t="s">
        <v>106</v>
      </c>
      <c r="P177" t="s">
        <v>106</v>
      </c>
      <c r="Q177" t="s">
        <v>107</v>
      </c>
      <c r="R177" t="s">
        <v>4840</v>
      </c>
      <c r="S177" t="s">
        <v>4841</v>
      </c>
      <c r="T177" t="s">
        <v>4465</v>
      </c>
      <c r="U177" t="s">
        <v>4466</v>
      </c>
      <c r="V177" t="s">
        <v>4467</v>
      </c>
      <c r="W177" t="s">
        <v>4468</v>
      </c>
      <c r="X177" t="s">
        <v>4469</v>
      </c>
      <c r="Y177" t="s">
        <v>4466</v>
      </c>
      <c r="Z177" t="s">
        <v>1013</v>
      </c>
      <c r="AA177" t="s">
        <v>4470</v>
      </c>
      <c r="AB177" t="s">
        <v>4467</v>
      </c>
      <c r="AC177" t="s">
        <v>61</v>
      </c>
      <c r="AD177" t="s">
        <v>19</v>
      </c>
      <c r="AE177" t="s">
        <v>19</v>
      </c>
      <c r="AF177" t="s">
        <v>4580</v>
      </c>
      <c r="AG177" t="s">
        <v>4580</v>
      </c>
      <c r="AH177" t="s">
        <v>22</v>
      </c>
      <c r="AI177" t="s">
        <v>22</v>
      </c>
      <c r="AJ177" t="s">
        <v>22</v>
      </c>
      <c r="AK177" t="s">
        <v>22</v>
      </c>
    </row>
    <row r="178" spans="1:37" ht="11.25" customHeight="1">
      <c r="A178" t="s">
        <v>22</v>
      </c>
      <c r="B178" t="s">
        <v>48</v>
      </c>
      <c r="C178" t="s">
        <v>50</v>
      </c>
      <c r="D178" t="s">
        <v>22</v>
      </c>
      <c r="E178" t="s">
        <v>4948</v>
      </c>
      <c r="F178" t="s">
        <v>1065</v>
      </c>
      <c r="G178" t="s">
        <v>99</v>
      </c>
      <c r="H178" t="s">
        <v>99</v>
      </c>
      <c r="I178" t="s">
        <v>100</v>
      </c>
      <c r="J178" t="s">
        <v>1066</v>
      </c>
      <c r="K178" t="s">
        <v>1067</v>
      </c>
      <c r="L178" t="s">
        <v>4595</v>
      </c>
      <c r="M178" t="s">
        <v>4649</v>
      </c>
      <c r="N178" t="s">
        <v>114</v>
      </c>
      <c r="O178" t="s">
        <v>4476</v>
      </c>
      <c r="P178" t="s">
        <v>4476</v>
      </c>
      <c r="Q178" t="s">
        <v>100</v>
      </c>
      <c r="R178" t="s">
        <v>1066</v>
      </c>
      <c r="S178" t="s">
        <v>1067</v>
      </c>
      <c r="T178" t="s">
        <v>4465</v>
      </c>
      <c r="U178" t="s">
        <v>4466</v>
      </c>
      <c r="V178" t="s">
        <v>4477</v>
      </c>
      <c r="W178" t="s">
        <v>4468</v>
      </c>
      <c r="X178" t="s">
        <v>4469</v>
      </c>
      <c r="Y178" t="s">
        <v>4466</v>
      </c>
      <c r="Z178" t="s">
        <v>1013</v>
      </c>
      <c r="AA178" t="s">
        <v>4478</v>
      </c>
      <c r="AB178" t="s">
        <v>4477</v>
      </c>
      <c r="AC178" t="s">
        <v>61</v>
      </c>
      <c r="AD178" t="s">
        <v>19</v>
      </c>
      <c r="AE178" t="s">
        <v>19</v>
      </c>
      <c r="AF178" t="s">
        <v>4803</v>
      </c>
      <c r="AG178" t="s">
        <v>4593</v>
      </c>
      <c r="AH178" t="s">
        <v>22</v>
      </c>
      <c r="AI178" t="s">
        <v>22</v>
      </c>
      <c r="AJ178" t="s">
        <v>22</v>
      </c>
      <c r="AK178" t="s">
        <v>22</v>
      </c>
    </row>
    <row r="179" spans="1:37" ht="11.25" customHeight="1">
      <c r="A179" t="s">
        <v>22</v>
      </c>
      <c r="B179" t="s">
        <v>48</v>
      </c>
      <c r="C179" t="s">
        <v>50</v>
      </c>
      <c r="D179" t="s">
        <v>22</v>
      </c>
      <c r="E179" t="s">
        <v>4948</v>
      </c>
      <c r="F179" t="s">
        <v>1065</v>
      </c>
      <c r="G179" t="s">
        <v>99</v>
      </c>
      <c r="H179" t="s">
        <v>99</v>
      </c>
      <c r="I179" t="s">
        <v>100</v>
      </c>
      <c r="J179" t="s">
        <v>1066</v>
      </c>
      <c r="K179" t="s">
        <v>1067</v>
      </c>
      <c r="L179" t="s">
        <v>4949</v>
      </c>
      <c r="M179" t="s">
        <v>1013</v>
      </c>
      <c r="N179" t="s">
        <v>114</v>
      </c>
      <c r="O179" t="s">
        <v>4476</v>
      </c>
      <c r="P179" t="s">
        <v>4476</v>
      </c>
      <c r="Q179" t="s">
        <v>100</v>
      </c>
      <c r="R179" t="s">
        <v>1066</v>
      </c>
      <c r="S179" t="s">
        <v>1067</v>
      </c>
      <c r="T179" t="s">
        <v>4465</v>
      </c>
      <c r="U179" t="s">
        <v>4466</v>
      </c>
      <c r="V179" t="s">
        <v>4467</v>
      </c>
      <c r="W179" t="s">
        <v>4468</v>
      </c>
      <c r="X179" t="s">
        <v>4469</v>
      </c>
      <c r="Y179" t="s">
        <v>4466</v>
      </c>
      <c r="Z179" t="s">
        <v>1013</v>
      </c>
      <c r="AA179" t="s">
        <v>4470</v>
      </c>
      <c r="AB179" t="s">
        <v>4467</v>
      </c>
      <c r="AC179" t="s">
        <v>61</v>
      </c>
      <c r="AD179" t="s">
        <v>19</v>
      </c>
      <c r="AE179" t="s">
        <v>19</v>
      </c>
      <c r="AF179" t="s">
        <v>1186</v>
      </c>
      <c r="AG179" t="s">
        <v>1136</v>
      </c>
      <c r="AH179" t="s">
        <v>22</v>
      </c>
      <c r="AI179" t="s">
        <v>22</v>
      </c>
      <c r="AJ179" t="s">
        <v>22</v>
      </c>
      <c r="AK179" t="s">
        <v>22</v>
      </c>
    </row>
    <row r="180" spans="1:37" ht="11.25" customHeight="1">
      <c r="A180" t="s">
        <v>22</v>
      </c>
      <c r="B180" t="s">
        <v>48</v>
      </c>
      <c r="C180" t="s">
        <v>50</v>
      </c>
      <c r="D180" t="s">
        <v>22</v>
      </c>
      <c r="E180" t="s">
        <v>1074</v>
      </c>
      <c r="F180" t="s">
        <v>1075</v>
      </c>
      <c r="G180" t="s">
        <v>99</v>
      </c>
      <c r="H180" t="s">
        <v>99</v>
      </c>
      <c r="I180" t="s">
        <v>100</v>
      </c>
      <c r="J180" t="s">
        <v>1066</v>
      </c>
      <c r="K180" t="s">
        <v>1067</v>
      </c>
      <c r="L180" t="s">
        <v>1076</v>
      </c>
      <c r="M180" t="s">
        <v>1077</v>
      </c>
      <c r="N180" t="s">
        <v>114</v>
      </c>
      <c r="O180" t="s">
        <v>4476</v>
      </c>
      <c r="P180" t="s">
        <v>4476</v>
      </c>
      <c r="Q180" t="s">
        <v>100</v>
      </c>
      <c r="R180" t="s">
        <v>1066</v>
      </c>
      <c r="S180" t="s">
        <v>1067</v>
      </c>
      <c r="T180" t="s">
        <v>4465</v>
      </c>
      <c r="U180" t="s">
        <v>4466</v>
      </c>
      <c r="V180" t="s">
        <v>4477</v>
      </c>
      <c r="W180" t="s">
        <v>4468</v>
      </c>
      <c r="X180" t="s">
        <v>4469</v>
      </c>
      <c r="Y180" t="s">
        <v>4466</v>
      </c>
      <c r="Z180" t="s">
        <v>1013</v>
      </c>
      <c r="AA180" t="s">
        <v>4478</v>
      </c>
      <c r="AB180" t="s">
        <v>4477</v>
      </c>
      <c r="AC180" t="s">
        <v>19</v>
      </c>
      <c r="AD180" t="s">
        <v>61</v>
      </c>
      <c r="AE180" t="s">
        <v>19</v>
      </c>
      <c r="AF180" t="s">
        <v>22</v>
      </c>
      <c r="AG180" t="s">
        <v>22</v>
      </c>
      <c r="AH180" t="s">
        <v>4950</v>
      </c>
      <c r="AI180" t="s">
        <v>4951</v>
      </c>
      <c r="AJ180" t="s">
        <v>22</v>
      </c>
      <c r="AK180" t="s">
        <v>22</v>
      </c>
    </row>
    <row r="181" spans="1:37" ht="11.25" customHeight="1">
      <c r="A181" t="s">
        <v>22</v>
      </c>
      <c r="B181" t="s">
        <v>48</v>
      </c>
      <c r="C181" t="s">
        <v>50</v>
      </c>
      <c r="D181" t="s">
        <v>22</v>
      </c>
      <c r="E181" t="s">
        <v>4952</v>
      </c>
      <c r="F181" t="s">
        <v>1075</v>
      </c>
      <c r="G181" t="s">
        <v>106</v>
      </c>
      <c r="H181" t="s">
        <v>106</v>
      </c>
      <c r="I181" t="s">
        <v>107</v>
      </c>
      <c r="J181" t="s">
        <v>4472</v>
      </c>
      <c r="K181" t="s">
        <v>4473</v>
      </c>
      <c r="L181" t="s">
        <v>4474</v>
      </c>
      <c r="M181" t="s">
        <v>782</v>
      </c>
      <c r="N181" t="s">
        <v>114</v>
      </c>
      <c r="O181" t="s">
        <v>106</v>
      </c>
      <c r="P181" t="s">
        <v>106</v>
      </c>
      <c r="Q181" t="s">
        <v>107</v>
      </c>
      <c r="R181" t="s">
        <v>4472</v>
      </c>
      <c r="S181" t="s">
        <v>4473</v>
      </c>
      <c r="T181" t="s">
        <v>4465</v>
      </c>
      <c r="U181" t="s">
        <v>4466</v>
      </c>
      <c r="V181" t="s">
        <v>4467</v>
      </c>
      <c r="W181" t="s">
        <v>4475</v>
      </c>
      <c r="X181" t="s">
        <v>4469</v>
      </c>
      <c r="Y181" t="s">
        <v>4466</v>
      </c>
      <c r="Z181" t="s">
        <v>1013</v>
      </c>
      <c r="AA181" t="s">
        <v>4470</v>
      </c>
      <c r="AB181" t="s">
        <v>4467</v>
      </c>
      <c r="AC181" t="s">
        <v>19</v>
      </c>
      <c r="AD181" t="s">
        <v>61</v>
      </c>
      <c r="AE181" t="s">
        <v>19</v>
      </c>
      <c r="AF181" t="s">
        <v>22</v>
      </c>
      <c r="AG181" t="s">
        <v>22</v>
      </c>
      <c r="AH181" t="s">
        <v>115</v>
      </c>
      <c r="AI181" t="s">
        <v>90</v>
      </c>
      <c r="AJ181" t="s">
        <v>22</v>
      </c>
      <c r="AK181" t="s">
        <v>22</v>
      </c>
    </row>
    <row r="182" spans="1:37" ht="11.25" customHeight="1">
      <c r="A182" t="s">
        <v>22</v>
      </c>
      <c r="B182" t="s">
        <v>48</v>
      </c>
      <c r="C182" t="s">
        <v>50</v>
      </c>
      <c r="D182" t="s">
        <v>22</v>
      </c>
      <c r="E182" t="s">
        <v>4953</v>
      </c>
      <c r="F182" t="s">
        <v>1075</v>
      </c>
      <c r="G182" t="s">
        <v>106</v>
      </c>
      <c r="H182" t="s">
        <v>106</v>
      </c>
      <c r="I182" t="s">
        <v>107</v>
      </c>
      <c r="J182" t="s">
        <v>4462</v>
      </c>
      <c r="K182" t="s">
        <v>4463</v>
      </c>
      <c r="L182" t="s">
        <v>4464</v>
      </c>
      <c r="M182" t="s">
        <v>782</v>
      </c>
      <c r="N182" t="s">
        <v>114</v>
      </c>
      <c r="O182" t="s">
        <v>106</v>
      </c>
      <c r="P182" t="s">
        <v>106</v>
      </c>
      <c r="Q182" t="s">
        <v>107</v>
      </c>
      <c r="R182" t="s">
        <v>4462</v>
      </c>
      <c r="S182" t="s">
        <v>4463</v>
      </c>
      <c r="T182" t="s">
        <v>4465</v>
      </c>
      <c r="U182" t="s">
        <v>4466</v>
      </c>
      <c r="V182" t="s">
        <v>4467</v>
      </c>
      <c r="W182" t="s">
        <v>4468</v>
      </c>
      <c r="X182" t="s">
        <v>4469</v>
      </c>
      <c r="Y182" t="s">
        <v>4466</v>
      </c>
      <c r="Z182" t="s">
        <v>1013</v>
      </c>
      <c r="AA182" t="s">
        <v>4470</v>
      </c>
      <c r="AB182" t="s">
        <v>4467</v>
      </c>
      <c r="AC182" t="s">
        <v>19</v>
      </c>
      <c r="AD182" t="s">
        <v>61</v>
      </c>
      <c r="AE182" t="s">
        <v>19</v>
      </c>
      <c r="AF182" t="s">
        <v>22</v>
      </c>
      <c r="AG182" t="s">
        <v>22</v>
      </c>
      <c r="AH182" t="s">
        <v>1143</v>
      </c>
      <c r="AI182" t="s">
        <v>161</v>
      </c>
      <c r="AJ182" t="s">
        <v>22</v>
      </c>
      <c r="AK182" t="s">
        <v>22</v>
      </c>
    </row>
    <row r="183" spans="1:37" ht="11.25" customHeight="1">
      <c r="A183" t="s">
        <v>22</v>
      </c>
      <c r="B183" t="s">
        <v>48</v>
      </c>
      <c r="C183" t="s">
        <v>50</v>
      </c>
      <c r="D183" t="s">
        <v>22</v>
      </c>
      <c r="E183" t="s">
        <v>4954</v>
      </c>
      <c r="F183" t="s">
        <v>1075</v>
      </c>
      <c r="G183" t="s">
        <v>106</v>
      </c>
      <c r="H183" t="s">
        <v>106</v>
      </c>
      <c r="I183" t="s">
        <v>107</v>
      </c>
      <c r="J183" t="s">
        <v>4743</v>
      </c>
      <c r="K183" t="s">
        <v>4744</v>
      </c>
      <c r="L183" t="s">
        <v>4955</v>
      </c>
      <c r="M183" t="s">
        <v>782</v>
      </c>
      <c r="N183" t="s">
        <v>114</v>
      </c>
      <c r="O183" t="s">
        <v>106</v>
      </c>
      <c r="P183" t="s">
        <v>106</v>
      </c>
      <c r="Q183" t="s">
        <v>107</v>
      </c>
      <c r="R183" t="s">
        <v>4743</v>
      </c>
      <c r="S183" t="s">
        <v>4744</v>
      </c>
      <c r="T183" t="s">
        <v>4465</v>
      </c>
      <c r="U183" t="s">
        <v>4466</v>
      </c>
      <c r="V183" t="s">
        <v>4467</v>
      </c>
      <c r="W183" t="s">
        <v>4468</v>
      </c>
      <c r="X183" t="s">
        <v>4469</v>
      </c>
      <c r="Y183" t="s">
        <v>4466</v>
      </c>
      <c r="Z183" t="s">
        <v>1013</v>
      </c>
      <c r="AA183" t="s">
        <v>4470</v>
      </c>
      <c r="AB183" t="s">
        <v>4467</v>
      </c>
      <c r="AC183" t="s">
        <v>19</v>
      </c>
      <c r="AD183" t="s">
        <v>61</v>
      </c>
      <c r="AE183" t="s">
        <v>19</v>
      </c>
      <c r="AF183" t="s">
        <v>22</v>
      </c>
      <c r="AG183" t="s">
        <v>22</v>
      </c>
      <c r="AH183" t="s">
        <v>1166</v>
      </c>
      <c r="AI183" t="s">
        <v>1158</v>
      </c>
      <c r="AJ183" t="s">
        <v>22</v>
      </c>
      <c r="AK183" t="s">
        <v>22</v>
      </c>
    </row>
    <row r="184" spans="1:37" ht="11.25" customHeight="1">
      <c r="A184" t="s">
        <v>22</v>
      </c>
      <c r="B184" t="s">
        <v>48</v>
      </c>
      <c r="C184" t="s">
        <v>50</v>
      </c>
      <c r="D184" t="s">
        <v>22</v>
      </c>
      <c r="E184" t="s">
        <v>4956</v>
      </c>
      <c r="F184" t="s">
        <v>1075</v>
      </c>
      <c r="G184" t="s">
        <v>106</v>
      </c>
      <c r="H184" t="s">
        <v>106</v>
      </c>
      <c r="I184" t="s">
        <v>107</v>
      </c>
      <c r="J184" t="s">
        <v>4859</v>
      </c>
      <c r="K184" t="s">
        <v>4860</v>
      </c>
      <c r="L184" t="s">
        <v>4861</v>
      </c>
      <c r="M184" t="s">
        <v>782</v>
      </c>
      <c r="N184" t="s">
        <v>114</v>
      </c>
      <c r="O184" t="s">
        <v>106</v>
      </c>
      <c r="P184" t="s">
        <v>106</v>
      </c>
      <c r="Q184" t="s">
        <v>107</v>
      </c>
      <c r="R184" t="s">
        <v>4859</v>
      </c>
      <c r="S184" t="s">
        <v>4860</v>
      </c>
      <c r="T184" t="s">
        <v>4465</v>
      </c>
      <c r="U184" t="s">
        <v>4466</v>
      </c>
      <c r="V184" t="s">
        <v>4467</v>
      </c>
      <c r="W184" t="s">
        <v>4468</v>
      </c>
      <c r="X184" t="s">
        <v>4469</v>
      </c>
      <c r="Y184" t="s">
        <v>4466</v>
      </c>
      <c r="Z184" t="s">
        <v>1013</v>
      </c>
      <c r="AA184" t="s">
        <v>4470</v>
      </c>
      <c r="AB184" t="s">
        <v>4467</v>
      </c>
      <c r="AC184" t="s">
        <v>19</v>
      </c>
      <c r="AD184" t="s">
        <v>61</v>
      </c>
      <c r="AE184" t="s">
        <v>19</v>
      </c>
      <c r="AF184" t="s">
        <v>22</v>
      </c>
      <c r="AG184" t="s">
        <v>22</v>
      </c>
      <c r="AH184" t="s">
        <v>116</v>
      </c>
      <c r="AI184" t="s">
        <v>91</v>
      </c>
      <c r="AJ184" t="s">
        <v>22</v>
      </c>
      <c r="AK184" t="s">
        <v>22</v>
      </c>
    </row>
    <row r="185" spans="1:37" ht="11.25" customHeight="1">
      <c r="A185" t="s">
        <v>22</v>
      </c>
      <c r="B185" t="s">
        <v>48</v>
      </c>
      <c r="C185" t="s">
        <v>50</v>
      </c>
      <c r="D185" t="s">
        <v>22</v>
      </c>
      <c r="E185" t="s">
        <v>4957</v>
      </c>
      <c r="F185" t="s">
        <v>1075</v>
      </c>
      <c r="G185" t="s">
        <v>106</v>
      </c>
      <c r="H185" t="s">
        <v>106</v>
      </c>
      <c r="I185" t="s">
        <v>107</v>
      </c>
      <c r="J185" t="s">
        <v>4462</v>
      </c>
      <c r="K185" t="s">
        <v>4463</v>
      </c>
      <c r="L185" t="s">
        <v>4464</v>
      </c>
      <c r="M185" t="s">
        <v>782</v>
      </c>
      <c r="N185" t="s">
        <v>114</v>
      </c>
      <c r="O185" t="s">
        <v>106</v>
      </c>
      <c r="P185" t="s">
        <v>106</v>
      </c>
      <c r="Q185" t="s">
        <v>107</v>
      </c>
      <c r="R185" t="s">
        <v>4462</v>
      </c>
      <c r="S185" t="s">
        <v>4463</v>
      </c>
      <c r="T185" t="s">
        <v>4465</v>
      </c>
      <c r="U185" t="s">
        <v>4466</v>
      </c>
      <c r="V185" t="s">
        <v>4467</v>
      </c>
      <c r="W185" t="s">
        <v>4468</v>
      </c>
      <c r="X185" t="s">
        <v>4469</v>
      </c>
      <c r="Y185" t="s">
        <v>4466</v>
      </c>
      <c r="Z185" t="s">
        <v>1013</v>
      </c>
      <c r="AA185" t="s">
        <v>4470</v>
      </c>
      <c r="AB185" t="s">
        <v>4467</v>
      </c>
      <c r="AC185" t="s">
        <v>19</v>
      </c>
      <c r="AD185" t="s">
        <v>61</v>
      </c>
      <c r="AE185" t="s">
        <v>19</v>
      </c>
      <c r="AF185" t="s">
        <v>22</v>
      </c>
      <c r="AG185" t="s">
        <v>22</v>
      </c>
      <c r="AH185" t="s">
        <v>1143</v>
      </c>
      <c r="AI185" t="s">
        <v>161</v>
      </c>
      <c r="AJ185" t="s">
        <v>22</v>
      </c>
      <c r="AK185" t="s">
        <v>22</v>
      </c>
    </row>
    <row r="186" spans="1:37" ht="11.25" customHeight="1">
      <c r="A186" t="s">
        <v>22</v>
      </c>
      <c r="B186" t="s">
        <v>48</v>
      </c>
      <c r="C186" t="s">
        <v>50</v>
      </c>
      <c r="D186" t="s">
        <v>22</v>
      </c>
      <c r="E186" t="s">
        <v>4958</v>
      </c>
      <c r="F186" t="s">
        <v>1075</v>
      </c>
      <c r="G186" t="s">
        <v>106</v>
      </c>
      <c r="H186" t="s">
        <v>106</v>
      </c>
      <c r="I186" t="s">
        <v>107</v>
      </c>
      <c r="J186" t="s">
        <v>4863</v>
      </c>
      <c r="K186" t="s">
        <v>4864</v>
      </c>
      <c r="L186" t="s">
        <v>4865</v>
      </c>
      <c r="M186" t="s">
        <v>782</v>
      </c>
      <c r="N186" t="s">
        <v>114</v>
      </c>
      <c r="O186" t="s">
        <v>106</v>
      </c>
      <c r="P186" t="s">
        <v>106</v>
      </c>
      <c r="Q186" t="s">
        <v>107</v>
      </c>
      <c r="R186" t="s">
        <v>4863</v>
      </c>
      <c r="S186" t="s">
        <v>4864</v>
      </c>
      <c r="T186" t="s">
        <v>4465</v>
      </c>
      <c r="U186" t="s">
        <v>4466</v>
      </c>
      <c r="V186" t="s">
        <v>4467</v>
      </c>
      <c r="W186" t="s">
        <v>4468</v>
      </c>
      <c r="X186" t="s">
        <v>4469</v>
      </c>
      <c r="Y186" t="s">
        <v>4466</v>
      </c>
      <c r="Z186" t="s">
        <v>1013</v>
      </c>
      <c r="AA186" t="s">
        <v>4470</v>
      </c>
      <c r="AB186" t="s">
        <v>4467</v>
      </c>
      <c r="AC186" t="s">
        <v>19</v>
      </c>
      <c r="AD186" t="s">
        <v>61</v>
      </c>
      <c r="AE186" t="s">
        <v>19</v>
      </c>
      <c r="AF186" t="s">
        <v>22</v>
      </c>
      <c r="AG186" t="s">
        <v>22</v>
      </c>
      <c r="AH186" t="s">
        <v>1158</v>
      </c>
      <c r="AI186" t="s">
        <v>1131</v>
      </c>
      <c r="AJ186" t="s">
        <v>22</v>
      </c>
      <c r="AK186" t="s">
        <v>22</v>
      </c>
    </row>
    <row r="187" spans="1:37" ht="11.25" customHeight="1">
      <c r="A187" t="s">
        <v>22</v>
      </c>
      <c r="B187" t="s">
        <v>48</v>
      </c>
      <c r="C187" t="s">
        <v>50</v>
      </c>
      <c r="D187" t="s">
        <v>22</v>
      </c>
      <c r="E187" t="s">
        <v>4959</v>
      </c>
      <c r="F187" t="s">
        <v>1075</v>
      </c>
      <c r="G187" t="s">
        <v>106</v>
      </c>
      <c r="H187" t="s">
        <v>106</v>
      </c>
      <c r="I187" t="s">
        <v>107</v>
      </c>
      <c r="J187" t="s">
        <v>4850</v>
      </c>
      <c r="K187" t="s">
        <v>4851</v>
      </c>
      <c r="L187" t="s">
        <v>4852</v>
      </c>
      <c r="M187" t="s">
        <v>782</v>
      </c>
      <c r="N187" t="s">
        <v>114</v>
      </c>
      <c r="O187" t="s">
        <v>106</v>
      </c>
      <c r="P187" t="s">
        <v>106</v>
      </c>
      <c r="Q187" t="s">
        <v>107</v>
      </c>
      <c r="R187" t="s">
        <v>4850</v>
      </c>
      <c r="S187" t="s">
        <v>4851</v>
      </c>
      <c r="T187" t="s">
        <v>4465</v>
      </c>
      <c r="U187" t="s">
        <v>4466</v>
      </c>
      <c r="V187" t="s">
        <v>4467</v>
      </c>
      <c r="W187" t="s">
        <v>4475</v>
      </c>
      <c r="X187" t="s">
        <v>4469</v>
      </c>
      <c r="Y187" t="s">
        <v>4466</v>
      </c>
      <c r="Z187" t="s">
        <v>1013</v>
      </c>
      <c r="AA187" t="s">
        <v>4470</v>
      </c>
      <c r="AB187" t="s">
        <v>4467</v>
      </c>
      <c r="AC187" t="s">
        <v>19</v>
      </c>
      <c r="AD187" t="s">
        <v>61</v>
      </c>
      <c r="AE187" t="s">
        <v>19</v>
      </c>
      <c r="AF187" t="s">
        <v>22</v>
      </c>
      <c r="AG187" t="s">
        <v>22</v>
      </c>
      <c r="AH187" t="s">
        <v>115</v>
      </c>
      <c r="AI187" t="s">
        <v>89</v>
      </c>
      <c r="AJ187" t="s">
        <v>22</v>
      </c>
      <c r="AK187" t="s">
        <v>22</v>
      </c>
    </row>
    <row r="188" spans="1:37" ht="11.25" customHeight="1">
      <c r="A188" t="s">
        <v>22</v>
      </c>
      <c r="B188" t="s">
        <v>48</v>
      </c>
      <c r="C188" t="s">
        <v>50</v>
      </c>
      <c r="D188" t="s">
        <v>22</v>
      </c>
      <c r="E188" t="s">
        <v>4960</v>
      </c>
      <c r="F188" t="s">
        <v>1075</v>
      </c>
      <c r="G188" t="s">
        <v>106</v>
      </c>
      <c r="H188" t="s">
        <v>106</v>
      </c>
      <c r="I188" t="s">
        <v>107</v>
      </c>
      <c r="J188" t="s">
        <v>4472</v>
      </c>
      <c r="K188" t="s">
        <v>4473</v>
      </c>
      <c r="L188" t="s">
        <v>4474</v>
      </c>
      <c r="M188" t="s">
        <v>782</v>
      </c>
      <c r="N188" t="s">
        <v>114</v>
      </c>
      <c r="O188" t="s">
        <v>106</v>
      </c>
      <c r="P188" t="s">
        <v>106</v>
      </c>
      <c r="Q188" t="s">
        <v>107</v>
      </c>
      <c r="R188" t="s">
        <v>4472</v>
      </c>
      <c r="S188" t="s">
        <v>4473</v>
      </c>
      <c r="T188" t="s">
        <v>4465</v>
      </c>
      <c r="U188" t="s">
        <v>4466</v>
      </c>
      <c r="V188" t="s">
        <v>4467</v>
      </c>
      <c r="W188" t="s">
        <v>4475</v>
      </c>
      <c r="X188" t="s">
        <v>4469</v>
      </c>
      <c r="Y188" t="s">
        <v>4466</v>
      </c>
      <c r="Z188" t="s">
        <v>1013</v>
      </c>
      <c r="AA188" t="s">
        <v>4470</v>
      </c>
      <c r="AB188" t="s">
        <v>4467</v>
      </c>
      <c r="AC188" t="s">
        <v>19</v>
      </c>
      <c r="AD188" t="s">
        <v>61</v>
      </c>
      <c r="AE188" t="s">
        <v>19</v>
      </c>
      <c r="AF188" t="s">
        <v>22</v>
      </c>
      <c r="AG188" t="s">
        <v>22</v>
      </c>
      <c r="AH188" t="s">
        <v>115</v>
      </c>
      <c r="AI188" t="s">
        <v>90</v>
      </c>
      <c r="AJ188" t="s">
        <v>22</v>
      </c>
      <c r="AK188" t="s">
        <v>22</v>
      </c>
    </row>
    <row r="189" spans="1:37" ht="11.25" customHeight="1">
      <c r="A189" t="s">
        <v>22</v>
      </c>
      <c r="B189" t="s">
        <v>48</v>
      </c>
      <c r="C189" t="s">
        <v>50</v>
      </c>
      <c r="D189" t="s">
        <v>22</v>
      </c>
      <c r="E189" t="s">
        <v>4961</v>
      </c>
      <c r="F189" t="s">
        <v>4885</v>
      </c>
      <c r="G189" t="s">
        <v>106</v>
      </c>
      <c r="H189" t="s">
        <v>106</v>
      </c>
      <c r="I189" t="s">
        <v>107</v>
      </c>
      <c r="J189" t="s">
        <v>4962</v>
      </c>
      <c r="K189" t="s">
        <v>4963</v>
      </c>
      <c r="L189" t="s">
        <v>4964</v>
      </c>
      <c r="M189" t="s">
        <v>782</v>
      </c>
      <c r="N189" t="s">
        <v>114</v>
      </c>
      <c r="O189" t="s">
        <v>106</v>
      </c>
      <c r="P189" t="s">
        <v>106</v>
      </c>
      <c r="Q189" t="s">
        <v>107</v>
      </c>
      <c r="R189" t="s">
        <v>4962</v>
      </c>
      <c r="S189" t="s">
        <v>4963</v>
      </c>
      <c r="T189" t="s">
        <v>4567</v>
      </c>
      <c r="U189" t="s">
        <v>4677</v>
      </c>
      <c r="V189" t="s">
        <v>4965</v>
      </c>
      <c r="W189" t="s">
        <v>4468</v>
      </c>
      <c r="X189" t="s">
        <v>4569</v>
      </c>
      <c r="Y189" t="s">
        <v>4570</v>
      </c>
      <c r="Z189" t="s">
        <v>1013</v>
      </c>
      <c r="AA189" t="s">
        <v>4966</v>
      </c>
      <c r="AB189" t="s">
        <v>4965</v>
      </c>
      <c r="AC189" t="s">
        <v>19</v>
      </c>
      <c r="AD189" t="s">
        <v>19</v>
      </c>
      <c r="AE189" t="s">
        <v>61</v>
      </c>
      <c r="AF189" t="s">
        <v>22</v>
      </c>
      <c r="AG189" t="s">
        <v>22</v>
      </c>
      <c r="AH189" t="s">
        <v>22</v>
      </c>
      <c r="AI189" t="s">
        <v>22</v>
      </c>
      <c r="AJ189" t="s">
        <v>384</v>
      </c>
      <c r="AK189" t="s">
        <v>115</v>
      </c>
    </row>
    <row r="190" spans="1:37" ht="11.25" customHeight="1">
      <c r="A190" t="s">
        <v>22</v>
      </c>
      <c r="B190" t="s">
        <v>48</v>
      </c>
      <c r="C190" t="s">
        <v>50</v>
      </c>
      <c r="D190" t="s">
        <v>22</v>
      </c>
      <c r="E190" t="s">
        <v>4967</v>
      </c>
      <c r="F190" t="s">
        <v>4885</v>
      </c>
      <c r="G190" t="s">
        <v>106</v>
      </c>
      <c r="H190" t="s">
        <v>106</v>
      </c>
      <c r="I190" t="s">
        <v>107</v>
      </c>
      <c r="J190" t="s">
        <v>4874</v>
      </c>
      <c r="K190" t="s">
        <v>4875</v>
      </c>
      <c r="L190" t="s">
        <v>4968</v>
      </c>
      <c r="M190" t="s">
        <v>1013</v>
      </c>
      <c r="N190" t="s">
        <v>114</v>
      </c>
      <c r="O190" t="s">
        <v>106</v>
      </c>
      <c r="P190" t="s">
        <v>106</v>
      </c>
      <c r="Q190" t="s">
        <v>107</v>
      </c>
      <c r="R190" t="s">
        <v>4874</v>
      </c>
      <c r="S190" t="s">
        <v>4875</v>
      </c>
      <c r="T190" t="s">
        <v>4465</v>
      </c>
      <c r="U190" t="s">
        <v>4466</v>
      </c>
      <c r="V190" t="s">
        <v>4467</v>
      </c>
      <c r="W190" t="s">
        <v>4468</v>
      </c>
      <c r="X190" t="s">
        <v>4469</v>
      </c>
      <c r="Y190" t="s">
        <v>4466</v>
      </c>
      <c r="Z190" t="s">
        <v>1013</v>
      </c>
      <c r="AA190" t="s">
        <v>4470</v>
      </c>
      <c r="AB190" t="s">
        <v>4467</v>
      </c>
      <c r="AC190" t="s">
        <v>19</v>
      </c>
      <c r="AD190" t="s">
        <v>19</v>
      </c>
      <c r="AE190" t="s">
        <v>61</v>
      </c>
      <c r="AF190" t="s">
        <v>22</v>
      </c>
      <c r="AG190" t="s">
        <v>22</v>
      </c>
      <c r="AH190" t="s">
        <v>22</v>
      </c>
      <c r="AI190" t="s">
        <v>22</v>
      </c>
      <c r="AJ190" t="s">
        <v>1824</v>
      </c>
      <c r="AK190" t="s">
        <v>1129</v>
      </c>
    </row>
    <row r="191" spans="1:37" ht="11.25" customHeight="1">
      <c r="A191" t="s">
        <v>22</v>
      </c>
      <c r="B191" t="s">
        <v>48</v>
      </c>
      <c r="C191" t="s">
        <v>50</v>
      </c>
      <c r="D191" t="s">
        <v>22</v>
      </c>
      <c r="E191" t="s">
        <v>4969</v>
      </c>
      <c r="F191" t="s">
        <v>4885</v>
      </c>
      <c r="G191" t="s">
        <v>106</v>
      </c>
      <c r="H191" t="s">
        <v>106</v>
      </c>
      <c r="I191" t="s">
        <v>107</v>
      </c>
      <c r="J191" t="s">
        <v>4970</v>
      </c>
      <c r="K191" t="s">
        <v>4971</v>
      </c>
      <c r="L191" t="s">
        <v>4972</v>
      </c>
      <c r="M191" t="s">
        <v>1013</v>
      </c>
      <c r="N191" t="s">
        <v>114</v>
      </c>
      <c r="O191" t="s">
        <v>106</v>
      </c>
      <c r="P191" t="s">
        <v>106</v>
      </c>
      <c r="Q191" t="s">
        <v>107</v>
      </c>
      <c r="R191" t="s">
        <v>4970</v>
      </c>
      <c r="S191" t="s">
        <v>4971</v>
      </c>
      <c r="T191" t="s">
        <v>4465</v>
      </c>
      <c r="U191" t="s">
        <v>4466</v>
      </c>
      <c r="V191" t="s">
        <v>4467</v>
      </c>
      <c r="W191" t="s">
        <v>4468</v>
      </c>
      <c r="X191" t="s">
        <v>4469</v>
      </c>
      <c r="Y191" t="s">
        <v>4466</v>
      </c>
      <c r="Z191" t="s">
        <v>1013</v>
      </c>
      <c r="AA191" t="s">
        <v>4470</v>
      </c>
      <c r="AB191" t="s">
        <v>4467</v>
      </c>
      <c r="AC191" t="s">
        <v>19</v>
      </c>
      <c r="AD191" t="s">
        <v>19</v>
      </c>
      <c r="AE191" t="s">
        <v>61</v>
      </c>
      <c r="AF191" t="s">
        <v>22</v>
      </c>
      <c r="AG191" t="s">
        <v>22</v>
      </c>
      <c r="AH191" t="s">
        <v>22</v>
      </c>
      <c r="AI191" t="s">
        <v>22</v>
      </c>
      <c r="AJ191" t="s">
        <v>384</v>
      </c>
      <c r="AK191" t="s">
        <v>1136</v>
      </c>
    </row>
    <row r="192" spans="1:37" ht="11.25" customHeight="1">
      <c r="A192" t="s">
        <v>22</v>
      </c>
      <c r="B192" t="s">
        <v>48</v>
      </c>
      <c r="C192" t="s">
        <v>50</v>
      </c>
      <c r="D192" t="s">
        <v>22</v>
      </c>
      <c r="E192" t="s">
        <v>4973</v>
      </c>
      <c r="F192" t="s">
        <v>4885</v>
      </c>
      <c r="G192" t="s">
        <v>106</v>
      </c>
      <c r="H192" t="s">
        <v>106</v>
      </c>
      <c r="I192" t="s">
        <v>107</v>
      </c>
      <c r="J192" t="s">
        <v>4482</v>
      </c>
      <c r="K192" t="s">
        <v>4483</v>
      </c>
      <c r="L192" t="s">
        <v>4484</v>
      </c>
      <c r="M192" t="s">
        <v>1013</v>
      </c>
      <c r="N192" t="s">
        <v>114</v>
      </c>
      <c r="O192" t="s">
        <v>106</v>
      </c>
      <c r="P192" t="s">
        <v>106</v>
      </c>
      <c r="Q192" t="s">
        <v>107</v>
      </c>
      <c r="R192" t="s">
        <v>4482</v>
      </c>
      <c r="S192" t="s">
        <v>4483</v>
      </c>
      <c r="T192" t="s">
        <v>4465</v>
      </c>
      <c r="U192" t="s">
        <v>4466</v>
      </c>
      <c r="V192" t="s">
        <v>4467</v>
      </c>
      <c r="W192" t="s">
        <v>4468</v>
      </c>
      <c r="X192" t="s">
        <v>4469</v>
      </c>
      <c r="Y192" t="s">
        <v>4466</v>
      </c>
      <c r="Z192" t="s">
        <v>1013</v>
      </c>
      <c r="AA192" t="s">
        <v>4470</v>
      </c>
      <c r="AB192" t="s">
        <v>4467</v>
      </c>
      <c r="AC192" t="s">
        <v>19</v>
      </c>
      <c r="AD192" t="s">
        <v>19</v>
      </c>
      <c r="AE192" t="s">
        <v>61</v>
      </c>
      <c r="AF192" t="s">
        <v>22</v>
      </c>
      <c r="AG192" t="s">
        <v>22</v>
      </c>
      <c r="AH192" t="s">
        <v>22</v>
      </c>
      <c r="AI192" t="s">
        <v>22</v>
      </c>
      <c r="AJ192" t="s">
        <v>4509</v>
      </c>
      <c r="AK192" t="s">
        <v>1189</v>
      </c>
    </row>
    <row r="193" spans="1:37" ht="11.25" customHeight="1">
      <c r="A193" t="s">
        <v>22</v>
      </c>
      <c r="B193" t="s">
        <v>48</v>
      </c>
      <c r="C193" t="s">
        <v>50</v>
      </c>
      <c r="D193" t="s">
        <v>22</v>
      </c>
      <c r="E193" t="s">
        <v>4974</v>
      </c>
      <c r="F193" t="s">
        <v>4885</v>
      </c>
      <c r="G193" t="s">
        <v>106</v>
      </c>
      <c r="H193" t="s">
        <v>106</v>
      </c>
      <c r="I193" t="s">
        <v>107</v>
      </c>
      <c r="J193" t="s">
        <v>4482</v>
      </c>
      <c r="K193" t="s">
        <v>4483</v>
      </c>
      <c r="L193" t="s">
        <v>4484</v>
      </c>
      <c r="M193" t="s">
        <v>1013</v>
      </c>
      <c r="N193" t="s">
        <v>114</v>
      </c>
      <c r="O193" t="s">
        <v>106</v>
      </c>
      <c r="P193" t="s">
        <v>106</v>
      </c>
      <c r="Q193" t="s">
        <v>107</v>
      </c>
      <c r="R193" t="s">
        <v>4482</v>
      </c>
      <c r="S193" t="s">
        <v>4483</v>
      </c>
      <c r="T193" t="s">
        <v>4465</v>
      </c>
      <c r="U193" t="s">
        <v>4466</v>
      </c>
      <c r="V193" t="s">
        <v>4467</v>
      </c>
      <c r="W193" t="s">
        <v>4468</v>
      </c>
      <c r="X193" t="s">
        <v>4469</v>
      </c>
      <c r="Y193" t="s">
        <v>4466</v>
      </c>
      <c r="Z193" t="s">
        <v>1013</v>
      </c>
      <c r="AA193" t="s">
        <v>4470</v>
      </c>
      <c r="AB193" t="s">
        <v>4467</v>
      </c>
      <c r="AC193" t="s">
        <v>19</v>
      </c>
      <c r="AD193" t="s">
        <v>19</v>
      </c>
      <c r="AE193" t="s">
        <v>61</v>
      </c>
      <c r="AF193" t="s">
        <v>22</v>
      </c>
      <c r="AG193" t="s">
        <v>22</v>
      </c>
      <c r="AH193" t="s">
        <v>22</v>
      </c>
      <c r="AI193" t="s">
        <v>22</v>
      </c>
      <c r="AJ193" t="s">
        <v>4536</v>
      </c>
      <c r="AK193" t="s">
        <v>4975</v>
      </c>
    </row>
    <row r="194" spans="1:37" ht="11.25" customHeight="1">
      <c r="A194" t="s">
        <v>22</v>
      </c>
      <c r="B194" t="s">
        <v>48</v>
      </c>
      <c r="C194" t="s">
        <v>50</v>
      </c>
      <c r="D194" t="s">
        <v>22</v>
      </c>
      <c r="E194" t="s">
        <v>4976</v>
      </c>
      <c r="F194" t="s">
        <v>4885</v>
      </c>
      <c r="G194" t="s">
        <v>106</v>
      </c>
      <c r="H194" t="s">
        <v>106</v>
      </c>
      <c r="I194" t="s">
        <v>107</v>
      </c>
      <c r="J194" t="s">
        <v>4854</v>
      </c>
      <c r="K194" t="s">
        <v>4855</v>
      </c>
      <c r="L194" t="s">
        <v>4977</v>
      </c>
      <c r="M194" t="s">
        <v>1013</v>
      </c>
      <c r="N194" t="s">
        <v>114</v>
      </c>
      <c r="O194" t="s">
        <v>106</v>
      </c>
      <c r="P194" t="s">
        <v>106</v>
      </c>
      <c r="Q194" t="s">
        <v>107</v>
      </c>
      <c r="R194" t="s">
        <v>4854</v>
      </c>
      <c r="S194" t="s">
        <v>4855</v>
      </c>
      <c r="T194" t="s">
        <v>4465</v>
      </c>
      <c r="U194" t="s">
        <v>4466</v>
      </c>
      <c r="V194" t="s">
        <v>4467</v>
      </c>
      <c r="W194" t="s">
        <v>4468</v>
      </c>
      <c r="X194" t="s">
        <v>4469</v>
      </c>
      <c r="Y194" t="s">
        <v>4466</v>
      </c>
      <c r="Z194" t="s">
        <v>1013</v>
      </c>
      <c r="AA194" t="s">
        <v>4470</v>
      </c>
      <c r="AB194" t="s">
        <v>4467</v>
      </c>
      <c r="AC194" t="s">
        <v>19</v>
      </c>
      <c r="AD194" t="s">
        <v>19</v>
      </c>
      <c r="AE194" t="s">
        <v>61</v>
      </c>
      <c r="AF194" t="s">
        <v>22</v>
      </c>
      <c r="AG194" t="s">
        <v>22</v>
      </c>
      <c r="AH194" t="s">
        <v>22</v>
      </c>
      <c r="AI194" t="s">
        <v>22</v>
      </c>
      <c r="AJ194" t="s">
        <v>4645</v>
      </c>
      <c r="AK194" t="s">
        <v>1833</v>
      </c>
    </row>
    <row r="195" spans="1:37" ht="11.25" customHeight="1">
      <c r="A195" t="s">
        <v>22</v>
      </c>
      <c r="B195" t="s">
        <v>48</v>
      </c>
      <c r="C195" t="s">
        <v>50</v>
      </c>
      <c r="D195" t="s">
        <v>22</v>
      </c>
      <c r="E195" t="s">
        <v>4978</v>
      </c>
      <c r="F195" t="s">
        <v>4885</v>
      </c>
      <c r="G195" t="s">
        <v>106</v>
      </c>
      <c r="H195" t="s">
        <v>106</v>
      </c>
      <c r="I195" t="s">
        <v>107</v>
      </c>
      <c r="J195" t="s">
        <v>4743</v>
      </c>
      <c r="K195" t="s">
        <v>4744</v>
      </c>
      <c r="L195" t="s">
        <v>4955</v>
      </c>
      <c r="M195" t="s">
        <v>1013</v>
      </c>
      <c r="N195" t="s">
        <v>114</v>
      </c>
      <c r="O195" t="s">
        <v>106</v>
      </c>
      <c r="P195" t="s">
        <v>106</v>
      </c>
      <c r="Q195" t="s">
        <v>107</v>
      </c>
      <c r="R195" t="s">
        <v>4743</v>
      </c>
      <c r="S195" t="s">
        <v>4744</v>
      </c>
      <c r="T195" t="s">
        <v>4465</v>
      </c>
      <c r="U195" t="s">
        <v>4466</v>
      </c>
      <c r="V195" t="s">
        <v>4467</v>
      </c>
      <c r="W195" t="s">
        <v>4468</v>
      </c>
      <c r="X195" t="s">
        <v>4469</v>
      </c>
      <c r="Y195" t="s">
        <v>4466</v>
      </c>
      <c r="Z195" t="s">
        <v>1013</v>
      </c>
      <c r="AA195" t="s">
        <v>4470</v>
      </c>
      <c r="AB195" t="s">
        <v>4467</v>
      </c>
      <c r="AC195" t="s">
        <v>19</v>
      </c>
      <c r="AD195" t="s">
        <v>19</v>
      </c>
      <c r="AE195" t="s">
        <v>61</v>
      </c>
      <c r="AF195" t="s">
        <v>22</v>
      </c>
      <c r="AG195" t="s">
        <v>22</v>
      </c>
      <c r="AH195" t="s">
        <v>22</v>
      </c>
      <c r="AI195" t="s">
        <v>22</v>
      </c>
      <c r="AJ195" t="s">
        <v>1158</v>
      </c>
      <c r="AK195" t="s">
        <v>162</v>
      </c>
    </row>
    <row r="196" spans="1:37" ht="11.25" customHeight="1">
      <c r="A196" t="s">
        <v>22</v>
      </c>
      <c r="B196" t="s">
        <v>48</v>
      </c>
      <c r="C196" t="s">
        <v>50</v>
      </c>
      <c r="D196" t="s">
        <v>22</v>
      </c>
      <c r="E196" t="s">
        <v>4979</v>
      </c>
      <c r="F196" t="s">
        <v>4885</v>
      </c>
      <c r="G196" t="s">
        <v>106</v>
      </c>
      <c r="H196" t="s">
        <v>106</v>
      </c>
      <c r="I196" t="s">
        <v>107</v>
      </c>
      <c r="J196" t="s">
        <v>4980</v>
      </c>
      <c r="K196" t="s">
        <v>4981</v>
      </c>
      <c r="L196" t="s">
        <v>4982</v>
      </c>
      <c r="M196" t="s">
        <v>1013</v>
      </c>
      <c r="N196" t="s">
        <v>114</v>
      </c>
      <c r="O196" t="s">
        <v>106</v>
      </c>
      <c r="P196" t="s">
        <v>106</v>
      </c>
      <c r="Q196" t="s">
        <v>107</v>
      </c>
      <c r="R196" t="s">
        <v>4980</v>
      </c>
      <c r="S196" t="s">
        <v>4981</v>
      </c>
      <c r="T196" t="s">
        <v>4465</v>
      </c>
      <c r="U196" t="s">
        <v>4466</v>
      </c>
      <c r="V196" t="s">
        <v>4467</v>
      </c>
      <c r="W196" t="s">
        <v>4468</v>
      </c>
      <c r="X196" t="s">
        <v>4469</v>
      </c>
      <c r="Y196" t="s">
        <v>4466</v>
      </c>
      <c r="Z196" t="s">
        <v>1013</v>
      </c>
      <c r="AA196" t="s">
        <v>4470</v>
      </c>
      <c r="AB196" t="s">
        <v>4467</v>
      </c>
      <c r="AC196" t="s">
        <v>19</v>
      </c>
      <c r="AD196" t="s">
        <v>19</v>
      </c>
      <c r="AE196" t="s">
        <v>61</v>
      </c>
      <c r="AF196" t="s">
        <v>22</v>
      </c>
      <c r="AG196" t="s">
        <v>22</v>
      </c>
      <c r="AH196" t="s">
        <v>22</v>
      </c>
      <c r="AI196" t="s">
        <v>22</v>
      </c>
      <c r="AJ196" t="s">
        <v>384</v>
      </c>
      <c r="AK196" t="s">
        <v>115</v>
      </c>
    </row>
    <row r="197" spans="1:37" ht="11.25" customHeight="1">
      <c r="A197" t="s">
        <v>22</v>
      </c>
      <c r="B197" t="s">
        <v>48</v>
      </c>
      <c r="C197" t="s">
        <v>50</v>
      </c>
      <c r="D197" t="s">
        <v>22</v>
      </c>
      <c r="E197" t="s">
        <v>4983</v>
      </c>
      <c r="F197" t="s">
        <v>4885</v>
      </c>
      <c r="G197" t="s">
        <v>106</v>
      </c>
      <c r="H197" t="s">
        <v>106</v>
      </c>
      <c r="I197" t="s">
        <v>107</v>
      </c>
      <c r="J197" t="s">
        <v>4879</v>
      </c>
      <c r="K197" t="s">
        <v>4880</v>
      </c>
      <c r="L197" t="s">
        <v>4881</v>
      </c>
      <c r="M197" t="s">
        <v>1013</v>
      </c>
      <c r="N197" t="s">
        <v>114</v>
      </c>
      <c r="O197" t="s">
        <v>106</v>
      </c>
      <c r="P197" t="s">
        <v>106</v>
      </c>
      <c r="Q197" t="s">
        <v>107</v>
      </c>
      <c r="R197" t="s">
        <v>4879</v>
      </c>
      <c r="S197" t="s">
        <v>4880</v>
      </c>
      <c r="T197" t="s">
        <v>4465</v>
      </c>
      <c r="U197" t="s">
        <v>4466</v>
      </c>
      <c r="V197" t="s">
        <v>4467</v>
      </c>
      <c r="W197" t="s">
        <v>4468</v>
      </c>
      <c r="X197" t="s">
        <v>4469</v>
      </c>
      <c r="Y197" t="s">
        <v>4466</v>
      </c>
      <c r="Z197" t="s">
        <v>1013</v>
      </c>
      <c r="AA197" t="s">
        <v>4470</v>
      </c>
      <c r="AB197" t="s">
        <v>4467</v>
      </c>
      <c r="AC197" t="s">
        <v>19</v>
      </c>
      <c r="AD197" t="s">
        <v>19</v>
      </c>
      <c r="AE197" t="s">
        <v>61</v>
      </c>
      <c r="AF197" t="s">
        <v>22</v>
      </c>
      <c r="AG197" t="s">
        <v>22</v>
      </c>
      <c r="AH197" t="s">
        <v>22</v>
      </c>
      <c r="AI197" t="s">
        <v>22</v>
      </c>
      <c r="AJ197" t="s">
        <v>1824</v>
      </c>
      <c r="AK197" t="s">
        <v>1158</v>
      </c>
    </row>
    <row r="198" spans="1:37" ht="11.25" customHeight="1">
      <c r="A198" t="s">
        <v>22</v>
      </c>
      <c r="B198" t="s">
        <v>48</v>
      </c>
      <c r="C198" t="s">
        <v>50</v>
      </c>
      <c r="D198" t="s">
        <v>22</v>
      </c>
      <c r="E198" t="s">
        <v>4984</v>
      </c>
      <c r="F198" t="s">
        <v>4885</v>
      </c>
      <c r="G198" t="s">
        <v>106</v>
      </c>
      <c r="H198" t="s">
        <v>106</v>
      </c>
      <c r="I198" t="s">
        <v>107</v>
      </c>
      <c r="J198" t="s">
        <v>4859</v>
      </c>
      <c r="K198" t="s">
        <v>4860</v>
      </c>
      <c r="L198" t="s">
        <v>4861</v>
      </c>
      <c r="M198" t="s">
        <v>1013</v>
      </c>
      <c r="N198" t="s">
        <v>114</v>
      </c>
      <c r="O198" t="s">
        <v>106</v>
      </c>
      <c r="P198" t="s">
        <v>106</v>
      </c>
      <c r="Q198" t="s">
        <v>107</v>
      </c>
      <c r="R198" t="s">
        <v>4859</v>
      </c>
      <c r="S198" t="s">
        <v>4860</v>
      </c>
      <c r="T198" t="s">
        <v>4465</v>
      </c>
      <c r="U198" t="s">
        <v>4466</v>
      </c>
      <c r="V198" t="s">
        <v>4467</v>
      </c>
      <c r="W198" t="s">
        <v>4468</v>
      </c>
      <c r="X198" t="s">
        <v>4469</v>
      </c>
      <c r="Y198" t="s">
        <v>4466</v>
      </c>
      <c r="Z198" t="s">
        <v>1013</v>
      </c>
      <c r="AA198" t="s">
        <v>4470</v>
      </c>
      <c r="AB198" t="s">
        <v>4467</v>
      </c>
      <c r="AC198" t="s">
        <v>19</v>
      </c>
      <c r="AD198" t="s">
        <v>19</v>
      </c>
      <c r="AE198" t="s">
        <v>61</v>
      </c>
      <c r="AF198" t="s">
        <v>22</v>
      </c>
      <c r="AG198" t="s">
        <v>22</v>
      </c>
      <c r="AH198" t="s">
        <v>22</v>
      </c>
      <c r="AI198" t="s">
        <v>22</v>
      </c>
      <c r="AJ198" t="s">
        <v>1186</v>
      </c>
      <c r="AK198" t="s">
        <v>161</v>
      </c>
    </row>
    <row r="199" spans="1:37" ht="11.25" customHeight="1">
      <c r="A199" t="s">
        <v>22</v>
      </c>
      <c r="B199" t="s">
        <v>48</v>
      </c>
      <c r="C199" t="s">
        <v>50</v>
      </c>
      <c r="D199" t="s">
        <v>22</v>
      </c>
      <c r="E199" t="s">
        <v>4985</v>
      </c>
      <c r="F199" t="s">
        <v>4885</v>
      </c>
      <c r="G199" t="s">
        <v>106</v>
      </c>
      <c r="H199" t="s">
        <v>106</v>
      </c>
      <c r="I199" t="s">
        <v>107</v>
      </c>
      <c r="J199" t="s">
        <v>4850</v>
      </c>
      <c r="K199" t="s">
        <v>4851</v>
      </c>
      <c r="L199" t="s">
        <v>4852</v>
      </c>
      <c r="M199" t="s">
        <v>1013</v>
      </c>
      <c r="N199" t="s">
        <v>114</v>
      </c>
      <c r="O199" t="s">
        <v>106</v>
      </c>
      <c r="P199" t="s">
        <v>106</v>
      </c>
      <c r="Q199" t="s">
        <v>107</v>
      </c>
      <c r="R199" t="s">
        <v>4850</v>
      </c>
      <c r="S199" t="s">
        <v>4851</v>
      </c>
      <c r="T199" t="s">
        <v>4465</v>
      </c>
      <c r="U199" t="s">
        <v>4466</v>
      </c>
      <c r="V199" t="s">
        <v>4467</v>
      </c>
      <c r="W199" t="s">
        <v>4468</v>
      </c>
      <c r="X199" t="s">
        <v>4469</v>
      </c>
      <c r="Y199" t="s">
        <v>4466</v>
      </c>
      <c r="Z199" t="s">
        <v>1013</v>
      </c>
      <c r="AA199" t="s">
        <v>4470</v>
      </c>
      <c r="AB199" t="s">
        <v>4467</v>
      </c>
      <c r="AC199" t="s">
        <v>19</v>
      </c>
      <c r="AD199" t="s">
        <v>19</v>
      </c>
      <c r="AE199" t="s">
        <v>61</v>
      </c>
      <c r="AF199" t="s">
        <v>22</v>
      </c>
      <c r="AG199" t="s">
        <v>22</v>
      </c>
      <c r="AH199" t="s">
        <v>22</v>
      </c>
      <c r="AI199" t="s">
        <v>22</v>
      </c>
      <c r="AJ199" t="s">
        <v>384</v>
      </c>
      <c r="AK199" t="s">
        <v>4986</v>
      </c>
    </row>
    <row r="200" spans="1:37" ht="11.25" customHeight="1">
      <c r="A200" t="s">
        <v>22</v>
      </c>
      <c r="B200" t="s">
        <v>48</v>
      </c>
      <c r="C200" t="s">
        <v>50</v>
      </c>
      <c r="D200" t="s">
        <v>22</v>
      </c>
      <c r="E200" t="s">
        <v>4987</v>
      </c>
      <c r="F200" t="s">
        <v>4885</v>
      </c>
      <c r="G200" t="s">
        <v>106</v>
      </c>
      <c r="H200" t="s">
        <v>106</v>
      </c>
      <c r="I200" t="s">
        <v>107</v>
      </c>
      <c r="J200" t="s">
        <v>4462</v>
      </c>
      <c r="K200" t="s">
        <v>4463</v>
      </c>
      <c r="L200" t="s">
        <v>4464</v>
      </c>
      <c r="M200" t="s">
        <v>1013</v>
      </c>
      <c r="N200" t="s">
        <v>114</v>
      </c>
      <c r="O200" t="s">
        <v>106</v>
      </c>
      <c r="P200" t="s">
        <v>106</v>
      </c>
      <c r="Q200" t="s">
        <v>107</v>
      </c>
      <c r="R200" t="s">
        <v>4462</v>
      </c>
      <c r="S200" t="s">
        <v>4463</v>
      </c>
      <c r="T200" t="s">
        <v>4465</v>
      </c>
      <c r="U200" t="s">
        <v>4466</v>
      </c>
      <c r="V200" t="s">
        <v>4467</v>
      </c>
      <c r="W200" t="s">
        <v>4468</v>
      </c>
      <c r="X200" t="s">
        <v>4469</v>
      </c>
      <c r="Y200" t="s">
        <v>4466</v>
      </c>
      <c r="Z200" t="s">
        <v>1013</v>
      </c>
      <c r="AA200" t="s">
        <v>4470</v>
      </c>
      <c r="AB200" t="s">
        <v>4467</v>
      </c>
      <c r="AC200" t="s">
        <v>19</v>
      </c>
      <c r="AD200" t="s">
        <v>19</v>
      </c>
      <c r="AE200" t="s">
        <v>61</v>
      </c>
      <c r="AF200" t="s">
        <v>22</v>
      </c>
      <c r="AG200" t="s">
        <v>22</v>
      </c>
      <c r="AH200" t="s">
        <v>22</v>
      </c>
      <c r="AI200" t="s">
        <v>22</v>
      </c>
      <c r="AJ200" t="s">
        <v>384</v>
      </c>
      <c r="AK200" t="s">
        <v>1136</v>
      </c>
    </row>
    <row r="201" spans="1:37" ht="11.25" customHeight="1">
      <c r="A201" t="s">
        <v>22</v>
      </c>
      <c r="B201" t="s">
        <v>48</v>
      </c>
      <c r="C201" t="s">
        <v>50</v>
      </c>
      <c r="D201" t="s">
        <v>22</v>
      </c>
      <c r="E201" t="s">
        <v>4988</v>
      </c>
      <c r="F201" t="s">
        <v>4885</v>
      </c>
      <c r="G201" t="s">
        <v>106</v>
      </c>
      <c r="H201" t="s">
        <v>106</v>
      </c>
      <c r="I201" t="s">
        <v>107</v>
      </c>
      <c r="J201" t="s">
        <v>4863</v>
      </c>
      <c r="K201" t="s">
        <v>4864</v>
      </c>
      <c r="L201" t="s">
        <v>4865</v>
      </c>
      <c r="M201" t="s">
        <v>1013</v>
      </c>
      <c r="N201" t="s">
        <v>114</v>
      </c>
      <c r="O201" t="s">
        <v>106</v>
      </c>
      <c r="P201" t="s">
        <v>106</v>
      </c>
      <c r="Q201" t="s">
        <v>107</v>
      </c>
      <c r="R201" t="s">
        <v>4863</v>
      </c>
      <c r="S201" t="s">
        <v>4864</v>
      </c>
      <c r="T201" t="s">
        <v>4465</v>
      </c>
      <c r="U201" t="s">
        <v>4466</v>
      </c>
      <c r="V201" t="s">
        <v>4467</v>
      </c>
      <c r="W201" t="s">
        <v>4468</v>
      </c>
      <c r="X201" t="s">
        <v>4469</v>
      </c>
      <c r="Y201" t="s">
        <v>4466</v>
      </c>
      <c r="Z201" t="s">
        <v>1013</v>
      </c>
      <c r="AA201" t="s">
        <v>4470</v>
      </c>
      <c r="AB201" t="s">
        <v>4467</v>
      </c>
      <c r="AC201" t="s">
        <v>19</v>
      </c>
      <c r="AD201" t="s">
        <v>19</v>
      </c>
      <c r="AE201" t="s">
        <v>61</v>
      </c>
      <c r="AF201" t="s">
        <v>22</v>
      </c>
      <c r="AG201" t="s">
        <v>22</v>
      </c>
      <c r="AH201" t="s">
        <v>22</v>
      </c>
      <c r="AI201" t="s">
        <v>22</v>
      </c>
      <c r="AJ201" t="s">
        <v>1186</v>
      </c>
      <c r="AK201" t="s">
        <v>4989</v>
      </c>
    </row>
    <row r="202" spans="1:37" ht="11.25" customHeight="1">
      <c r="A202" t="s">
        <v>22</v>
      </c>
      <c r="B202" t="s">
        <v>48</v>
      </c>
      <c r="C202" t="s">
        <v>50</v>
      </c>
      <c r="D202" t="s">
        <v>22</v>
      </c>
      <c r="E202" t="s">
        <v>4990</v>
      </c>
      <c r="F202" t="s">
        <v>4885</v>
      </c>
      <c r="G202" t="s">
        <v>106</v>
      </c>
      <c r="H202" t="s">
        <v>106</v>
      </c>
      <c r="I202" t="s">
        <v>107</v>
      </c>
      <c r="J202" t="s">
        <v>4991</v>
      </c>
      <c r="K202" t="s">
        <v>4992</v>
      </c>
      <c r="L202" t="s">
        <v>4993</v>
      </c>
      <c r="M202" t="s">
        <v>1013</v>
      </c>
      <c r="N202" t="s">
        <v>114</v>
      </c>
      <c r="O202" t="s">
        <v>106</v>
      </c>
      <c r="P202" t="s">
        <v>106</v>
      </c>
      <c r="Q202" t="s">
        <v>107</v>
      </c>
      <c r="R202" t="s">
        <v>4991</v>
      </c>
      <c r="S202" t="s">
        <v>4992</v>
      </c>
      <c r="T202" t="s">
        <v>4465</v>
      </c>
      <c r="U202" t="s">
        <v>4466</v>
      </c>
      <c r="V202" t="s">
        <v>4467</v>
      </c>
      <c r="W202" t="s">
        <v>4468</v>
      </c>
      <c r="X202" t="s">
        <v>4469</v>
      </c>
      <c r="Y202" t="s">
        <v>4466</v>
      </c>
      <c r="Z202" t="s">
        <v>1013</v>
      </c>
      <c r="AA202" t="s">
        <v>4470</v>
      </c>
      <c r="AB202" t="s">
        <v>4467</v>
      </c>
      <c r="AC202" t="s">
        <v>19</v>
      </c>
      <c r="AD202" t="s">
        <v>19</v>
      </c>
      <c r="AE202" t="s">
        <v>61</v>
      </c>
      <c r="AF202" t="s">
        <v>22</v>
      </c>
      <c r="AG202" t="s">
        <v>22</v>
      </c>
      <c r="AH202" t="s">
        <v>22</v>
      </c>
      <c r="AI202" t="s">
        <v>22</v>
      </c>
      <c r="AJ202" t="s">
        <v>384</v>
      </c>
      <c r="AK202" t="s">
        <v>102</v>
      </c>
    </row>
    <row r="203" spans="1:37" ht="11.25" customHeight="1">
      <c r="A203" t="s">
        <v>22</v>
      </c>
      <c r="B203" t="s">
        <v>48</v>
      </c>
      <c r="C203" t="s">
        <v>50</v>
      </c>
      <c r="D203" t="s">
        <v>22</v>
      </c>
      <c r="E203" t="s">
        <v>4994</v>
      </c>
      <c r="F203" t="s">
        <v>4885</v>
      </c>
      <c r="G203" t="s">
        <v>106</v>
      </c>
      <c r="H203" t="s">
        <v>106</v>
      </c>
      <c r="I203" t="s">
        <v>107</v>
      </c>
      <c r="J203" t="s">
        <v>4928</v>
      </c>
      <c r="K203" t="s">
        <v>4929</v>
      </c>
      <c r="L203" t="s">
        <v>4930</v>
      </c>
      <c r="M203" t="s">
        <v>1013</v>
      </c>
      <c r="N203" t="s">
        <v>114</v>
      </c>
      <c r="O203" t="s">
        <v>106</v>
      </c>
      <c r="P203" t="s">
        <v>106</v>
      </c>
      <c r="Q203" t="s">
        <v>107</v>
      </c>
      <c r="R203" t="s">
        <v>4928</v>
      </c>
      <c r="S203" t="s">
        <v>4929</v>
      </c>
      <c r="T203" t="s">
        <v>4465</v>
      </c>
      <c r="U203" t="s">
        <v>4466</v>
      </c>
      <c r="V203" t="s">
        <v>4467</v>
      </c>
      <c r="W203" t="s">
        <v>4468</v>
      </c>
      <c r="X203" t="s">
        <v>4469</v>
      </c>
      <c r="Y203" t="s">
        <v>4466</v>
      </c>
      <c r="Z203" t="s">
        <v>1013</v>
      </c>
      <c r="AA203" t="s">
        <v>4470</v>
      </c>
      <c r="AB203" t="s">
        <v>4467</v>
      </c>
      <c r="AC203" t="s">
        <v>19</v>
      </c>
      <c r="AD203" t="s">
        <v>19</v>
      </c>
      <c r="AE203" t="s">
        <v>61</v>
      </c>
      <c r="AF203" t="s">
        <v>22</v>
      </c>
      <c r="AG203" t="s">
        <v>22</v>
      </c>
      <c r="AH203" t="s">
        <v>22</v>
      </c>
      <c r="AI203" t="s">
        <v>22</v>
      </c>
      <c r="AJ203" t="s">
        <v>4877</v>
      </c>
      <c r="AK203" t="s">
        <v>105</v>
      </c>
    </row>
    <row r="204" spans="1:37" ht="11.25" customHeight="1">
      <c r="A204" t="s">
        <v>22</v>
      </c>
      <c r="B204" t="s">
        <v>48</v>
      </c>
      <c r="C204" t="s">
        <v>50</v>
      </c>
      <c r="D204" t="s">
        <v>22</v>
      </c>
      <c r="E204" t="s">
        <v>4995</v>
      </c>
      <c r="F204" t="s">
        <v>1065</v>
      </c>
      <c r="G204" t="s">
        <v>106</v>
      </c>
      <c r="H204" t="s">
        <v>106</v>
      </c>
      <c r="I204" t="s">
        <v>107</v>
      </c>
      <c r="J204" t="s">
        <v>4482</v>
      </c>
      <c r="K204" t="s">
        <v>4483</v>
      </c>
      <c r="L204" t="s">
        <v>4484</v>
      </c>
      <c r="M204" t="s">
        <v>4996</v>
      </c>
      <c r="N204" t="s">
        <v>114</v>
      </c>
      <c r="O204" t="s">
        <v>106</v>
      </c>
      <c r="P204" t="s">
        <v>106</v>
      </c>
      <c r="Q204" t="s">
        <v>107</v>
      </c>
      <c r="R204" t="s">
        <v>4482</v>
      </c>
      <c r="S204" t="s">
        <v>4483</v>
      </c>
      <c r="T204" t="s">
        <v>4465</v>
      </c>
      <c r="U204" t="s">
        <v>4466</v>
      </c>
      <c r="V204" t="s">
        <v>4467</v>
      </c>
      <c r="W204" t="s">
        <v>4468</v>
      </c>
      <c r="X204" t="s">
        <v>4469</v>
      </c>
      <c r="Y204" t="s">
        <v>4466</v>
      </c>
      <c r="Z204" t="s">
        <v>1013</v>
      </c>
      <c r="AA204" t="s">
        <v>4470</v>
      </c>
      <c r="AB204" t="s">
        <v>4467</v>
      </c>
      <c r="AC204" t="s">
        <v>61</v>
      </c>
      <c r="AD204" t="s">
        <v>19</v>
      </c>
      <c r="AE204" t="s">
        <v>19</v>
      </c>
      <c r="AF204" t="s">
        <v>4509</v>
      </c>
      <c r="AG204" t="s">
        <v>4839</v>
      </c>
      <c r="AH204" t="s">
        <v>22</v>
      </c>
      <c r="AI204" t="s">
        <v>22</v>
      </c>
      <c r="AJ204" t="s">
        <v>22</v>
      </c>
      <c r="AK204" t="s">
        <v>22</v>
      </c>
    </row>
    <row r="205" spans="1:37" ht="11.25" customHeight="1">
      <c r="A205" t="s">
        <v>22</v>
      </c>
      <c r="B205" t="s">
        <v>48</v>
      </c>
      <c r="C205" t="s">
        <v>50</v>
      </c>
      <c r="D205" t="s">
        <v>22</v>
      </c>
      <c r="E205" t="s">
        <v>4997</v>
      </c>
      <c r="F205" t="s">
        <v>1065</v>
      </c>
      <c r="G205" t="s">
        <v>106</v>
      </c>
      <c r="H205" t="s">
        <v>106</v>
      </c>
      <c r="I205" t="s">
        <v>107</v>
      </c>
      <c r="J205" t="s">
        <v>4928</v>
      </c>
      <c r="K205" t="s">
        <v>4929</v>
      </c>
      <c r="L205" t="s">
        <v>4930</v>
      </c>
      <c r="M205" t="s">
        <v>782</v>
      </c>
      <c r="N205" t="s">
        <v>114</v>
      </c>
      <c r="O205" t="s">
        <v>106</v>
      </c>
      <c r="P205" t="s">
        <v>106</v>
      </c>
      <c r="Q205" t="s">
        <v>107</v>
      </c>
      <c r="R205" t="s">
        <v>4928</v>
      </c>
      <c r="S205" t="s">
        <v>4929</v>
      </c>
      <c r="T205" t="s">
        <v>4465</v>
      </c>
      <c r="U205" t="s">
        <v>4466</v>
      </c>
      <c r="V205" t="s">
        <v>4467</v>
      </c>
      <c r="W205" t="s">
        <v>4468</v>
      </c>
      <c r="X205" t="s">
        <v>4469</v>
      </c>
      <c r="Y205" t="s">
        <v>4466</v>
      </c>
      <c r="Z205" t="s">
        <v>1013</v>
      </c>
      <c r="AA205" t="s">
        <v>4470</v>
      </c>
      <c r="AB205" t="s">
        <v>4467</v>
      </c>
      <c r="AC205" t="s">
        <v>61</v>
      </c>
      <c r="AD205" t="s">
        <v>19</v>
      </c>
      <c r="AE205" t="s">
        <v>19</v>
      </c>
      <c r="AF205" t="s">
        <v>4503</v>
      </c>
      <c r="AG205" t="s">
        <v>4580</v>
      </c>
      <c r="AH205" t="s">
        <v>22</v>
      </c>
      <c r="AI205" t="s">
        <v>22</v>
      </c>
      <c r="AJ205" t="s">
        <v>22</v>
      </c>
      <c r="AK205" t="s">
        <v>22</v>
      </c>
    </row>
    <row r="206" spans="1:37" ht="11.25" customHeight="1">
      <c r="A206" t="s">
        <v>22</v>
      </c>
      <c r="B206" t="s">
        <v>48</v>
      </c>
      <c r="C206" t="s">
        <v>50</v>
      </c>
      <c r="D206" t="s">
        <v>22</v>
      </c>
      <c r="E206" t="s">
        <v>4998</v>
      </c>
      <c r="F206" t="s">
        <v>1065</v>
      </c>
      <c r="G206" t="s">
        <v>106</v>
      </c>
      <c r="H206" t="s">
        <v>106</v>
      </c>
      <c r="I206" t="s">
        <v>107</v>
      </c>
      <c r="J206" t="s">
        <v>4482</v>
      </c>
      <c r="K206" t="s">
        <v>4483</v>
      </c>
      <c r="L206" t="s">
        <v>4484</v>
      </c>
      <c r="M206" t="s">
        <v>782</v>
      </c>
      <c r="N206" t="s">
        <v>114</v>
      </c>
      <c r="O206" t="s">
        <v>106</v>
      </c>
      <c r="P206" t="s">
        <v>106</v>
      </c>
      <c r="Q206" t="s">
        <v>107</v>
      </c>
      <c r="R206" t="s">
        <v>4482</v>
      </c>
      <c r="S206" t="s">
        <v>4483</v>
      </c>
      <c r="T206" t="s">
        <v>4465</v>
      </c>
      <c r="U206" t="s">
        <v>4466</v>
      </c>
      <c r="V206" t="s">
        <v>4467</v>
      </c>
      <c r="W206" t="s">
        <v>4468</v>
      </c>
      <c r="X206" t="s">
        <v>4469</v>
      </c>
      <c r="Y206" t="s">
        <v>4466</v>
      </c>
      <c r="Z206" t="s">
        <v>1013</v>
      </c>
      <c r="AA206" t="s">
        <v>4470</v>
      </c>
      <c r="AB206" t="s">
        <v>4467</v>
      </c>
      <c r="AC206" t="s">
        <v>61</v>
      </c>
      <c r="AD206" t="s">
        <v>19</v>
      </c>
      <c r="AE206" t="s">
        <v>19</v>
      </c>
      <c r="AF206" t="s">
        <v>384</v>
      </c>
      <c r="AG206" t="s">
        <v>384</v>
      </c>
      <c r="AH206" t="s">
        <v>22</v>
      </c>
      <c r="AI206" t="s">
        <v>22</v>
      </c>
      <c r="AJ206" t="s">
        <v>22</v>
      </c>
      <c r="AK20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2" width="9.140625" style="1030" hidden="1" customWidth="1"/>
    <col min="3" max="3" width="3" style="1030" customWidth="1"/>
    <col min="4" max="4" width="5" style="1030" customWidth="1"/>
    <col min="5" max="5" width="48" style="1030" customWidth="1"/>
    <col min="6" max="6" width="38" style="1030" customWidth="1"/>
    <col min="7" max="7" width="1.7109375" style="1030" hidden="1" customWidth="1"/>
    <col min="8" max="11" width="19.85546875" style="1030" hidden="1" customWidth="1"/>
    <col min="12" max="12" width="9.7109375" style="1030" hidden="1" customWidth="1"/>
    <col min="13" max="18" width="19.85546875" style="1030" hidden="1" customWidth="1"/>
    <col min="19" max="19" width="1.7109375" style="1030" hidden="1" customWidth="1"/>
    <col min="20" max="22" width="19.85546875" style="1030" customWidth="1"/>
    <col min="23" max="23" width="1.7109375" style="1030" hidden="1" customWidth="1"/>
    <col min="24" max="26" width="19.85546875" style="1030" hidden="1" customWidth="1"/>
    <col min="27" max="27" width="1.7109375" style="1030" hidden="1" customWidth="1"/>
    <col min="28" max="29" width="19.85546875" style="1030" hidden="1" customWidth="1"/>
    <col min="30" max="30" width="1.7109375" style="1030" hidden="1" customWidth="1"/>
    <col min="31" max="31" width="103.7109375" style="1030" hidden="1" customWidth="1"/>
    <col min="32" max="32" width="103.7109375" style="1030" customWidth="1"/>
    <col min="33" max="34" width="103.7109375" style="1030" hidden="1" customWidth="1"/>
    <col min="35" max="35" width="3" style="1030" customWidth="1"/>
    <col min="36" max="38" width="10" style="1030" customWidth="1"/>
    <col min="39" max="39" width="13.7109375" style="1030" hidden="1" customWidth="1"/>
    <col min="40" max="40" width="15" style="1030" customWidth="1"/>
    <col min="41" max="41" width="16" style="1030" customWidth="1"/>
    <col min="42" max="45" width="10" style="1030" customWidth="1"/>
    <col min="46" max="46" width="10.5703125" style="1030" hidden="1"/>
  </cols>
  <sheetData>
    <row r="1" spans="3:46" ht="22.5" hidden="1" customHeight="1">
      <c r="H1" s="1058" t="s">
        <v>360</v>
      </c>
      <c r="I1" s="1038"/>
      <c r="J1" s="1038"/>
      <c r="K1" s="1038"/>
      <c r="L1" s="1038"/>
      <c r="M1" s="1038"/>
      <c r="N1" s="1038"/>
      <c r="O1" s="1038"/>
      <c r="P1" s="1038"/>
      <c r="Q1" s="1038"/>
      <c r="R1" s="1038"/>
      <c r="T1" s="1058" t="s">
        <v>361</v>
      </c>
      <c r="U1" s="1038"/>
      <c r="V1" s="1038"/>
      <c r="X1" s="1058" t="s">
        <v>362</v>
      </c>
      <c r="Y1" s="1038"/>
      <c r="Z1" s="1038"/>
      <c r="AB1" s="1058" t="s">
        <v>363</v>
      </c>
      <c r="AC1" s="1038"/>
      <c r="AT1" s="539" t="s">
        <v>14</v>
      </c>
    </row>
    <row r="2" spans="3:46" ht="14.25" hidden="1" customHeight="1">
      <c r="AT2" s="539">
        <v>0</v>
      </c>
    </row>
    <row r="3" spans="3:46" ht="5.25" customHeight="1">
      <c r="C3" s="669"/>
      <c r="D3" s="670"/>
      <c r="E3" s="670"/>
      <c r="F3" s="670"/>
      <c r="G3" s="670"/>
      <c r="H3" s="670" t="s">
        <v>364</v>
      </c>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T3" s="671">
        <v>5</v>
      </c>
    </row>
    <row r="4" spans="3:46" ht="39.75" customHeight="1">
      <c r="C4" s="654"/>
      <c r="D4" s="1119" t="str">
        <f>ORG_VD_NAME_FORM</f>
        <v>Форма 1. Информация об организации, осуществляющей водоотведение (общая информация)</v>
      </c>
      <c r="E4" s="1120"/>
      <c r="F4" s="1120"/>
      <c r="G4" s="1120"/>
      <c r="H4" s="1120"/>
      <c r="I4" s="1120"/>
      <c r="J4" s="1120"/>
      <c r="K4" s="1120"/>
      <c r="L4" s="1120"/>
      <c r="M4" s="1120"/>
      <c r="N4" s="1120"/>
      <c r="O4" s="1120"/>
      <c r="P4" s="1120"/>
      <c r="Q4" s="1120"/>
      <c r="R4" s="1121"/>
      <c r="AT4" s="539">
        <v>38</v>
      </c>
    </row>
    <row r="5" spans="3:46" ht="18" customHeight="1">
      <c r="C5" s="654"/>
      <c r="D5" s="1169" t="str">
        <f>IF(org=0,"Не определено",org)</f>
        <v>АО "НИЖЕГОРОДСКИЙ ВОДОКАНАЛ"</v>
      </c>
      <c r="E5" s="1170"/>
      <c r="F5" s="1170"/>
      <c r="G5" s="1170"/>
      <c r="H5" s="1170"/>
      <c r="I5" s="1170"/>
      <c r="J5" s="1170"/>
      <c r="K5" s="1170"/>
      <c r="L5" s="1170"/>
      <c r="M5" s="1170"/>
      <c r="N5" s="1170"/>
      <c r="O5" s="1170"/>
      <c r="P5" s="1170"/>
      <c r="Q5" s="1170"/>
      <c r="R5" s="1171"/>
      <c r="AT5" s="539">
        <v>17</v>
      </c>
    </row>
    <row r="6" spans="3:46" ht="11.45" customHeight="1">
      <c r="C6" s="673"/>
      <c r="R6" s="630"/>
      <c r="S6" s="630"/>
      <c r="AT6" s="541">
        <v>11</v>
      </c>
    </row>
    <row r="7" spans="3:46" ht="14.65" customHeight="1">
      <c r="C7" s="654"/>
      <c r="D7" s="1160" t="s">
        <v>308</v>
      </c>
      <c r="E7" s="1172"/>
      <c r="F7" s="1172"/>
      <c r="G7" s="1172"/>
      <c r="H7" s="1172"/>
      <c r="I7" s="1172"/>
      <c r="J7" s="1172"/>
      <c r="K7" s="1172"/>
      <c r="L7" s="1172"/>
      <c r="M7" s="1172"/>
      <c r="N7" s="1172"/>
      <c r="O7" s="1172"/>
      <c r="P7" s="1172"/>
      <c r="Q7" s="1172"/>
      <c r="R7" s="1172"/>
      <c r="S7" s="1172"/>
      <c r="T7" s="1172"/>
      <c r="U7" s="1172"/>
      <c r="V7" s="1172"/>
      <c r="W7" s="1172"/>
      <c r="X7" s="1172"/>
      <c r="Y7" s="1172"/>
      <c r="Z7" s="1172"/>
      <c r="AA7" s="1172"/>
      <c r="AB7" s="1172"/>
      <c r="AC7" s="1172"/>
      <c r="AD7" s="1173"/>
      <c r="AE7" s="1126" t="s">
        <v>309</v>
      </c>
      <c r="AF7" s="1126" t="s">
        <v>309</v>
      </c>
      <c r="AG7" s="1126" t="s">
        <v>309</v>
      </c>
      <c r="AH7" s="1126" t="s">
        <v>309</v>
      </c>
      <c r="AT7" s="539">
        <v>14</v>
      </c>
    </row>
    <row r="8" spans="3:46" ht="27.4" customHeight="1">
      <c r="C8" s="654"/>
      <c r="D8" s="1070" t="s">
        <v>87</v>
      </c>
      <c r="E8" s="1126" t="str">
        <f>"Наименование "&amp;IF(TEMPLATE_SPHERE&lt;&gt;"HEAT","централизованной ","")&amp;"системы "&amp;TEMPLATE_SPHERE_RUS</f>
        <v>Наименование централизованной системы водоотведения</v>
      </c>
      <c r="F8" s="1126" t="str">
        <f>IF(TEMPLATE_SPHERE&lt;&gt;"HEAT","Регулируемый вид деятельности","Вид регулируемой деятельности")</f>
        <v>Регулируемый вид деятельности</v>
      </c>
      <c r="G8" s="676"/>
      <c r="H8" s="1161" t="s">
        <v>365</v>
      </c>
      <c r="I8" s="1165" t="s">
        <v>366</v>
      </c>
      <c r="J8" s="1126" t="s">
        <v>367</v>
      </c>
      <c r="K8" s="1126"/>
      <c r="L8" s="1126"/>
      <c r="M8" s="1160"/>
      <c r="N8" s="1126" t="s">
        <v>368</v>
      </c>
      <c r="O8" s="1126"/>
      <c r="P8" s="1126" t="s">
        <v>369</v>
      </c>
      <c r="Q8" s="1126"/>
      <c r="R8" s="1163" t="s">
        <v>370</v>
      </c>
      <c r="S8" s="677"/>
      <c r="T8" s="1161" t="s">
        <v>371</v>
      </c>
      <c r="U8" s="1161" t="s">
        <v>372</v>
      </c>
      <c r="V8" s="1161" t="s">
        <v>373</v>
      </c>
      <c r="W8" s="676"/>
      <c r="X8" s="1161" t="s">
        <v>374</v>
      </c>
      <c r="Y8" s="1161" t="s">
        <v>375</v>
      </c>
      <c r="Z8" s="1161" t="s">
        <v>376</v>
      </c>
      <c r="AA8" s="676"/>
      <c r="AB8" s="1161" t="s">
        <v>377</v>
      </c>
      <c r="AC8" s="1161" t="s">
        <v>370</v>
      </c>
      <c r="AD8" s="676"/>
      <c r="AE8" s="1126"/>
      <c r="AF8" s="1126"/>
      <c r="AG8" s="1126"/>
      <c r="AH8" s="1126"/>
      <c r="AT8" s="539">
        <v>26</v>
      </c>
    </row>
    <row r="9" spans="3:46" ht="46.15" customHeight="1">
      <c r="C9" s="654"/>
      <c r="D9" s="1070"/>
      <c r="E9" s="1126"/>
      <c r="F9" s="1126"/>
      <c r="G9" s="678"/>
      <c r="H9" s="1162"/>
      <c r="I9" s="1166"/>
      <c r="J9" s="603" t="s">
        <v>378</v>
      </c>
      <c r="K9" s="603" t="s">
        <v>379</v>
      </c>
      <c r="L9" s="603" t="s">
        <v>380</v>
      </c>
      <c r="M9" s="674" t="s">
        <v>381</v>
      </c>
      <c r="N9" s="603" t="s">
        <v>382</v>
      </c>
      <c r="O9" s="603" t="s">
        <v>381</v>
      </c>
      <c r="P9" s="603" t="s">
        <v>383</v>
      </c>
      <c r="Q9" s="603" t="s">
        <v>381</v>
      </c>
      <c r="R9" s="1164"/>
      <c r="S9" s="679"/>
      <c r="T9" s="1162"/>
      <c r="U9" s="1162"/>
      <c r="V9" s="1162"/>
      <c r="W9" s="678"/>
      <c r="X9" s="1162"/>
      <c r="Y9" s="1162"/>
      <c r="Z9" s="1162"/>
      <c r="AA9" s="678"/>
      <c r="AB9" s="1162"/>
      <c r="AC9" s="1162"/>
      <c r="AD9" s="678"/>
      <c r="AE9" s="1126"/>
      <c r="AF9" s="1126"/>
      <c r="AG9" s="1126"/>
      <c r="AH9" s="1126"/>
      <c r="AT9" s="539">
        <v>44</v>
      </c>
    </row>
    <row r="10" spans="3:46" ht="12" hidden="1" customHeight="1">
      <c r="C10" s="680"/>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T10" s="539">
        <v>0</v>
      </c>
    </row>
    <row r="11" spans="3:46" ht="11.25" hidden="1" customHeight="1">
      <c r="C11" s="681"/>
      <c r="D11" s="110" t="s">
        <v>384</v>
      </c>
      <c r="E11" s="110"/>
      <c r="F11" s="110"/>
      <c r="G11" s="110"/>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2"/>
      <c r="AF11" s="112"/>
      <c r="AG11" s="112"/>
      <c r="AH11" s="112"/>
      <c r="AT11" s="682">
        <v>0</v>
      </c>
    </row>
    <row r="12" spans="3:46" ht="14.65" customHeight="1">
      <c r="C12" s="654"/>
      <c r="D12" s="113" t="s">
        <v>114</v>
      </c>
      <c r="E12" s="101" t="s">
        <v>22</v>
      </c>
      <c r="F12" s="683"/>
      <c r="G12" s="114"/>
      <c r="H12" s="115"/>
      <c r="I12" s="115"/>
      <c r="J12" s="116"/>
      <c r="K12" s="117"/>
      <c r="L12" s="684"/>
      <c r="M12" s="117"/>
      <c r="N12" s="116"/>
      <c r="O12" s="117"/>
      <c r="P12" s="116"/>
      <c r="Q12" s="117"/>
      <c r="R12" s="116"/>
      <c r="S12" s="118"/>
      <c r="T12" s="115"/>
      <c r="U12" s="116"/>
      <c r="V12" s="116"/>
      <c r="W12" s="678"/>
      <c r="X12" s="115"/>
      <c r="Y12" s="116"/>
      <c r="Z12" s="116"/>
      <c r="AA12" s="678"/>
      <c r="AB12" s="115"/>
      <c r="AC12" s="116"/>
      <c r="AD12" s="678"/>
      <c r="AE12" s="1167" t="s">
        <v>385</v>
      </c>
      <c r="AF12" s="1167" t="s">
        <v>386</v>
      </c>
      <c r="AG12" s="1167" t="s">
        <v>387</v>
      </c>
      <c r="AH12" s="1167" t="s">
        <v>388</v>
      </c>
      <c r="AP12" s="583" t="s">
        <v>389</v>
      </c>
      <c r="AQ12" s="583" t="s">
        <v>389</v>
      </c>
      <c r="AT12" s="539">
        <v>14</v>
      </c>
    </row>
    <row r="13" spans="3:46" ht="18" customHeight="1">
      <c r="C13" s="654"/>
      <c r="D13" s="119"/>
      <c r="E13" s="685" t="str">
        <f>IF(TITLE_DIFFERENTIATION_TYPE="нет","","Добавить систему")</f>
        <v/>
      </c>
      <c r="F13" s="685" t="str">
        <f>IF(TITLE_DIFFERENTIATION_TYPE="нет","Добавить вид деятельности","")</f>
        <v>Добавить вид деятельности</v>
      </c>
      <c r="G13" s="120"/>
      <c r="H13" s="121"/>
      <c r="I13" s="121"/>
      <c r="J13" s="121"/>
      <c r="K13" s="121"/>
      <c r="L13" s="121"/>
      <c r="M13" s="121"/>
      <c r="N13" s="121"/>
      <c r="O13" s="121"/>
      <c r="P13" s="121"/>
      <c r="Q13" s="121"/>
      <c r="R13" s="121"/>
      <c r="S13" s="121"/>
      <c r="T13" s="121"/>
      <c r="U13" s="121"/>
      <c r="V13" s="121"/>
      <c r="W13" s="121"/>
      <c r="X13" s="121"/>
      <c r="Y13" s="121"/>
      <c r="Z13" s="121"/>
      <c r="AA13" s="121"/>
      <c r="AB13" s="121"/>
      <c r="AC13" s="121"/>
      <c r="AD13" s="122"/>
      <c r="AE13" s="1168"/>
      <c r="AF13" s="1168"/>
      <c r="AG13" s="1168"/>
      <c r="AH13" s="1168"/>
      <c r="AT13" s="539">
        <v>17</v>
      </c>
    </row>
    <row r="14" spans="3:46" ht="14.65" customHeight="1">
      <c r="AT14" s="539">
        <v>14</v>
      </c>
    </row>
    <row r="15" spans="3:46" ht="14.65" customHeight="1">
      <c r="AT15" s="539">
        <v>14</v>
      </c>
    </row>
    <row r="16" spans="3:46" ht="14.65" customHeight="1">
      <c r="AT16" s="539">
        <v>14</v>
      </c>
    </row>
    <row r="17" spans="1:46" ht="14.65" customHeight="1">
      <c r="AT17" s="539">
        <v>14</v>
      </c>
    </row>
    <row r="18" spans="1:46" ht="22.5" hidden="1" customHeight="1">
      <c r="A18" s="537" t="s">
        <v>81</v>
      </c>
      <c r="B18" s="539">
        <v>0</v>
      </c>
      <c r="C18" s="591">
        <v>3</v>
      </c>
      <c r="D18" s="539">
        <v>5</v>
      </c>
      <c r="E18" s="539">
        <v>48</v>
      </c>
      <c r="F18" s="539">
        <v>38</v>
      </c>
      <c r="G18" s="539">
        <v>0</v>
      </c>
      <c r="H18" s="539">
        <v>0</v>
      </c>
      <c r="I18" s="539">
        <v>0</v>
      </c>
      <c r="J18" s="539">
        <v>0</v>
      </c>
      <c r="K18" s="539">
        <v>0</v>
      </c>
      <c r="L18" s="539">
        <v>0</v>
      </c>
      <c r="M18" s="539">
        <v>0</v>
      </c>
      <c r="N18" s="539">
        <v>0</v>
      </c>
      <c r="O18" s="539">
        <v>0</v>
      </c>
      <c r="P18" s="539">
        <v>0</v>
      </c>
      <c r="Q18" s="539">
        <v>0</v>
      </c>
      <c r="R18" s="539">
        <v>0</v>
      </c>
      <c r="S18" s="539">
        <v>0</v>
      </c>
      <c r="T18" s="539">
        <v>0</v>
      </c>
      <c r="U18" s="539">
        <v>0</v>
      </c>
      <c r="V18" s="539">
        <v>0</v>
      </c>
      <c r="W18" s="539">
        <v>0</v>
      </c>
      <c r="X18" s="539">
        <v>0</v>
      </c>
      <c r="Y18" s="539">
        <v>0</v>
      </c>
      <c r="Z18" s="539">
        <v>0</v>
      </c>
      <c r="AA18" s="539">
        <v>0</v>
      </c>
      <c r="AB18" s="539">
        <v>0</v>
      </c>
      <c r="AC18" s="539">
        <v>0</v>
      </c>
      <c r="AD18" s="539">
        <v>0</v>
      </c>
      <c r="AE18" s="539">
        <v>0</v>
      </c>
      <c r="AF18" s="539">
        <v>0</v>
      </c>
      <c r="AG18" s="539">
        <v>0</v>
      </c>
      <c r="AH18" s="539">
        <v>0</v>
      </c>
      <c r="AI18" s="580">
        <v>3</v>
      </c>
      <c r="AJ18" s="578">
        <v>10</v>
      </c>
      <c r="AK18" s="578">
        <v>10</v>
      </c>
      <c r="AL18" s="578">
        <v>10</v>
      </c>
      <c r="AM18" s="578">
        <v>0</v>
      </c>
      <c r="AN18" s="578">
        <v>15</v>
      </c>
      <c r="AO18" s="578">
        <v>16</v>
      </c>
      <c r="AP18" s="578">
        <v>10</v>
      </c>
      <c r="AQ18" s="578">
        <v>10</v>
      </c>
      <c r="AR18" s="578">
        <v>10</v>
      </c>
      <c r="AS18" s="578">
        <v>10</v>
      </c>
      <c r="AT18" s="539">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sheetData>
    <row r="1" spans="1:2" ht="11.25" customHeight="1">
      <c r="A1" s="519" t="s">
        <v>140</v>
      </c>
      <c r="B1" s="519" t="s">
        <v>4999</v>
      </c>
    </row>
    <row r="2" spans="1:2" ht="11.25" customHeight="1">
      <c r="A2" t="s">
        <v>97</v>
      </c>
      <c r="B2" t="s">
        <v>5000</v>
      </c>
    </row>
    <row r="3" spans="1:2" ht="11.25" customHeight="1">
      <c r="A3" t="s">
        <v>104</v>
      </c>
      <c r="B3" t="s">
        <v>5001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2" max="2" width="65.28515625" style="1030" customWidth="1"/>
  </cols>
  <sheetData>
    <row r="1" spans="1:2" ht="11.25" customHeight="1">
      <c r="A1" s="720" t="s">
        <v>5002</v>
      </c>
      <c r="B1" s="720" t="s">
        <v>5003</v>
      </c>
    </row>
    <row r="2" spans="1:2" ht="11.25" customHeight="1">
      <c r="A2" s="720">
        <v>4213775</v>
      </c>
      <c r="B2" s="720" t="s">
        <v>1412</v>
      </c>
    </row>
    <row r="3" spans="1:2" ht="11.25" customHeight="1">
      <c r="A3" s="720">
        <v>4213784</v>
      </c>
      <c r="B3" s="720" t="s">
        <v>1447</v>
      </c>
    </row>
    <row r="4" spans="1:2" ht="11.25" customHeight="1">
      <c r="A4" s="720">
        <v>4213781</v>
      </c>
      <c r="B4" s="720" t="s">
        <v>1440</v>
      </c>
    </row>
    <row r="5" spans="1:2" ht="11.25" customHeight="1">
      <c r="A5" s="720">
        <v>4213776</v>
      </c>
      <c r="B5" s="720" t="s">
        <v>176</v>
      </c>
    </row>
    <row r="6" spans="1:2" ht="11.25" customHeight="1">
      <c r="A6" s="720">
        <v>4213777</v>
      </c>
      <c r="B6" s="720" t="s">
        <v>182</v>
      </c>
    </row>
    <row r="7" spans="1:2" ht="11.25" customHeight="1">
      <c r="A7" s="720">
        <v>4213778</v>
      </c>
      <c r="B7" s="720" t="s">
        <v>188</v>
      </c>
    </row>
    <row r="8" spans="1:2" ht="11.25" customHeight="1">
      <c r="A8" s="720">
        <v>4213780</v>
      </c>
      <c r="B8" s="720" t="s">
        <v>194</v>
      </c>
    </row>
    <row r="9" spans="1:2" ht="11.25" customHeight="1">
      <c r="A9" s="720">
        <v>4213779</v>
      </c>
      <c r="B9" s="720" t="s">
        <v>1579</v>
      </c>
    </row>
    <row r="10" spans="1:2" ht="11.25" customHeight="1">
      <c r="A10" s="720">
        <v>4213783</v>
      </c>
      <c r="B10" s="720" t="s">
        <v>1593</v>
      </c>
    </row>
    <row r="11" spans="1:2" ht="11.25" customHeight="1">
      <c r="A11" s="720">
        <v>4213782</v>
      </c>
      <c r="B11" s="720"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2" max="2" width="65.28515625" style="1030" customWidth="1"/>
  </cols>
  <sheetData>
    <row r="1" spans="1:2" ht="11.25" customHeight="1">
      <c r="A1" s="720" t="s">
        <v>5002</v>
      </c>
      <c r="B1" s="720" t="s">
        <v>5004</v>
      </c>
    </row>
    <row r="2" spans="1:2" ht="11.25" customHeight="1">
      <c r="A2" s="720" t="s">
        <v>123</v>
      </c>
      <c r="B2" s="720" t="s">
        <v>1681</v>
      </c>
    </row>
    <row r="3" spans="1:2" ht="11.25" customHeight="1">
      <c r="A3" s="720" t="s">
        <v>5005</v>
      </c>
      <c r="B3" s="720" t="s">
        <v>1689</v>
      </c>
    </row>
    <row r="4" spans="1:2" ht="11.25" customHeight="1">
      <c r="A4" s="720" t="s">
        <v>130</v>
      </c>
      <c r="B4" s="720" t="s">
        <v>1698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41" t="s">
        <v>4312</v>
      </c>
      <c r="B1" s="41" t="s">
        <v>4313</v>
      </c>
      <c r="C1" s="41" t="s">
        <v>4314</v>
      </c>
      <c r="D1" s="41" t="s">
        <v>4315</v>
      </c>
      <c r="E1" t="s">
        <v>4316</v>
      </c>
      <c r="F1" t="s">
        <v>4317</v>
      </c>
      <c r="G1" t="s">
        <v>4318</v>
      </c>
    </row>
    <row r="2" spans="1:7" ht="11.25" customHeight="1">
      <c r="A2" t="s">
        <v>16</v>
      </c>
      <c r="B2" t="s">
        <v>4319</v>
      </c>
      <c r="C2" t="s">
        <v>4320</v>
      </c>
      <c r="D2" t="s">
        <v>4319</v>
      </c>
      <c r="E2" t="s">
        <v>4320</v>
      </c>
      <c r="F2" t="s">
        <v>4321</v>
      </c>
      <c r="G2" t="s">
        <v>114</v>
      </c>
    </row>
    <row r="3" spans="1:7" ht="11.25" customHeight="1">
      <c r="A3" t="s">
        <v>16</v>
      </c>
      <c r="B3" t="s">
        <v>4322</v>
      </c>
      <c r="C3" t="s">
        <v>4323</v>
      </c>
      <c r="D3" t="s">
        <v>4322</v>
      </c>
      <c r="E3" t="s">
        <v>4323</v>
      </c>
      <c r="F3" t="s">
        <v>4321</v>
      </c>
      <c r="G3" t="s">
        <v>102</v>
      </c>
    </row>
    <row r="4" spans="1:7" ht="11.25" customHeight="1">
      <c r="A4" t="s">
        <v>16</v>
      </c>
      <c r="B4" t="s">
        <v>4324</v>
      </c>
      <c r="C4" t="s">
        <v>4325</v>
      </c>
      <c r="D4" t="s">
        <v>4324</v>
      </c>
      <c r="E4" t="s">
        <v>4325</v>
      </c>
      <c r="F4" t="s">
        <v>4321</v>
      </c>
      <c r="G4" t="s">
        <v>89</v>
      </c>
    </row>
    <row r="5" spans="1:7" ht="11.25" customHeight="1">
      <c r="A5" t="s">
        <v>16</v>
      </c>
      <c r="B5" t="s">
        <v>4326</v>
      </c>
      <c r="C5" t="s">
        <v>4327</v>
      </c>
      <c r="D5" t="s">
        <v>4326</v>
      </c>
      <c r="E5" t="s">
        <v>4327</v>
      </c>
      <c r="F5" t="s">
        <v>4321</v>
      </c>
      <c r="G5" t="s">
        <v>90</v>
      </c>
    </row>
    <row r="6" spans="1:7" ht="11.25" customHeight="1">
      <c r="A6" t="s">
        <v>16</v>
      </c>
      <c r="B6" t="s">
        <v>4328</v>
      </c>
      <c r="C6" t="s">
        <v>4329</v>
      </c>
      <c r="D6" t="s">
        <v>4328</v>
      </c>
      <c r="E6" t="s">
        <v>4329</v>
      </c>
      <c r="F6" t="s">
        <v>4321</v>
      </c>
      <c r="G6" t="s">
        <v>115</v>
      </c>
    </row>
    <row r="7" spans="1:7" ht="11.25" customHeight="1">
      <c r="A7" t="s">
        <v>16</v>
      </c>
      <c r="B7" t="s">
        <v>4330</v>
      </c>
      <c r="C7" t="s">
        <v>4331</v>
      </c>
      <c r="D7" t="s">
        <v>4330</v>
      </c>
      <c r="E7" t="s">
        <v>4331</v>
      </c>
      <c r="F7" t="s">
        <v>4321</v>
      </c>
      <c r="G7" t="s">
        <v>91</v>
      </c>
    </row>
    <row r="8" spans="1:7" ht="11.25" customHeight="1">
      <c r="A8" t="s">
        <v>16</v>
      </c>
      <c r="B8" t="s">
        <v>4332</v>
      </c>
      <c r="C8" t="s">
        <v>4333</v>
      </c>
      <c r="D8" t="s">
        <v>4332</v>
      </c>
      <c r="E8" t="s">
        <v>4333</v>
      </c>
      <c r="F8" t="s">
        <v>4321</v>
      </c>
      <c r="G8" t="s">
        <v>92</v>
      </c>
    </row>
    <row r="9" spans="1:7" ht="11.25" customHeight="1">
      <c r="A9" t="s">
        <v>16</v>
      </c>
      <c r="B9" t="s">
        <v>4334</v>
      </c>
      <c r="C9" t="s">
        <v>4335</v>
      </c>
      <c r="D9" t="s">
        <v>4334</v>
      </c>
      <c r="E9" t="s">
        <v>4335</v>
      </c>
      <c r="F9" t="s">
        <v>4321</v>
      </c>
      <c r="G9" t="s">
        <v>116</v>
      </c>
    </row>
    <row r="10" spans="1:7" ht="11.25" customHeight="1">
      <c r="A10" t="s">
        <v>16</v>
      </c>
      <c r="B10" t="s">
        <v>4336</v>
      </c>
      <c r="C10" t="s">
        <v>4337</v>
      </c>
      <c r="D10" t="s">
        <v>4336</v>
      </c>
      <c r="E10" t="s">
        <v>4337</v>
      </c>
      <c r="F10" t="s">
        <v>4321</v>
      </c>
      <c r="G10" t="s">
        <v>158</v>
      </c>
    </row>
    <row r="11" spans="1:7" ht="11.25" customHeight="1">
      <c r="A11" t="s">
        <v>16</v>
      </c>
      <c r="B11" t="s">
        <v>4338</v>
      </c>
      <c r="C11" t="s">
        <v>4339</v>
      </c>
      <c r="D11" t="s">
        <v>4338</v>
      </c>
      <c r="E11" t="s">
        <v>4339</v>
      </c>
      <c r="F11" t="s">
        <v>4321</v>
      </c>
      <c r="G11" t="s">
        <v>159</v>
      </c>
    </row>
    <row r="12" spans="1:7" ht="11.25" customHeight="1">
      <c r="A12" t="s">
        <v>16</v>
      </c>
      <c r="B12" t="s">
        <v>4340</v>
      </c>
      <c r="C12" t="s">
        <v>4341</v>
      </c>
      <c r="D12" t="s">
        <v>4340</v>
      </c>
      <c r="E12" t="s">
        <v>4341</v>
      </c>
      <c r="F12" t="s">
        <v>4321</v>
      </c>
      <c r="G12" t="s">
        <v>160</v>
      </c>
    </row>
    <row r="13" spans="1:7" ht="11.25" customHeight="1">
      <c r="A13" t="s">
        <v>16</v>
      </c>
      <c r="B13" t="s">
        <v>4342</v>
      </c>
      <c r="C13" t="s">
        <v>4343</v>
      </c>
      <c r="D13" t="s">
        <v>4342</v>
      </c>
      <c r="E13" t="s">
        <v>4343</v>
      </c>
      <c r="F13" t="s">
        <v>4321</v>
      </c>
      <c r="G13" t="s">
        <v>161</v>
      </c>
    </row>
    <row r="14" spans="1:7" ht="11.25" customHeight="1">
      <c r="A14" t="s">
        <v>16</v>
      </c>
      <c r="B14" t="s">
        <v>4344</v>
      </c>
      <c r="C14" t="s">
        <v>4345</v>
      </c>
      <c r="D14" t="s">
        <v>4344</v>
      </c>
      <c r="E14" t="s">
        <v>4345</v>
      </c>
      <c r="F14" t="s">
        <v>4346</v>
      </c>
      <c r="G14" t="s">
        <v>162</v>
      </c>
    </row>
    <row r="15" spans="1:7" ht="11.25" customHeight="1">
      <c r="A15" t="s">
        <v>16</v>
      </c>
      <c r="B15" t="s">
        <v>4347</v>
      </c>
      <c r="C15" t="s">
        <v>4348</v>
      </c>
      <c r="D15" t="s">
        <v>4347</v>
      </c>
      <c r="E15" t="s">
        <v>4348</v>
      </c>
      <c r="F15" t="s">
        <v>4321</v>
      </c>
      <c r="G15" t="s">
        <v>163</v>
      </c>
    </row>
    <row r="16" spans="1:7" ht="11.25" customHeight="1">
      <c r="A16" t="s">
        <v>16</v>
      </c>
      <c r="B16" t="s">
        <v>4349</v>
      </c>
      <c r="C16" t="s">
        <v>4350</v>
      </c>
      <c r="D16" t="s">
        <v>4349</v>
      </c>
      <c r="E16" t="s">
        <v>4350</v>
      </c>
      <c r="F16" t="s">
        <v>4321</v>
      </c>
      <c r="G16" t="s">
        <v>1127</v>
      </c>
    </row>
    <row r="17" spans="1:7" ht="11.25" customHeight="1">
      <c r="A17" t="s">
        <v>16</v>
      </c>
      <c r="B17" t="s">
        <v>4351</v>
      </c>
      <c r="C17" t="s">
        <v>4352</v>
      </c>
      <c r="D17" t="s">
        <v>4351</v>
      </c>
      <c r="E17" t="s">
        <v>4352</v>
      </c>
      <c r="F17" t="s">
        <v>4321</v>
      </c>
      <c r="G17" t="s">
        <v>1129</v>
      </c>
    </row>
    <row r="18" spans="1:7" ht="11.25" customHeight="1">
      <c r="A18" t="s">
        <v>16</v>
      </c>
      <c r="B18" t="s">
        <v>4353</v>
      </c>
      <c r="C18" t="s">
        <v>4354</v>
      </c>
      <c r="D18" t="s">
        <v>4353</v>
      </c>
      <c r="E18" t="s">
        <v>4354</v>
      </c>
      <c r="F18" t="s">
        <v>4321</v>
      </c>
      <c r="G18" t="s">
        <v>1131</v>
      </c>
    </row>
    <row r="19" spans="1:7" ht="11.25" customHeight="1">
      <c r="A19" t="s">
        <v>16</v>
      </c>
      <c r="B19" t="s">
        <v>4355</v>
      </c>
      <c r="C19" t="s">
        <v>4356</v>
      </c>
      <c r="D19" t="s">
        <v>4355</v>
      </c>
      <c r="E19" t="s">
        <v>4356</v>
      </c>
      <c r="F19" t="s">
        <v>4321</v>
      </c>
      <c r="G19" t="s">
        <v>1132</v>
      </c>
    </row>
    <row r="20" spans="1:7" ht="11.25" customHeight="1">
      <c r="A20" t="s">
        <v>16</v>
      </c>
      <c r="B20" t="s">
        <v>4357</v>
      </c>
      <c r="C20" t="s">
        <v>4358</v>
      </c>
      <c r="D20" t="s">
        <v>4357</v>
      </c>
      <c r="E20" t="s">
        <v>4358</v>
      </c>
      <c r="F20" t="s">
        <v>4346</v>
      </c>
      <c r="G20" t="s">
        <v>1134</v>
      </c>
    </row>
    <row r="21" spans="1:7" ht="11.25" customHeight="1">
      <c r="A21" t="s">
        <v>16</v>
      </c>
      <c r="B21" t="s">
        <v>4359</v>
      </c>
      <c r="C21" t="s">
        <v>4360</v>
      </c>
      <c r="D21" t="s">
        <v>4359</v>
      </c>
      <c r="E21" t="s">
        <v>4360</v>
      </c>
      <c r="F21" t="s">
        <v>4321</v>
      </c>
      <c r="G21" t="s">
        <v>1136</v>
      </c>
    </row>
    <row r="22" spans="1:7" ht="11.25" customHeight="1">
      <c r="A22" t="s">
        <v>16</v>
      </c>
      <c r="B22" t="s">
        <v>4361</v>
      </c>
      <c r="C22" t="s">
        <v>4362</v>
      </c>
      <c r="D22" t="s">
        <v>4361</v>
      </c>
      <c r="E22" t="s">
        <v>4362</v>
      </c>
      <c r="F22" t="s">
        <v>4321</v>
      </c>
      <c r="G22" t="s">
        <v>1143</v>
      </c>
    </row>
    <row r="23" spans="1:7" ht="11.25" customHeight="1">
      <c r="A23" t="s">
        <v>16</v>
      </c>
      <c r="B23" t="s">
        <v>4363</v>
      </c>
      <c r="C23" t="s">
        <v>4364</v>
      </c>
      <c r="D23" t="s">
        <v>4363</v>
      </c>
      <c r="E23" t="s">
        <v>4364</v>
      </c>
      <c r="F23" t="s">
        <v>4321</v>
      </c>
      <c r="G23" t="s">
        <v>1144</v>
      </c>
    </row>
    <row r="24" spans="1:7" ht="11.25" customHeight="1">
      <c r="A24" t="s">
        <v>16</v>
      </c>
      <c r="B24" t="s">
        <v>4365</v>
      </c>
      <c r="C24" t="s">
        <v>4366</v>
      </c>
      <c r="D24" t="s">
        <v>4365</v>
      </c>
      <c r="E24" t="s">
        <v>4366</v>
      </c>
      <c r="F24" t="s">
        <v>4321</v>
      </c>
      <c r="G24" t="s">
        <v>1145</v>
      </c>
    </row>
    <row r="25" spans="1:7" ht="11.25" customHeight="1">
      <c r="A25" t="s">
        <v>16</v>
      </c>
      <c r="B25" t="s">
        <v>106</v>
      </c>
      <c r="C25" t="s">
        <v>107</v>
      </c>
      <c r="D25" t="s">
        <v>106</v>
      </c>
      <c r="E25" t="s">
        <v>107</v>
      </c>
      <c r="F25" t="s">
        <v>4321</v>
      </c>
      <c r="G25" t="s">
        <v>105</v>
      </c>
    </row>
    <row r="26" spans="1:7" ht="11.25" customHeight="1">
      <c r="A26" t="s">
        <v>16</v>
      </c>
      <c r="B26" t="s">
        <v>4367</v>
      </c>
      <c r="C26" t="s">
        <v>4368</v>
      </c>
      <c r="D26" t="s">
        <v>4367</v>
      </c>
      <c r="E26" t="s">
        <v>4368</v>
      </c>
      <c r="F26" t="s">
        <v>4321</v>
      </c>
      <c r="G26" t="s">
        <v>1158</v>
      </c>
    </row>
    <row r="27" spans="1:7" ht="11.25" customHeight="1">
      <c r="A27" t="s">
        <v>16</v>
      </c>
      <c r="B27" t="s">
        <v>4369</v>
      </c>
      <c r="C27" t="s">
        <v>4370</v>
      </c>
      <c r="D27" t="s">
        <v>4369</v>
      </c>
      <c r="E27" t="s">
        <v>4370</v>
      </c>
      <c r="F27" t="s">
        <v>4321</v>
      </c>
      <c r="G27" t="s">
        <v>1160</v>
      </c>
    </row>
    <row r="28" spans="1:7" ht="11.25" customHeight="1">
      <c r="A28" t="s">
        <v>16</v>
      </c>
      <c r="B28" t="s">
        <v>4371</v>
      </c>
      <c r="C28" t="s">
        <v>4372</v>
      </c>
      <c r="D28" t="s">
        <v>4371</v>
      </c>
      <c r="E28" t="s">
        <v>4372</v>
      </c>
      <c r="F28" t="s">
        <v>4346</v>
      </c>
      <c r="G28" t="s">
        <v>1162</v>
      </c>
    </row>
    <row r="29" spans="1:7" ht="11.25" customHeight="1">
      <c r="A29" t="s">
        <v>16</v>
      </c>
      <c r="B29" t="s">
        <v>4373</v>
      </c>
      <c r="C29" t="s">
        <v>4374</v>
      </c>
      <c r="D29" t="s">
        <v>4373</v>
      </c>
      <c r="E29" t="s">
        <v>4374</v>
      </c>
      <c r="F29" t="s">
        <v>4321</v>
      </c>
      <c r="G29" t="s">
        <v>1164</v>
      </c>
    </row>
    <row r="30" spans="1:7" ht="11.25" customHeight="1">
      <c r="A30" t="s">
        <v>16</v>
      </c>
      <c r="B30" t="s">
        <v>4375</v>
      </c>
      <c r="C30" t="s">
        <v>4376</v>
      </c>
      <c r="D30" t="s">
        <v>4375</v>
      </c>
      <c r="E30" t="s">
        <v>4376</v>
      </c>
      <c r="F30" t="s">
        <v>4346</v>
      </c>
      <c r="G30" t="s">
        <v>1166</v>
      </c>
    </row>
    <row r="31" spans="1:7" ht="11.25" customHeight="1">
      <c r="A31" t="s">
        <v>16</v>
      </c>
      <c r="B31" t="s">
        <v>4377</v>
      </c>
      <c r="C31" t="s">
        <v>4378</v>
      </c>
      <c r="D31" t="s">
        <v>4377</v>
      </c>
      <c r="E31" t="s">
        <v>4378</v>
      </c>
      <c r="F31" t="s">
        <v>4321</v>
      </c>
      <c r="G31" t="s">
        <v>1168</v>
      </c>
    </row>
    <row r="32" spans="1:7" ht="11.25" customHeight="1">
      <c r="A32" t="s">
        <v>16</v>
      </c>
      <c r="B32" t="s">
        <v>4379</v>
      </c>
      <c r="C32" t="s">
        <v>4380</v>
      </c>
      <c r="D32" t="s">
        <v>4379</v>
      </c>
      <c r="E32" t="s">
        <v>4380</v>
      </c>
      <c r="F32" t="s">
        <v>4321</v>
      </c>
      <c r="G32" t="s">
        <v>1170</v>
      </c>
    </row>
    <row r="33" spans="1:7" ht="11.25" customHeight="1">
      <c r="A33" t="s">
        <v>16</v>
      </c>
      <c r="B33" t="s">
        <v>4381</v>
      </c>
      <c r="C33" t="s">
        <v>4382</v>
      </c>
      <c r="D33" t="s">
        <v>4381</v>
      </c>
      <c r="E33" t="s">
        <v>4382</v>
      </c>
      <c r="F33" t="s">
        <v>4346</v>
      </c>
      <c r="G33" t="s">
        <v>1172</v>
      </c>
    </row>
    <row r="34" spans="1:7" ht="11.25" customHeight="1">
      <c r="A34" t="s">
        <v>16</v>
      </c>
      <c r="B34" t="s">
        <v>4383</v>
      </c>
      <c r="C34" t="s">
        <v>4384</v>
      </c>
      <c r="D34" t="s">
        <v>4383</v>
      </c>
      <c r="E34" t="s">
        <v>4384</v>
      </c>
      <c r="F34" t="s">
        <v>4321</v>
      </c>
      <c r="G34" t="s">
        <v>1174</v>
      </c>
    </row>
    <row r="35" spans="1:7" ht="11.25" customHeight="1">
      <c r="A35" t="s">
        <v>16</v>
      </c>
      <c r="B35" t="s">
        <v>4385</v>
      </c>
      <c r="C35" t="s">
        <v>4386</v>
      </c>
      <c r="D35" t="s">
        <v>4385</v>
      </c>
      <c r="E35" t="s">
        <v>4386</v>
      </c>
      <c r="F35" t="s">
        <v>4321</v>
      </c>
      <c r="G35" t="s">
        <v>1176</v>
      </c>
    </row>
    <row r="36" spans="1:7" ht="11.25" customHeight="1">
      <c r="A36" t="s">
        <v>16</v>
      </c>
      <c r="B36" t="s">
        <v>4387</v>
      </c>
      <c r="C36" t="s">
        <v>4388</v>
      </c>
      <c r="D36" t="s">
        <v>4387</v>
      </c>
      <c r="E36" t="s">
        <v>4388</v>
      </c>
      <c r="F36" t="s">
        <v>4346</v>
      </c>
      <c r="G36" t="s">
        <v>1178</v>
      </c>
    </row>
    <row r="37" spans="1:7" ht="11.25" customHeight="1">
      <c r="A37" t="s">
        <v>16</v>
      </c>
      <c r="B37" t="s">
        <v>4389</v>
      </c>
      <c r="C37" t="s">
        <v>4390</v>
      </c>
      <c r="D37" t="s">
        <v>4389</v>
      </c>
      <c r="E37" t="s">
        <v>4390</v>
      </c>
      <c r="F37" t="s">
        <v>4321</v>
      </c>
      <c r="G37" t="s">
        <v>1180</v>
      </c>
    </row>
    <row r="38" spans="1:7" ht="11.25" customHeight="1">
      <c r="A38" t="s">
        <v>16</v>
      </c>
      <c r="B38" t="s">
        <v>4391</v>
      </c>
      <c r="C38" t="s">
        <v>4392</v>
      </c>
      <c r="D38" t="s">
        <v>4391</v>
      </c>
      <c r="E38" t="s">
        <v>4392</v>
      </c>
      <c r="F38" t="s">
        <v>4321</v>
      </c>
      <c r="G38" t="s">
        <v>1182</v>
      </c>
    </row>
    <row r="39" spans="1:7" ht="11.25" customHeight="1">
      <c r="A39" t="s">
        <v>16</v>
      </c>
      <c r="B39" t="s">
        <v>4393</v>
      </c>
      <c r="C39" t="s">
        <v>4394</v>
      </c>
      <c r="D39" t="s">
        <v>4393</v>
      </c>
      <c r="E39" t="s">
        <v>4394</v>
      </c>
      <c r="F39" t="s">
        <v>4321</v>
      </c>
      <c r="G39" t="s">
        <v>1184</v>
      </c>
    </row>
    <row r="40" spans="1:7" ht="11.25" customHeight="1">
      <c r="A40" t="s">
        <v>16</v>
      </c>
      <c r="B40" t="s">
        <v>4395</v>
      </c>
      <c r="C40" t="s">
        <v>4396</v>
      </c>
      <c r="D40" t="s">
        <v>4395</v>
      </c>
      <c r="E40" t="s">
        <v>4396</v>
      </c>
      <c r="F40" t="s">
        <v>4321</v>
      </c>
      <c r="G40" t="s">
        <v>1185</v>
      </c>
    </row>
    <row r="41" spans="1:7" ht="11.25" customHeight="1">
      <c r="A41" t="s">
        <v>16</v>
      </c>
      <c r="B41" t="s">
        <v>4397</v>
      </c>
      <c r="C41" t="s">
        <v>4398</v>
      </c>
      <c r="D41" t="s">
        <v>4397</v>
      </c>
      <c r="E41" t="s">
        <v>4398</v>
      </c>
      <c r="F41" t="s">
        <v>4321</v>
      </c>
      <c r="G41" t="s">
        <v>1186</v>
      </c>
    </row>
    <row r="42" spans="1:7" ht="11.25" customHeight="1">
      <c r="A42" t="s">
        <v>16</v>
      </c>
      <c r="B42" t="s">
        <v>4399</v>
      </c>
      <c r="C42" t="s">
        <v>4400</v>
      </c>
      <c r="D42" t="s">
        <v>4399</v>
      </c>
      <c r="E42" t="s">
        <v>4400</v>
      </c>
      <c r="F42" t="s">
        <v>4321</v>
      </c>
      <c r="G42" t="s">
        <v>1188</v>
      </c>
    </row>
    <row r="43" spans="1:7" ht="11.25" customHeight="1">
      <c r="A43" t="s">
        <v>16</v>
      </c>
      <c r="B43" t="s">
        <v>4401</v>
      </c>
      <c r="C43" t="s">
        <v>4402</v>
      </c>
      <c r="D43" t="s">
        <v>4401</v>
      </c>
      <c r="E43" t="s">
        <v>4402</v>
      </c>
      <c r="F43" t="s">
        <v>4321</v>
      </c>
      <c r="G43" t="s">
        <v>1189</v>
      </c>
    </row>
    <row r="44" spans="1:7" ht="11.25" customHeight="1">
      <c r="A44" t="s">
        <v>16</v>
      </c>
      <c r="B44" t="s">
        <v>4403</v>
      </c>
      <c r="C44" t="s">
        <v>4404</v>
      </c>
      <c r="D44" t="s">
        <v>4403</v>
      </c>
      <c r="E44" t="s">
        <v>4404</v>
      </c>
      <c r="F44" t="s">
        <v>4346</v>
      </c>
      <c r="G44" t="s">
        <v>1191</v>
      </c>
    </row>
    <row r="45" spans="1:7" ht="11.25" customHeight="1">
      <c r="A45" t="s">
        <v>16</v>
      </c>
      <c r="B45" t="s">
        <v>4405</v>
      </c>
      <c r="C45" t="s">
        <v>4406</v>
      </c>
      <c r="D45" t="s">
        <v>4405</v>
      </c>
      <c r="E45" t="s">
        <v>4406</v>
      </c>
      <c r="F45" t="s">
        <v>4346</v>
      </c>
      <c r="G45" t="s">
        <v>1799</v>
      </c>
    </row>
    <row r="46" spans="1:7" ht="11.25" customHeight="1">
      <c r="A46" t="s">
        <v>16</v>
      </c>
      <c r="B46" t="s">
        <v>4407</v>
      </c>
      <c r="C46" t="s">
        <v>4408</v>
      </c>
      <c r="D46" t="s">
        <v>4407</v>
      </c>
      <c r="E46" t="s">
        <v>4408</v>
      </c>
      <c r="F46" t="s">
        <v>4346</v>
      </c>
      <c r="G46" t="s">
        <v>1803</v>
      </c>
    </row>
    <row r="47" spans="1:7" ht="11.25" customHeight="1">
      <c r="A47" t="s">
        <v>16</v>
      </c>
      <c r="B47" t="s">
        <v>4409</v>
      </c>
      <c r="C47" t="s">
        <v>4410</v>
      </c>
      <c r="D47" t="s">
        <v>4409</v>
      </c>
      <c r="E47" t="s">
        <v>4410</v>
      </c>
      <c r="F47" t="s">
        <v>4346</v>
      </c>
      <c r="G47" t="s">
        <v>1808</v>
      </c>
    </row>
    <row r="48" spans="1:7" ht="11.25" customHeight="1">
      <c r="A48" t="s">
        <v>16</v>
      </c>
      <c r="B48" t="s">
        <v>4411</v>
      </c>
      <c r="C48" t="s">
        <v>4412</v>
      </c>
      <c r="D48" t="s">
        <v>4411</v>
      </c>
      <c r="E48" t="s">
        <v>4412</v>
      </c>
      <c r="F48" t="s">
        <v>4346</v>
      </c>
      <c r="G48" t="s">
        <v>1813</v>
      </c>
    </row>
    <row r="49" spans="1:7" ht="11.25" customHeight="1">
      <c r="A49" t="s">
        <v>16</v>
      </c>
      <c r="B49" t="s">
        <v>99</v>
      </c>
      <c r="C49" t="s">
        <v>100</v>
      </c>
      <c r="D49" t="s">
        <v>99</v>
      </c>
      <c r="E49" t="s">
        <v>100</v>
      </c>
      <c r="F49" t="s">
        <v>4346</v>
      </c>
      <c r="G49" t="s">
        <v>98</v>
      </c>
    </row>
    <row r="50" spans="1:7" ht="11.25" customHeight="1">
      <c r="A50" t="s">
        <v>16</v>
      </c>
      <c r="B50" t="s">
        <v>4413</v>
      </c>
      <c r="C50" t="s">
        <v>4414</v>
      </c>
      <c r="D50" t="s">
        <v>4413</v>
      </c>
      <c r="E50" t="s">
        <v>4414</v>
      </c>
      <c r="F50" t="s">
        <v>4346</v>
      </c>
      <c r="G50" t="s">
        <v>1819</v>
      </c>
    </row>
    <row r="51" spans="1:7" ht="11.25" customHeight="1">
      <c r="A51" t="s">
        <v>16</v>
      </c>
      <c r="B51" t="s">
        <v>4415</v>
      </c>
      <c r="C51" t="s">
        <v>4416</v>
      </c>
      <c r="D51" t="s">
        <v>4415</v>
      </c>
      <c r="E51" t="s">
        <v>4416</v>
      </c>
      <c r="F51" t="s">
        <v>4346</v>
      </c>
      <c r="G51" t="s">
        <v>1824</v>
      </c>
    </row>
    <row r="52" spans="1:7" ht="11.25" customHeight="1">
      <c r="A52" t="s">
        <v>16</v>
      </c>
      <c r="B52" t="s">
        <v>4417</v>
      </c>
      <c r="C52" t="s">
        <v>4418</v>
      </c>
      <c r="D52" t="s">
        <v>4417</v>
      </c>
      <c r="E52" t="s">
        <v>4418</v>
      </c>
      <c r="F52" t="s">
        <v>4346</v>
      </c>
      <c r="G52" t="s">
        <v>1828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2" max="2" width="84.28515625" style="1030" customWidth="1"/>
  </cols>
  <sheetData>
    <row r="1" spans="1:3" ht="11.25" customHeight="1">
      <c r="A1" s="720" t="s">
        <v>5006</v>
      </c>
      <c r="B1" s="720" t="s">
        <v>5007</v>
      </c>
      <c r="C1" s="720" t="s">
        <v>1357</v>
      </c>
    </row>
    <row r="2" spans="1:3" ht="11.25" customHeight="1">
      <c r="A2" s="720">
        <v>4189678</v>
      </c>
      <c r="B2" s="720" t="s">
        <v>5008</v>
      </c>
      <c r="C2" s="720" t="s">
        <v>5009</v>
      </c>
    </row>
    <row r="3" spans="1:3" ht="11.25" customHeight="1">
      <c r="A3" s="720">
        <v>4190415</v>
      </c>
      <c r="B3" s="720" t="s">
        <v>5010</v>
      </c>
      <c r="C3" s="720" t="s">
        <v>5009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
  <sheetViews>
    <sheetView showGridLines="0" workbookViewId="0"/>
  </sheetViews>
  <sheetFormatPr defaultColWidth="9.140625" defaultRowHeight="15" customHeight="1"/>
  <cols>
    <col min="1" max="1" width="38.42578125" style="1030" customWidth="1"/>
  </cols>
  <sheetData>
    <row r="1" spans="1:2" ht="15" customHeight="1">
      <c r="A1" s="989" t="s">
        <v>5011</v>
      </c>
      <c r="B1" s="989" t="s">
        <v>5012</v>
      </c>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5013</v>
      </c>
      <c r="B1" t="b">
        <v>1</v>
      </c>
    </row>
    <row r="2" spans="1:2" ht="11.25" customHeight="1">
      <c r="A2" t="s">
        <v>5014</v>
      </c>
      <c r="B2" t="b">
        <v>0</v>
      </c>
    </row>
    <row r="3" spans="1:2" ht="11.25" customHeight="1">
      <c r="A3" t="s">
        <v>5015</v>
      </c>
      <c r="B3" t="b">
        <v>0</v>
      </c>
    </row>
    <row r="4" spans="1:2" ht="11.25" customHeight="1">
      <c r="A4" t="s">
        <v>5016</v>
      </c>
      <c r="B4" t="b">
        <v>0</v>
      </c>
    </row>
    <row r="5" spans="1:2" ht="11.25" customHeight="1">
      <c r="A5" t="s">
        <v>5017</v>
      </c>
      <c r="B5" t="b">
        <v>1</v>
      </c>
    </row>
    <row r="6" spans="1:2" ht="11.25" customHeight="1">
      <c r="A6" t="s">
        <v>5018</v>
      </c>
      <c r="B6" t="b">
        <v>0</v>
      </c>
    </row>
    <row r="7" spans="1:2" ht="11.25" customHeight="1">
      <c r="A7" t="s">
        <v>5019</v>
      </c>
      <c r="B7" t="b">
        <v>0</v>
      </c>
    </row>
    <row r="8" spans="1:2" ht="11.25" customHeight="1">
      <c r="A8" t="s">
        <v>5020</v>
      </c>
      <c r="B8" t="b">
        <v>0</v>
      </c>
    </row>
    <row r="9" spans="1:2" ht="11.25" customHeight="1">
      <c r="A9" t="s">
        <v>5021</v>
      </c>
      <c r="B9" t="b">
        <v>0</v>
      </c>
    </row>
    <row r="10" spans="1:2" ht="11.25" customHeight="1">
      <c r="A10" t="s">
        <v>5022</v>
      </c>
      <c r="B10" t="b">
        <v>1</v>
      </c>
    </row>
    <row r="11" spans="1:2" ht="11.25" customHeight="1">
      <c r="A11" t="s">
        <v>5023</v>
      </c>
      <c r="B11" t="b">
        <v>0</v>
      </c>
    </row>
    <row r="12" spans="1:2" ht="11.25" customHeight="1">
      <c r="A12" t="s">
        <v>5024</v>
      </c>
      <c r="B12" t="b">
        <v>0</v>
      </c>
    </row>
    <row r="13" spans="1:2" ht="11.25" customHeight="1">
      <c r="A13" t="s">
        <v>5025</v>
      </c>
      <c r="B13" t="b">
        <v>0</v>
      </c>
    </row>
    <row r="14" spans="1:2" ht="11.25" customHeight="1">
      <c r="A14" t="s">
        <v>5026</v>
      </c>
      <c r="B14" t="b">
        <v>0</v>
      </c>
    </row>
    <row r="15" spans="1:2" ht="11.25" customHeight="1">
      <c r="A15" t="s">
        <v>5027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70"/>
  <sheetViews>
    <sheetView showGridLines="0" workbookViewId="0"/>
  </sheetViews>
  <sheetFormatPr defaultColWidth="9.140625" defaultRowHeight="11.25" customHeight="1"/>
  <cols>
    <col min="1" max="1" width="36.28515625" style="1030" customWidth="1"/>
    <col min="2" max="2" width="21.140625" style="1030" customWidth="1"/>
  </cols>
  <sheetData>
    <row r="1" spans="1:2" ht="11.25" customHeight="1">
      <c r="A1" s="520" t="s">
        <v>5028</v>
      </c>
      <c r="B1" s="520" t="s">
        <v>5029</v>
      </c>
    </row>
    <row r="2" spans="1:2" ht="11.25" customHeight="1">
      <c r="A2" s="41" t="s">
        <v>5030</v>
      </c>
      <c r="B2" s="41" t="s">
        <v>5031</v>
      </c>
    </row>
    <row r="3" spans="1:2" ht="11.25" customHeight="1">
      <c r="A3" s="41" t="s">
        <v>5032</v>
      </c>
      <c r="B3" s="41" t="s">
        <v>5033</v>
      </c>
    </row>
    <row r="4" spans="1:2" ht="11.25" customHeight="1">
      <c r="A4" s="41" t="s">
        <v>5034</v>
      </c>
      <c r="B4" s="41" t="s">
        <v>5035</v>
      </c>
    </row>
    <row r="5" spans="1:2" ht="11.25" customHeight="1">
      <c r="A5" s="41" t="s">
        <v>5036</v>
      </c>
      <c r="B5" s="41" t="s">
        <v>5037</v>
      </c>
    </row>
    <row r="6" spans="1:2" ht="11.25" customHeight="1">
      <c r="A6" s="41" t="s">
        <v>5038</v>
      </c>
      <c r="B6" s="41" t="s">
        <v>5039</v>
      </c>
    </row>
    <row r="7" spans="1:2" ht="11.25" customHeight="1">
      <c r="A7" s="41" t="s">
        <v>5040</v>
      </c>
      <c r="B7" s="41" t="s">
        <v>5041</v>
      </c>
    </row>
    <row r="8" spans="1:2" ht="11.25" customHeight="1">
      <c r="A8" s="41" t="s">
        <v>5042</v>
      </c>
      <c r="B8" s="41" t="s">
        <v>5043</v>
      </c>
    </row>
    <row r="9" spans="1:2" ht="11.25" customHeight="1">
      <c r="A9" s="41" t="s">
        <v>5044</v>
      </c>
      <c r="B9" s="41" t="s">
        <v>5045</v>
      </c>
    </row>
    <row r="10" spans="1:2" ht="11.25" customHeight="1">
      <c r="A10" s="41" t="s">
        <v>5046</v>
      </c>
      <c r="B10" s="41" t="s">
        <v>5047</v>
      </c>
    </row>
    <row r="11" spans="1:2" ht="11.25" customHeight="1">
      <c r="A11" s="41" t="s">
        <v>5048</v>
      </c>
      <c r="B11" s="41" t="s">
        <v>5049</v>
      </c>
    </row>
    <row r="12" spans="1:2" ht="11.25" customHeight="1">
      <c r="A12" s="41" t="s">
        <v>5050</v>
      </c>
      <c r="B12" s="41" t="s">
        <v>5051</v>
      </c>
    </row>
    <row r="13" spans="1:2" ht="11.25" customHeight="1">
      <c r="A13" s="41" t="s">
        <v>5052</v>
      </c>
      <c r="B13" s="41" t="s">
        <v>5053</v>
      </c>
    </row>
    <row r="14" spans="1:2" ht="11.25" customHeight="1">
      <c r="A14" s="41" t="s">
        <v>5054</v>
      </c>
      <c r="B14" s="41" t="s">
        <v>5055</v>
      </c>
    </row>
    <row r="15" spans="1:2" ht="11.25" customHeight="1">
      <c r="A15" s="41" t="s">
        <v>5056</v>
      </c>
      <c r="B15" s="41" t="s">
        <v>5057</v>
      </c>
    </row>
    <row r="16" spans="1:2" ht="11.25" customHeight="1">
      <c r="A16" s="41" t="s">
        <v>5058</v>
      </c>
      <c r="B16" s="41" t="s">
        <v>5059</v>
      </c>
    </row>
    <row r="17" spans="1:2" ht="11.25" customHeight="1">
      <c r="A17" s="41" t="s">
        <v>5060</v>
      </c>
      <c r="B17" s="41" t="s">
        <v>5061</v>
      </c>
    </row>
    <row r="18" spans="1:2" ht="11.25" customHeight="1">
      <c r="A18" s="41" t="s">
        <v>5062</v>
      </c>
      <c r="B18" s="41" t="s">
        <v>5063</v>
      </c>
    </row>
    <row r="19" spans="1:2" ht="11.25" customHeight="1">
      <c r="A19" s="41" t="s">
        <v>5064</v>
      </c>
      <c r="B19" s="41" t="s">
        <v>5065</v>
      </c>
    </row>
    <row r="20" spans="1:2" ht="11.25" customHeight="1">
      <c r="A20" s="41" t="s">
        <v>5066</v>
      </c>
      <c r="B20" s="41" t="s">
        <v>5067</v>
      </c>
    </row>
    <row r="21" spans="1:2" ht="11.25" customHeight="1">
      <c r="A21" s="41" t="s">
        <v>5068</v>
      </c>
      <c r="B21" s="41" t="s">
        <v>5069</v>
      </c>
    </row>
    <row r="22" spans="1:2" ht="11.25" customHeight="1">
      <c r="A22" s="41" t="s">
        <v>5070</v>
      </c>
      <c r="B22" s="41" t="s">
        <v>5071</v>
      </c>
    </row>
    <row r="23" spans="1:2" ht="11.25" customHeight="1">
      <c r="A23" s="41" t="s">
        <v>5072</v>
      </c>
      <c r="B23" s="41" t="s">
        <v>5073</v>
      </c>
    </row>
    <row r="24" spans="1:2" ht="11.25" customHeight="1">
      <c r="A24" s="41" t="s">
        <v>5074</v>
      </c>
      <c r="B24" s="41" t="s">
        <v>5075</v>
      </c>
    </row>
    <row r="25" spans="1:2" ht="11.25" customHeight="1">
      <c r="A25" s="41" t="s">
        <v>5076</v>
      </c>
      <c r="B25" s="41" t="s">
        <v>5077</v>
      </c>
    </row>
    <row r="26" spans="1:2" ht="11.25" customHeight="1">
      <c r="A26" s="41" t="s">
        <v>5078</v>
      </c>
      <c r="B26" s="41" t="s">
        <v>5079</v>
      </c>
    </row>
    <row r="27" spans="1:2" ht="11.25" customHeight="1">
      <c r="A27" s="41" t="s">
        <v>5080</v>
      </c>
      <c r="B27" s="41" t="s">
        <v>5081</v>
      </c>
    </row>
    <row r="28" spans="1:2" ht="11.25" customHeight="1">
      <c r="A28" s="41" t="s">
        <v>5082</v>
      </c>
      <c r="B28" s="41" t="s">
        <v>5083</v>
      </c>
    </row>
    <row r="29" spans="1:2" ht="11.25" customHeight="1">
      <c r="A29" s="41" t="s">
        <v>5084</v>
      </c>
      <c r="B29" s="41" t="s">
        <v>5085</v>
      </c>
    </row>
    <row r="30" spans="1:2" ht="11.25" customHeight="1">
      <c r="A30" s="41" t="s">
        <v>5086</v>
      </c>
      <c r="B30" s="41" t="s">
        <v>5087</v>
      </c>
    </row>
    <row r="31" spans="1:2" ht="11.25" customHeight="1">
      <c r="A31" s="41" t="s">
        <v>5088</v>
      </c>
      <c r="B31" s="41" t="s">
        <v>5089</v>
      </c>
    </row>
    <row r="32" spans="1:2" ht="11.25" customHeight="1">
      <c r="A32" s="41" t="s">
        <v>5090</v>
      </c>
      <c r="B32" s="41" t="s">
        <v>5091</v>
      </c>
    </row>
    <row r="33" spans="1:2" ht="11.25" customHeight="1">
      <c r="A33" s="41" t="s">
        <v>5092</v>
      </c>
      <c r="B33" s="41" t="s">
        <v>5093</v>
      </c>
    </row>
    <row r="34" spans="1:2" ht="11.25" customHeight="1">
      <c r="A34" s="41" t="s">
        <v>5094</v>
      </c>
      <c r="B34" s="41" t="s">
        <v>5095</v>
      </c>
    </row>
    <row r="35" spans="1:2" ht="11.25" customHeight="1">
      <c r="A35" s="41" t="s">
        <v>5096</v>
      </c>
      <c r="B35" s="41" t="s">
        <v>5097</v>
      </c>
    </row>
    <row r="36" spans="1:2" ht="11.25" customHeight="1">
      <c r="A36" s="41" t="s">
        <v>5098</v>
      </c>
      <c r="B36" s="41" t="s">
        <v>5099</v>
      </c>
    </row>
    <row r="37" spans="1:2" ht="11.25" customHeight="1">
      <c r="A37" s="41" t="s">
        <v>5100</v>
      </c>
      <c r="B37" s="41" t="s">
        <v>5101</v>
      </c>
    </row>
    <row r="38" spans="1:2" ht="11.25" customHeight="1">
      <c r="A38" s="41" t="s">
        <v>5102</v>
      </c>
      <c r="B38" s="41" t="s">
        <v>5103</v>
      </c>
    </row>
    <row r="39" spans="1:2" ht="11.25" customHeight="1">
      <c r="A39" s="41" t="s">
        <v>5104</v>
      </c>
      <c r="B39" s="41" t="s">
        <v>5105</v>
      </c>
    </row>
    <row r="40" spans="1:2" ht="11.25" customHeight="1">
      <c r="A40" s="41" t="s">
        <v>5106</v>
      </c>
      <c r="B40" s="41" t="s">
        <v>5107</v>
      </c>
    </row>
    <row r="41" spans="1:2" ht="11.25" customHeight="1">
      <c r="A41" s="41" t="s">
        <v>5108</v>
      </c>
      <c r="B41" s="41" t="s">
        <v>5109</v>
      </c>
    </row>
    <row r="42" spans="1:2" ht="11.25" customHeight="1">
      <c r="A42" s="41" t="s">
        <v>5110</v>
      </c>
      <c r="B42" s="41" t="s">
        <v>5111</v>
      </c>
    </row>
    <row r="43" spans="1:2" ht="11.25" customHeight="1">
      <c r="A43" s="41" t="s">
        <v>5112</v>
      </c>
      <c r="B43" s="41" t="s">
        <v>5113</v>
      </c>
    </row>
    <row r="44" spans="1:2" ht="11.25" customHeight="1">
      <c r="A44" s="41" t="s">
        <v>5114</v>
      </c>
      <c r="B44" s="41" t="s">
        <v>5115</v>
      </c>
    </row>
    <row r="45" spans="1:2" ht="11.25" customHeight="1">
      <c r="A45" s="41" t="s">
        <v>5116</v>
      </c>
      <c r="B45" s="41" t="s">
        <v>5117</v>
      </c>
    </row>
    <row r="46" spans="1:2" ht="11.25" customHeight="1">
      <c r="A46" s="41" t="s">
        <v>5118</v>
      </c>
      <c r="B46" s="41" t="s">
        <v>5119</v>
      </c>
    </row>
    <row r="47" spans="1:2" ht="11.25" customHeight="1">
      <c r="A47" s="41" t="s">
        <v>5120</v>
      </c>
      <c r="B47" s="41" t="s">
        <v>5121</v>
      </c>
    </row>
    <row r="48" spans="1:2" ht="11.25" customHeight="1">
      <c r="A48" s="41" t="s">
        <v>5122</v>
      </c>
      <c r="B48" s="41" t="s">
        <v>5123</v>
      </c>
    </row>
    <row r="49" spans="1:2" ht="11.25" customHeight="1">
      <c r="A49" s="41" t="s">
        <v>5124</v>
      </c>
      <c r="B49" s="41" t="s">
        <v>5125</v>
      </c>
    </row>
    <row r="50" spans="1:2" ht="11.25" customHeight="1">
      <c r="A50" s="41" t="s">
        <v>5126</v>
      </c>
      <c r="B50" s="41" t="s">
        <v>5127</v>
      </c>
    </row>
    <row r="51" spans="1:2" ht="11.25" customHeight="1">
      <c r="A51" s="41" t="s">
        <v>5128</v>
      </c>
      <c r="B51" s="41" t="s">
        <v>5129</v>
      </c>
    </row>
    <row r="52" spans="1:2" ht="11.25" customHeight="1">
      <c r="A52" s="41" t="s">
        <v>5130</v>
      </c>
      <c r="B52" s="41" t="s">
        <v>5131</v>
      </c>
    </row>
    <row r="53" spans="1:2" ht="11.25" customHeight="1">
      <c r="A53" s="41" t="s">
        <v>5132</v>
      </c>
      <c r="B53" s="41" t="s">
        <v>5133</v>
      </c>
    </row>
    <row r="54" spans="1:2" ht="11.25" customHeight="1">
      <c r="A54" s="41" t="s">
        <v>5134</v>
      </c>
      <c r="B54" s="41" t="s">
        <v>5135</v>
      </c>
    </row>
    <row r="55" spans="1:2" ht="11.25" customHeight="1">
      <c r="A55" s="41" t="s">
        <v>5136</v>
      </c>
      <c r="B55" s="41" t="s">
        <v>5137</v>
      </c>
    </row>
    <row r="56" spans="1:2" ht="11.25" customHeight="1">
      <c r="A56" s="41" t="s">
        <v>5138</v>
      </c>
      <c r="B56" s="41" t="s">
        <v>5139</v>
      </c>
    </row>
    <row r="57" spans="1:2" ht="11.25" customHeight="1">
      <c r="A57" s="41" t="s">
        <v>5140</v>
      </c>
      <c r="B57" s="41" t="s">
        <v>5141</v>
      </c>
    </row>
    <row r="58" spans="1:2" ht="11.25" customHeight="1">
      <c r="A58" s="41" t="s">
        <v>5142</v>
      </c>
      <c r="B58" s="41" t="s">
        <v>5143</v>
      </c>
    </row>
    <row r="59" spans="1:2" ht="11.25" customHeight="1">
      <c r="A59" s="41" t="s">
        <v>5144</v>
      </c>
      <c r="B59" s="41" t="s">
        <v>5145</v>
      </c>
    </row>
    <row r="60" spans="1:2" ht="11.25" customHeight="1">
      <c r="A60" s="41" t="s">
        <v>5146</v>
      </c>
      <c r="B60" s="41" t="s">
        <v>5147</v>
      </c>
    </row>
    <row r="61" spans="1:2" ht="11.25" customHeight="1">
      <c r="B61" s="41" t="s">
        <v>5148</v>
      </c>
    </row>
    <row r="62" spans="1:2" ht="11.25" customHeight="1">
      <c r="B62" s="41" t="s">
        <v>5149</v>
      </c>
    </row>
    <row r="63" spans="1:2" ht="11.25" customHeight="1">
      <c r="B63" s="41" t="s">
        <v>5150</v>
      </c>
    </row>
    <row r="64" spans="1:2" ht="11.25" customHeight="1">
      <c r="B64" s="41" t="s">
        <v>5151</v>
      </c>
    </row>
    <row r="65" spans="2:2" ht="11.25" customHeight="1">
      <c r="B65" s="41" t="s">
        <v>5152</v>
      </c>
    </row>
    <row r="66" spans="2:2" ht="11.25" customHeight="1">
      <c r="B66" s="41" t="s">
        <v>5153</v>
      </c>
    </row>
    <row r="67" spans="2:2" ht="11.25" customHeight="1">
      <c r="B67" s="41" t="s">
        <v>5154</v>
      </c>
    </row>
    <row r="68" spans="2:2" ht="11.25" customHeight="1">
      <c r="B68" s="41" t="s">
        <v>5155</v>
      </c>
    </row>
    <row r="69" spans="2:2" ht="11.25" customHeight="1">
      <c r="B69" s="41" t="s">
        <v>5156</v>
      </c>
    </row>
    <row r="70" spans="2:2" ht="11.25" customHeight="1">
      <c r="B70" s="41" t="s">
        <v>5157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6"/>
  <sheetViews>
    <sheetView showGridLines="0" workbookViewId="0"/>
  </sheetViews>
  <sheetFormatPr defaultColWidth="9.140625" defaultRowHeight="11.25" customHeight="1"/>
  <cols>
    <col min="1" max="1" width="3.7109375" style="1030" customWidth="1"/>
    <col min="2" max="2" width="90.7109375" style="1030" customWidth="1"/>
  </cols>
  <sheetData>
    <row r="1" spans="2:2" ht="11.25" customHeight="1">
      <c r="B1" s="522" t="s">
        <v>5158</v>
      </c>
    </row>
    <row r="2" spans="2:2" ht="90" customHeight="1">
      <c r="B2" s="990" t="s">
        <v>5159</v>
      </c>
    </row>
    <row r="3" spans="2:2" ht="67.5" customHeight="1">
      <c r="B3" s="990" t="s">
        <v>5160</v>
      </c>
    </row>
    <row r="4" spans="2:2" ht="33.75" customHeight="1">
      <c r="B4" s="990" t="s">
        <v>5161</v>
      </c>
    </row>
    <row r="5" spans="2:2" ht="11.25" customHeight="1">
      <c r="B5" s="990" t="s">
        <v>5162</v>
      </c>
    </row>
    <row r="6" spans="2:2" ht="22.5" customHeight="1">
      <c r="B6" s="990" t="s">
        <v>5163</v>
      </c>
    </row>
    <row r="7" spans="2:2" ht="22.5" customHeight="1">
      <c r="B7" s="990" t="s">
        <v>5164</v>
      </c>
    </row>
    <row r="8" spans="2:2" ht="22.5" customHeight="1">
      <c r="B8" s="990" t="s">
        <v>5165</v>
      </c>
    </row>
    <row r="9" spans="2:2" ht="22.5" customHeight="1">
      <c r="B9" s="990" t="s">
        <v>5166</v>
      </c>
    </row>
    <row r="10" spans="2:2" ht="56.25" customHeight="1">
      <c r="B10" s="990" t="s">
        <v>5167</v>
      </c>
    </row>
    <row r="11" spans="2:2" ht="12.75" customHeight="1">
      <c r="B11" s="991" t="s">
        <v>5168</v>
      </c>
    </row>
    <row r="12" spans="2:2" ht="11.25" customHeight="1">
      <c r="B12" s="522" t="s">
        <v>5169</v>
      </c>
    </row>
    <row r="13" spans="2:2" ht="22.5" customHeight="1">
      <c r="B13" s="990" t="s">
        <v>5170</v>
      </c>
    </row>
    <row r="14" spans="2:2" ht="67.5" customHeight="1">
      <c r="B14" s="990" t="s">
        <v>5171</v>
      </c>
    </row>
    <row r="15" spans="2:2" ht="22.5" customHeight="1">
      <c r="B15" s="990" t="s">
        <v>5172</v>
      </c>
    </row>
    <row r="16" spans="2:2" ht="11.25" customHeight="1">
      <c r="B16" s="522" t="s">
        <v>5173</v>
      </c>
    </row>
    <row r="17" spans="2:2" ht="33.75" customHeight="1">
      <c r="B17" s="990" t="s">
        <v>5174</v>
      </c>
    </row>
    <row r="18" spans="2:2" ht="33.75" customHeight="1">
      <c r="B18" s="990" t="s">
        <v>5175</v>
      </c>
    </row>
    <row r="19" spans="2:2" ht="11.25" customHeight="1">
      <c r="B19" s="990" t="s">
        <v>5176</v>
      </c>
    </row>
    <row r="20" spans="2:2" ht="33.75" customHeight="1">
      <c r="B20" s="990" t="s">
        <v>5177</v>
      </c>
    </row>
    <row r="21" spans="2:2" ht="11.25" customHeight="1">
      <c r="B21" s="522" t="s">
        <v>5178</v>
      </c>
    </row>
    <row r="22" spans="2:2" ht="11.25" customHeight="1">
      <c r="B22" s="990" t="s">
        <v>5179</v>
      </c>
    </row>
    <row r="24" spans="2:2" ht="22.5" customHeight="1">
      <c r="B24" s="992" t="s">
        <v>5180</v>
      </c>
    </row>
    <row r="26" spans="2:2" ht="11.25" customHeight="1">
      <c r="B26" s="522" t="s">
        <v>5181</v>
      </c>
    </row>
    <row r="27" spans="2:2" ht="22.5" customHeight="1">
      <c r="B27" s="112" t="s">
        <v>404</v>
      </c>
    </row>
    <row r="28" spans="2:2" ht="56.25" customHeight="1">
      <c r="B28" s="112" t="s">
        <v>5182</v>
      </c>
    </row>
    <row r="29" spans="2:2" ht="11.25" customHeight="1">
      <c r="B29" s="523" t="s">
        <v>5183</v>
      </c>
    </row>
    <row r="30" spans="2:2" ht="22.5" customHeight="1">
      <c r="B30" s="112" t="s">
        <v>5184</v>
      </c>
    </row>
    <row r="32" spans="2:2" ht="11.25" customHeight="1">
      <c r="B32" s="993" t="s">
        <v>5185</v>
      </c>
    </row>
    <row r="33" spans="1:2" ht="14.25" customHeight="1">
      <c r="A33" s="994">
        <v>1</v>
      </c>
      <c r="B33" s="995" t="s">
        <v>5186</v>
      </c>
    </row>
    <row r="34" spans="1:2" ht="14.25" customHeight="1">
      <c r="A34" s="994">
        <v>2</v>
      </c>
      <c r="B34" s="995" t="s">
        <v>5187</v>
      </c>
    </row>
    <row r="35" spans="1:2" ht="11.25" customHeight="1">
      <c r="B35" s="993" t="s">
        <v>5188</v>
      </c>
    </row>
    <row r="36" spans="1:2" ht="11.25" customHeight="1">
      <c r="B36" s="995" t="s">
        <v>5189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2" width="9.140625" style="1030" hidden="1" customWidth="1"/>
    <col min="3" max="3" width="3" style="1030" customWidth="1"/>
    <col min="4" max="4" width="5" style="1030" customWidth="1"/>
    <col min="5" max="5" width="38" style="1030" customWidth="1"/>
    <col min="6" max="7" width="3" style="1030" customWidth="1"/>
    <col min="8" max="8" width="38" style="1030" customWidth="1"/>
    <col min="9" max="9" width="35" style="1030" customWidth="1"/>
    <col min="10" max="10" width="103" style="1030" customWidth="1"/>
    <col min="11" max="11" width="3" style="1030" customWidth="1"/>
    <col min="12" max="14" width="10" style="1030" customWidth="1"/>
    <col min="15" max="15" width="13" style="1030" customWidth="1"/>
    <col min="16" max="16" width="15" style="1030" customWidth="1"/>
    <col min="17" max="17" width="16" style="1030" customWidth="1"/>
    <col min="18" max="21" width="10" style="1030" customWidth="1"/>
    <col min="22" max="22" width="10.5703125" style="1030" hidden="1"/>
  </cols>
  <sheetData>
    <row r="1" spans="3:22" ht="22.5" hidden="1" customHeight="1">
      <c r="H1" s="1058" t="s">
        <v>360</v>
      </c>
      <c r="I1" s="1038"/>
      <c r="V1" s="539" t="s">
        <v>14</v>
      </c>
    </row>
    <row r="2" spans="3:22" ht="14.25" hidden="1" customHeight="1">
      <c r="C2" s="654"/>
      <c r="D2" s="1175" t="s">
        <v>114</v>
      </c>
      <c r="E2" s="1177"/>
      <c r="F2" s="686"/>
      <c r="G2" s="55" t="s">
        <v>114</v>
      </c>
      <c r="H2" s="123"/>
      <c r="I2" s="124"/>
      <c r="O2" s="578" t="s">
        <v>390</v>
      </c>
      <c r="R2" s="583" t="s">
        <v>389</v>
      </c>
      <c r="S2" s="583" t="s">
        <v>389</v>
      </c>
      <c r="V2" s="539">
        <v>0</v>
      </c>
    </row>
    <row r="3" spans="3:22" ht="14.25" hidden="1" customHeight="1">
      <c r="C3" s="654"/>
      <c r="D3" s="1176"/>
      <c r="E3" s="1178"/>
      <c r="F3" s="119"/>
      <c r="G3" s="685"/>
      <c r="H3" s="685" t="s">
        <v>391</v>
      </c>
      <c r="I3" s="120"/>
      <c r="V3" s="539">
        <v>0</v>
      </c>
    </row>
    <row r="4" spans="3:22" ht="14.25" hidden="1" customHeight="1">
      <c r="V4" s="539">
        <v>0</v>
      </c>
    </row>
    <row r="5" spans="3:22" ht="5.25" customHeight="1">
      <c r="C5" s="669"/>
      <c r="D5" s="670"/>
      <c r="E5" s="670"/>
      <c r="F5" s="670"/>
      <c r="G5" s="670"/>
      <c r="H5" s="670" t="s">
        <v>364</v>
      </c>
      <c r="I5" s="670"/>
      <c r="J5" s="670"/>
      <c r="V5" s="671">
        <v>5</v>
      </c>
    </row>
    <row r="6" spans="3:22" ht="29.25" customHeight="1">
      <c r="C6" s="654"/>
      <c r="D6" s="1174" t="s">
        <v>392</v>
      </c>
      <c r="E6" s="1174"/>
      <c r="F6" s="1174"/>
      <c r="G6" s="1174"/>
      <c r="H6" s="1174"/>
      <c r="I6" s="1174"/>
      <c r="V6" s="539">
        <v>28</v>
      </c>
    </row>
    <row r="7" spans="3:22" ht="18" customHeight="1">
      <c r="C7" s="654"/>
      <c r="D7" s="1148" t="str">
        <f>IF(org=0,"Не определено",org)</f>
        <v>АО "НИЖЕГОРОДСКИЙ ВОДОКАНАЛ"</v>
      </c>
      <c r="E7" s="1148"/>
      <c r="F7" s="1148"/>
      <c r="G7" s="1148"/>
      <c r="H7" s="1148"/>
      <c r="I7" s="1148"/>
      <c r="V7" s="539">
        <v>17</v>
      </c>
    </row>
    <row r="8" spans="3:22" ht="5.25" customHeight="1">
      <c r="C8" s="673"/>
      <c r="V8" s="541">
        <v>5</v>
      </c>
    </row>
    <row r="9" spans="3:22" ht="5.25" customHeight="1">
      <c r="C9" s="673"/>
      <c r="V9" s="541">
        <v>5</v>
      </c>
    </row>
    <row r="10" spans="3:22" ht="14.65" customHeight="1">
      <c r="C10" s="654"/>
      <c r="D10" s="1160" t="s">
        <v>308</v>
      </c>
      <c r="E10" s="1172"/>
      <c r="F10" s="1172"/>
      <c r="G10" s="1172"/>
      <c r="H10" s="1172"/>
      <c r="I10" s="1172"/>
      <c r="J10" s="1126" t="s">
        <v>309</v>
      </c>
      <c r="V10" s="539">
        <v>14</v>
      </c>
    </row>
    <row r="11" spans="3:22" ht="27.4" customHeight="1">
      <c r="C11" s="654"/>
      <c r="D11" s="1070" t="s">
        <v>87</v>
      </c>
      <c r="E11" s="1126" t="s">
        <v>110</v>
      </c>
      <c r="F11" s="1129" t="s">
        <v>87</v>
      </c>
      <c r="G11" s="1130"/>
      <c r="H11" s="1128" t="s">
        <v>393</v>
      </c>
      <c r="I11" s="1128" t="s">
        <v>394</v>
      </c>
      <c r="J11" s="1126"/>
      <c r="V11" s="539">
        <v>26</v>
      </c>
    </row>
    <row r="12" spans="3:22" ht="14.65" customHeight="1">
      <c r="C12" s="654"/>
      <c r="D12" s="1070"/>
      <c r="E12" s="1126"/>
      <c r="F12" s="1134"/>
      <c r="G12" s="1135"/>
      <c r="H12" s="1179"/>
      <c r="I12" s="1179"/>
      <c r="J12" s="1126"/>
      <c r="V12" s="539">
        <v>14</v>
      </c>
    </row>
    <row r="13" spans="3:22" ht="11.25" hidden="1" customHeight="1">
      <c r="C13" s="681"/>
      <c r="D13" s="110" t="s">
        <v>384</v>
      </c>
      <c r="E13" s="110"/>
      <c r="F13" s="110"/>
      <c r="G13" s="110"/>
      <c r="H13" s="111"/>
      <c r="I13" s="111"/>
      <c r="J13" s="112"/>
      <c r="V13" s="682">
        <v>0</v>
      </c>
    </row>
    <row r="14" spans="3:22" ht="14.65" customHeight="1">
      <c r="C14" s="654"/>
      <c r="D14" s="1175" t="s">
        <v>114</v>
      </c>
      <c r="E14" s="1177"/>
      <c r="F14" s="686"/>
      <c r="G14" s="55" t="s">
        <v>114</v>
      </c>
      <c r="H14" s="123"/>
      <c r="I14" s="124"/>
      <c r="J14" s="1113" t="s">
        <v>395</v>
      </c>
      <c r="R14" s="583" t="s">
        <v>389</v>
      </c>
      <c r="S14" s="583" t="s">
        <v>389</v>
      </c>
      <c r="V14" s="539">
        <v>14</v>
      </c>
    </row>
    <row r="15" spans="3:22" ht="14.65" customHeight="1">
      <c r="C15" s="654"/>
      <c r="D15" s="1176"/>
      <c r="E15" s="1178"/>
      <c r="F15" s="119"/>
      <c r="G15" s="685"/>
      <c r="H15" s="685" t="s">
        <v>391</v>
      </c>
      <c r="I15" s="120"/>
      <c r="J15" s="1114"/>
      <c r="V15" s="539">
        <v>14</v>
      </c>
    </row>
    <row r="16" spans="3:22" ht="14.65" customHeight="1">
      <c r="C16" s="654"/>
      <c r="D16" s="119"/>
      <c r="E16" s="685" t="s">
        <v>131</v>
      </c>
      <c r="F16" s="120"/>
      <c r="G16" s="120"/>
      <c r="H16" s="121"/>
      <c r="I16" s="121"/>
      <c r="J16" s="1115"/>
      <c r="V16" s="539">
        <v>14</v>
      </c>
    </row>
    <row r="17" spans="1:22" ht="14.65" customHeight="1">
      <c r="V17" s="539">
        <v>14</v>
      </c>
    </row>
    <row r="18" spans="1:22" ht="22.5" hidden="1" customHeight="1">
      <c r="A18" s="537" t="s">
        <v>81</v>
      </c>
      <c r="B18" s="539">
        <v>0</v>
      </c>
      <c r="C18" s="591">
        <v>3</v>
      </c>
      <c r="D18" s="539">
        <v>5</v>
      </c>
      <c r="E18" s="539">
        <v>38</v>
      </c>
      <c r="F18" s="539">
        <v>3</v>
      </c>
      <c r="G18" s="539">
        <v>3</v>
      </c>
      <c r="H18" s="539">
        <v>38</v>
      </c>
      <c r="I18" s="539">
        <v>35</v>
      </c>
      <c r="J18" s="539">
        <v>103</v>
      </c>
      <c r="K18" s="580">
        <v>3</v>
      </c>
      <c r="L18" s="578">
        <v>10</v>
      </c>
      <c r="M18" s="578">
        <v>10</v>
      </c>
      <c r="N18" s="578">
        <v>10</v>
      </c>
      <c r="O18" s="578">
        <v>13</v>
      </c>
      <c r="P18" s="578">
        <v>15</v>
      </c>
      <c r="Q18" s="578">
        <v>16</v>
      </c>
      <c r="R18" s="578">
        <v>10</v>
      </c>
      <c r="S18" s="578">
        <v>10</v>
      </c>
      <c r="T18" s="578">
        <v>10</v>
      </c>
      <c r="U18" s="578">
        <v>10</v>
      </c>
      <c r="V18" s="539">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2226</vt:i4>
      </vt:variant>
    </vt:vector>
  </HeadingPairs>
  <TitlesOfParts>
    <vt:vector size="231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Малеханов Алексей Александрович</cp:lastModifiedBy>
  <cp:lastPrinted>2013-08-29T08:11:20Z</cp:lastPrinted>
  <dcterms:created xsi:type="dcterms:W3CDTF">2004-05-21T07:18:45Z</dcterms:created>
  <dcterms:modified xsi:type="dcterms:W3CDTF">2024-04-24T12:55:16Z</dcterms:modified>
</cp:coreProperties>
</file>